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erver-01\RedirectedHPStaffFolders\anneo\My Documents\2024\Board\New folder\"/>
    </mc:Choice>
  </mc:AlternateContent>
  <xr:revisionPtr revIDLastSave="0" documentId="13_ncr:1_{0639B1C0-87D9-4082-B7F4-F96B7C5D02A1}" xr6:coauthVersionLast="47" xr6:coauthVersionMax="47" xr10:uidLastSave="{00000000-0000-0000-0000-000000000000}"/>
  <bookViews>
    <workbookView xWindow="-108" yWindow="-108" windowWidth="23256" windowHeight="12456" xr2:uid="{7C740339-697B-4DB3-B2D9-5A76F06584FB}"/>
  </bookViews>
  <sheets>
    <sheet name="Calculations-Data Entry" sheetId="1" r:id="rId1"/>
    <sheet name="Default-Going Concern" sheetId="2" r:id="rId2"/>
    <sheet name="Performance Summary" sheetId="3" r:id="rId3"/>
    <sheet name="Measures Formulas &amp; Rating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2" i="3" l="1"/>
  <c r="F15" i="3"/>
  <c r="G10" i="3"/>
  <c r="G12" i="1"/>
  <c r="G15" i="1"/>
  <c r="H28" i="1" s="1"/>
  <c r="F17" i="1"/>
  <c r="F12" i="1"/>
  <c r="E12" i="1"/>
  <c r="E14" i="1" s="1"/>
  <c r="E15" i="1"/>
  <c r="F28" i="1" s="1"/>
  <c r="D15" i="1"/>
  <c r="D18" i="1" s="1"/>
  <c r="D19" i="1" s="1"/>
  <c r="D12" i="1"/>
  <c r="D14" i="1" s="1"/>
  <c r="C15" i="1"/>
  <c r="C12" i="1"/>
  <c r="C14" i="1"/>
  <c r="F14" i="3"/>
  <c r="B14" i="3"/>
  <c r="G13" i="3"/>
  <c r="F13" i="3"/>
  <c r="E13" i="3"/>
  <c r="D13" i="3"/>
  <c r="C13" i="3"/>
  <c r="B13" i="3"/>
  <c r="F11" i="3"/>
  <c r="E11" i="3"/>
  <c r="D11" i="3"/>
  <c r="C11" i="3"/>
  <c r="B5" i="3"/>
  <c r="B4" i="3"/>
  <c r="B3" i="3"/>
  <c r="B5" i="2"/>
  <c r="B4" i="2"/>
  <c r="B3" i="2"/>
  <c r="C60" i="1"/>
  <c r="B60" i="1"/>
  <c r="C59" i="1"/>
  <c r="C61" i="1" s="1"/>
  <c r="B59" i="1"/>
  <c r="B61" i="1" s="1"/>
  <c r="D42" i="1"/>
  <c r="F42" i="1" s="1"/>
  <c r="D41" i="1"/>
  <c r="F41" i="1" s="1"/>
  <c r="H40" i="1"/>
  <c r="G40" i="1"/>
  <c r="F40" i="1"/>
  <c r="E40" i="1"/>
  <c r="D40" i="1"/>
  <c r="C33" i="1"/>
  <c r="C34" i="1" s="1"/>
  <c r="C31" i="1"/>
  <c r="H30" i="1"/>
  <c r="G30" i="1"/>
  <c r="F30" i="1"/>
  <c r="E30" i="1"/>
  <c r="D30" i="1"/>
  <c r="B30" i="1"/>
  <c r="H29" i="1"/>
  <c r="G29" i="1"/>
  <c r="F29" i="1"/>
  <c r="E29" i="1"/>
  <c r="D29" i="1"/>
  <c r="B29" i="1"/>
  <c r="G28" i="1"/>
  <c r="D28" i="1"/>
  <c r="B28" i="1"/>
  <c r="B31" i="1" s="1"/>
  <c r="B33" i="1" s="1"/>
  <c r="B19" i="1"/>
  <c r="F18" i="1"/>
  <c r="F19" i="1" s="1"/>
  <c r="C18" i="1"/>
  <c r="C19" i="1" s="1"/>
  <c r="B18" i="1"/>
  <c r="G14" i="1"/>
  <c r="F14" i="1"/>
  <c r="B14" i="1"/>
  <c r="B21" i="1" s="1"/>
  <c r="H31" i="1" l="1"/>
  <c r="H33" i="1" s="1"/>
  <c r="H34" i="1" s="1"/>
  <c r="G11" i="3" s="1"/>
  <c r="G18" i="1"/>
  <c r="G19" i="1" s="1"/>
  <c r="G21" i="1" s="1"/>
  <c r="G31" i="1"/>
  <c r="G33" i="1" s="1"/>
  <c r="F21" i="1"/>
  <c r="E18" i="1"/>
  <c r="E19" i="1" s="1"/>
  <c r="F31" i="1"/>
  <c r="F33" i="1" s="1"/>
  <c r="F34" i="1" s="1"/>
  <c r="E21" i="1"/>
  <c r="E28" i="1"/>
  <c r="E31" i="1" s="1"/>
  <c r="E33" i="1" s="1"/>
  <c r="E34" i="1" s="1"/>
  <c r="D21" i="1"/>
  <c r="D31" i="1"/>
  <c r="D33" i="1" s="1"/>
  <c r="D34" i="1" s="1"/>
  <c r="C21" i="1"/>
  <c r="F43" i="1"/>
  <c r="G41" i="1"/>
  <c r="H41" i="1"/>
  <c r="D43" i="1"/>
  <c r="G34" i="1"/>
  <c r="C54" i="1"/>
  <c r="C57" i="1" s="1"/>
  <c r="C63" i="1" s="1"/>
  <c r="B34" i="1"/>
  <c r="B54" i="1"/>
  <c r="B57" i="1" s="1"/>
  <c r="B63" i="1" s="1"/>
  <c r="E42" i="1"/>
  <c r="G42" i="1"/>
  <c r="G43" i="1" s="1"/>
  <c r="H42" i="1"/>
  <c r="H43" i="1" s="1"/>
  <c r="E41" i="1"/>
  <c r="E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Leder</author>
  </authors>
  <commentList>
    <comment ref="B10" authorId="0" shapeId="0" xr:uid="{7982C8C9-46AC-4B9C-B940-F9439727BBC4}">
      <text>
        <r>
          <rPr>
            <b/>
            <sz val="9"/>
            <color indexed="81"/>
            <rFont val="Tahoma"/>
            <family val="2"/>
          </rPr>
          <t>Andrea Leder:</t>
        </r>
        <r>
          <rPr>
            <sz val="9"/>
            <color indexed="81"/>
            <rFont val="Tahoma"/>
            <family val="2"/>
          </rPr>
          <t xml:space="preserve">
To access the FY21 dashboard detail, the charter representative must log-in to ASBCS Online, go to the financial dashboard and click on the "View Details" link on the right.</t>
        </r>
      </text>
    </comment>
    <comment ref="A12" authorId="0" shapeId="0" xr:uid="{AE635370-A9B2-46CB-9458-0BDA0A691771}">
      <text>
        <r>
          <rPr>
            <b/>
            <sz val="9"/>
            <color indexed="81"/>
            <rFont val="Tahoma"/>
            <family val="2"/>
          </rPr>
          <t>Andrea Leder:</t>
        </r>
        <r>
          <rPr>
            <sz val="9"/>
            <color indexed="81"/>
            <rFont val="Tahoma"/>
            <family val="2"/>
          </rPr>
          <t xml:space="preserve">
Minimally, the charter holder must include in this row the charter holder’s unspent Classroom Site Fund monies from FY 2021 (received to date) and, if applicable, from prior fiscal years.</t>
        </r>
      </text>
    </comment>
    <comment ref="A13" authorId="0" shapeId="0" xr:uid="{DE642677-2CA1-4323-93B7-CE4B02790CB5}">
      <text>
        <r>
          <rPr>
            <b/>
            <sz val="9"/>
            <color indexed="81"/>
            <rFont val="Tahoma"/>
            <family val="2"/>
          </rPr>
          <t>Andrea Leder:</t>
        </r>
        <r>
          <rPr>
            <sz val="9"/>
            <color indexed="81"/>
            <rFont val="Tahoma"/>
            <family val="2"/>
          </rPr>
          <t xml:space="preserve">
This row would include available balances on lines of credit or unrestricted investments identified on the statement of financial position as current assets. Bond reserve funds available to cover general operating expenses may also be included, but not reserve funds for specific expenses, such as repairs or insurance.</t>
        </r>
      </text>
    </comment>
    <comment ref="B26" authorId="0" shapeId="0" xr:uid="{B6E769DE-09D4-47E7-AE79-4073380E8C7D}">
      <text>
        <r>
          <rPr>
            <b/>
            <sz val="9"/>
            <color indexed="81"/>
            <rFont val="Tahoma"/>
            <family val="2"/>
          </rPr>
          <t>Andrea Leder:</t>
        </r>
        <r>
          <rPr>
            <sz val="9"/>
            <color indexed="81"/>
            <rFont val="Tahoma"/>
            <family val="2"/>
          </rPr>
          <t xml:space="preserve">
To access the FY21 dashboard detail, the charter representative must log-in to ASBCS Online, go to the financial dashboard and click on the "View Details" link on the right.</t>
        </r>
      </text>
    </comment>
    <comment ref="A48" authorId="0" shapeId="0" xr:uid="{9A33E2E6-41FA-451F-8BC7-37802D6ECABE}">
      <text>
        <r>
          <rPr>
            <b/>
            <sz val="9"/>
            <color indexed="81"/>
            <rFont val="Tahoma"/>
            <family val="2"/>
          </rPr>
          <t>Andrea Leder:</t>
        </r>
        <r>
          <rPr>
            <sz val="9"/>
            <color indexed="81"/>
            <rFont val="Tahoma"/>
            <family val="2"/>
          </rPr>
          <t xml:space="preserve">
To access the FY21 dashboard detail, the charter representative must log-in to ASBCS Online, go to the financial dashboard and click on the "View Details" link on the right.</t>
        </r>
      </text>
    </comment>
    <comment ref="B53" authorId="0" shapeId="0" xr:uid="{CE4A2770-14B7-42DB-AB59-02A242AC4FF6}">
      <text>
        <r>
          <rPr>
            <b/>
            <sz val="9"/>
            <color indexed="81"/>
            <rFont val="Tahoma"/>
            <family val="2"/>
          </rPr>
          <t>Andrea Leder:</t>
        </r>
        <r>
          <rPr>
            <sz val="9"/>
            <color indexed="81"/>
            <rFont val="Tahoma"/>
            <family val="2"/>
          </rPr>
          <t xml:space="preserve">
To access the FY21 dashboard detail, the charter representative must log-in to ASBCS Online, go to the financial dashboard and click on the "View Details" link on the right.</t>
        </r>
      </text>
    </comment>
    <comment ref="A55" authorId="0" shapeId="0" xr:uid="{59D7D9A9-F429-4FAD-9A0F-482452DB773D}">
      <text>
        <r>
          <rPr>
            <b/>
            <sz val="9"/>
            <color indexed="81"/>
            <rFont val="Tahoma"/>
            <family val="2"/>
          </rPr>
          <t>Andrea Leder:</t>
        </r>
        <r>
          <rPr>
            <sz val="9"/>
            <color indexed="81"/>
            <rFont val="Tahoma"/>
            <family val="2"/>
          </rPr>
          <t xml:space="preserve">
This row would include the interest expense associated with the charter holder’s “debt principal.”</t>
        </r>
      </text>
    </comment>
    <comment ref="A58" authorId="0" shapeId="0" xr:uid="{52C3ECAA-4666-421C-A769-B819D20B7248}">
      <text>
        <r>
          <rPr>
            <b/>
            <sz val="9"/>
            <color indexed="81"/>
            <rFont val="Tahoma"/>
            <family val="2"/>
          </rPr>
          <t>Andrea Leder:</t>
        </r>
        <r>
          <rPr>
            <sz val="9"/>
            <color indexed="81"/>
            <rFont val="Tahoma"/>
            <family val="2"/>
          </rPr>
          <t xml:space="preserve">
This row would include principal payments associated with 1) bonds or loans for a charter holder that purchases its facilities, 2) principal payment associated with other long-term loans obtained by the charter holder and 3) principal payments associated with capital leases. Amounts owed on lines of credit or credit cards are not included in the calculation.</t>
        </r>
      </text>
    </comment>
  </commentList>
</comments>
</file>

<file path=xl/sharedStrings.xml><?xml version="1.0" encoding="utf-8"?>
<sst xmlns="http://schemas.openxmlformats.org/spreadsheetml/2006/main" count="183" uniqueCount="131">
  <si>
    <t xml:space="preserve">Charter Holder Name: </t>
  </si>
  <si>
    <t>The Edge School, Inc.</t>
  </si>
  <si>
    <t>Charter Holder CTDS:</t>
  </si>
  <si>
    <t>Charter Holder Entity ID:</t>
  </si>
  <si>
    <t>UNRESTRICTED DAYS LIQUIDITY</t>
  </si>
  <si>
    <t>QUARTERLY CALCULATIONS:</t>
  </si>
  <si>
    <t>As of 9/30/22 (YTD)</t>
  </si>
  <si>
    <t>Cash &amp; Cash Equivalents</t>
  </si>
  <si>
    <t>CSF Cash Carryover &amp; Other Restricted Cash</t>
  </si>
  <si>
    <t>Other Sources of Liquidity</t>
  </si>
  <si>
    <t>AVAILABLE LIQUIDITY</t>
  </si>
  <si>
    <t>Total Expenses</t>
  </si>
  <si>
    <t>Depreciation/Amortization</t>
  </si>
  <si>
    <t>Other Noncash Expenses</t>
  </si>
  <si>
    <t>ADJUSTED EXPENSES</t>
  </si>
  <si>
    <t>DAILY EXPENSES</t>
  </si>
  <si>
    <t>ADJUSTED NET INCOME</t>
  </si>
  <si>
    <t>TOTAL REVENUES</t>
  </si>
  <si>
    <t>ADJUSTED NET INCOME/TOTAL REVENUES</t>
  </si>
  <si>
    <t>AVERAGE DAILY MEMBERSHIP</t>
  </si>
  <si>
    <t>ANNUAL ADM:</t>
  </si>
  <si>
    <t>1st Quarter</t>
  </si>
  <si>
    <t>2nd Quarter</t>
  </si>
  <si>
    <t>3rd Quarter</t>
  </si>
  <si>
    <t>4th Quarter</t>
  </si>
  <si>
    <t>1st Quarter (Next Yr)</t>
  </si>
  <si>
    <t xml:space="preserve">   FY22 Growth Rate</t>
  </si>
  <si>
    <t xml:space="preserve">   FY21 Growth Rate</t>
  </si>
  <si>
    <t xml:space="preserve">FY2023 (Q1) [Year 1]  </t>
  </si>
  <si>
    <t>THREE-YEAR AVERAGE</t>
  </si>
  <si>
    <t>ADE ADM Summary Report Date</t>
  </si>
  <si>
    <t>LEASE ADJUSTED DEBT SERVICE COVERAGE RATIO</t>
  </si>
  <si>
    <t>Adjusted Net Income</t>
  </si>
  <si>
    <t>Interest Expense</t>
  </si>
  <si>
    <t>Facility Lease Expense</t>
  </si>
  <si>
    <t>AVAILABLE RESOURCES</t>
  </si>
  <si>
    <t>Debt Principal</t>
  </si>
  <si>
    <t>Interest</t>
  </si>
  <si>
    <t>TOTAL DEBT AND FACILITY LEASE COSTS</t>
  </si>
  <si>
    <t>Lease Adjusted DSCR</t>
  </si>
  <si>
    <t xml:space="preserve">   CALCULATIONS:</t>
  </si>
  <si>
    <t>Fiscal Year 2023 - Calculated Financial Framework Measures</t>
  </si>
  <si>
    <t>FY22 Dashboard</t>
  </si>
  <si>
    <t>As of 12/31/22 (YTD)</t>
  </si>
  <si>
    <t>As of 3/31/23 (YTD)</t>
  </si>
  <si>
    <t>As of 6/30/23 (YTD)</t>
  </si>
  <si>
    <t>As of 9/30/23 (YTD)</t>
  </si>
  <si>
    <t xml:space="preserve">FY2023 (Q2) [Year 1]  </t>
  </si>
  <si>
    <t xml:space="preserve">FY2023 (Q3) [Year 1]  </t>
  </si>
  <si>
    <t xml:space="preserve">FY2023 (Q4) [Year 1]  </t>
  </si>
  <si>
    <t xml:space="preserve">FY2024 (Q1) [Year 1]  </t>
  </si>
  <si>
    <t xml:space="preserve">FY2022 [Year 2]  </t>
  </si>
  <si>
    <t xml:space="preserve">FY2021 [Year 3]  </t>
  </si>
  <si>
    <t xml:space="preserve">FY2020 [Year 4]  </t>
  </si>
  <si>
    <t xml:space="preserve">   FY23 Growth Rate</t>
  </si>
  <si>
    <t>JUNE 30, 2023 CALCULATION:</t>
  </si>
  <si>
    <t>FY22 Dashboard (3-Year Average)</t>
  </si>
  <si>
    <t>DEFAULT</t>
  </si>
  <si>
    <t>Meets Standard</t>
  </si>
  <si>
    <t>As of 9/30/22</t>
  </si>
  <si>
    <t>RATING AS OF QUARTER END DATE</t>
  </si>
  <si>
    <t>CHARTER HOLDER'S BASIS FOR RATING</t>
  </si>
  <si>
    <t>No notice of default received. All payments current.</t>
  </si>
  <si>
    <t>GOING CONCERN</t>
  </si>
  <si>
    <t>Fiscal Year 2023 - Default and Going Concern Measures</t>
  </si>
  <si>
    <t>As of 12/31/22</t>
  </si>
  <si>
    <t>As of 3/31/23</t>
  </si>
  <si>
    <t>As of 6/30/23</t>
  </si>
  <si>
    <t>As of 9/30/23</t>
  </si>
  <si>
    <t>FY22 Dashboard Rating</t>
  </si>
  <si>
    <t>PROJECTED RATING AS OF JUNE 30, 2023</t>
  </si>
  <si>
    <t>The School is actively managing cash flow, budget expenses and changes as a result of the pandemic for continued operations. The school has leveraged use of ESSER recovery funds to stabilize funding during the pandemic lower enrollment period. Fiscal 2024 budgeting is being adjusted for an ADM near 163 and staffing are being adjusted for this. The schoolcompleted a reissuance of its IDA Bond in fiscal year 2022 to lower the interest on outstanding debt from 6.5% to 5.5%.</t>
  </si>
  <si>
    <t>AS OF 9/30/22</t>
  </si>
  <si>
    <t>LEASE ADJUSTED DSCR</t>
  </si>
  <si>
    <t>Fiscal Year 2023 - Financial Framework Performance Summary</t>
  </si>
  <si>
    <t>FY2022 AUDIT</t>
  </si>
  <si>
    <t>AS OF 12/31/22</t>
  </si>
  <si>
    <t>AS OF 3/31/23</t>
  </si>
  <si>
    <t>AS OF 6/30/23</t>
  </si>
  <si>
    <t>AS OF 9/30/23</t>
  </si>
  <si>
    <t>Current Measure Formulas and Ratings</t>
  </si>
  <si>
    <t>Unrestricted Days Liquidity Measure</t>
  </si>
  <si>
    <t>Adjusted Net Income Measure</t>
  </si>
  <si>
    <t>FORMULA:</t>
  </si>
  <si>
    <t>(Unrestricted Cash + Other Sources of Liquidity)</t>
  </si>
  <si>
    <t>FORMULA #1:</t>
  </si>
  <si>
    <t>Total Revenues</t>
  </si>
  <si>
    <t>divided by</t>
  </si>
  <si>
    <t>minus</t>
  </si>
  <si>
    <t>[(Total Expenses - Noncash Expenses)/365]</t>
  </si>
  <si>
    <t>(Total Expenses - Noncash Expenses)</t>
  </si>
  <si>
    <t>MEASURE RATINGS:</t>
  </si>
  <si>
    <t>Meets = 30 or more days</t>
  </si>
  <si>
    <t>FORMULA #2:</t>
  </si>
  <si>
    <r>
      <t xml:space="preserve">Approaches = </t>
    </r>
    <r>
      <rPr>
        <b/>
        <sz val="11"/>
        <color theme="7"/>
        <rFont val="Calibri"/>
        <family val="2"/>
      </rPr>
      <t>≥ 15 days, but &lt; 30 days</t>
    </r>
  </si>
  <si>
    <t>Below = &lt; 15 days</t>
  </si>
  <si>
    <r>
      <t xml:space="preserve">Meets = ANI </t>
    </r>
    <r>
      <rPr>
        <b/>
        <sz val="11"/>
        <color theme="9" tint="-0.249977111117893"/>
        <rFont val="Calibri"/>
        <family val="2"/>
      </rPr>
      <t>≥</t>
    </r>
    <r>
      <rPr>
        <b/>
        <sz val="11"/>
        <color theme="9" tint="-0.249977111117893"/>
        <rFont val="Calibri"/>
        <family val="2"/>
        <scheme val="minor"/>
      </rPr>
      <t xml:space="preserve"> to $1</t>
    </r>
  </si>
  <si>
    <t>Average Daily Membership Measure</t>
  </si>
  <si>
    <r>
      <t xml:space="preserve">Approaches = ANI is 0 or negative </t>
    </r>
    <r>
      <rPr>
        <b/>
        <u/>
        <sz val="11"/>
        <color theme="7"/>
        <rFont val="Calibri"/>
        <family val="2"/>
        <scheme val="minor"/>
      </rPr>
      <t>and</t>
    </r>
    <r>
      <rPr>
        <b/>
        <sz val="11"/>
        <color theme="7"/>
        <rFont val="Calibri"/>
        <family val="2"/>
        <scheme val="minor"/>
      </rPr>
      <t xml:space="preserve"> ANI/TR is between 0% and (4.99%)</t>
    </r>
  </si>
  <si>
    <t>ANNUAL GROWTH RATES:</t>
  </si>
  <si>
    <t>FY21 GR = (FY21ADM - FY20ADM)/FY20ADM</t>
  </si>
  <si>
    <r>
      <t xml:space="preserve">Below = ANI is negative </t>
    </r>
    <r>
      <rPr>
        <b/>
        <u/>
        <sz val="11"/>
        <color rgb="FFC00000"/>
        <rFont val="Calibri"/>
        <family val="2"/>
        <scheme val="minor"/>
      </rPr>
      <t>and</t>
    </r>
    <r>
      <rPr>
        <b/>
        <sz val="11"/>
        <color rgb="FFC00000"/>
        <rFont val="Calibri"/>
        <family val="2"/>
        <scheme val="minor"/>
      </rPr>
      <t xml:space="preserve"> ANI/TR is </t>
    </r>
    <r>
      <rPr>
        <b/>
        <sz val="11"/>
        <color rgb="FFC00000"/>
        <rFont val="Calibri"/>
        <family val="2"/>
      </rPr>
      <t xml:space="preserve">≤ </t>
    </r>
    <r>
      <rPr>
        <b/>
        <sz val="11"/>
        <color rgb="FFC00000"/>
        <rFont val="Calibri"/>
        <family val="2"/>
        <scheme val="minor"/>
      </rPr>
      <t>to (5%)</t>
    </r>
  </si>
  <si>
    <t>FY20 GR = (FY20ADM - FY19ADM)/FY19ADM</t>
  </si>
  <si>
    <t>FY19 GR = (FY19ADM - FY18ADM(/FY18ADM</t>
  </si>
  <si>
    <t>Lease Adjusted Debt Service Coverage Ratio Measure</t>
  </si>
  <si>
    <t>THREE-YEAR AVERAGE:</t>
  </si>
  <si>
    <t>[(FY21 GR + FY20 GR + FY19 GR)/3]x100</t>
  </si>
  <si>
    <t>(Adjusted Net Income + Interest Expense + Facility Lease Expense)</t>
  </si>
  <si>
    <t>Small (&lt;200 ADM) or Medium (200 to 599 ADM)</t>
  </si>
  <si>
    <t>(Debt Principal + Interest + Facility Lease Expense)</t>
  </si>
  <si>
    <t>Meets = Increase or decrease of 4.99% or less</t>
  </si>
  <si>
    <t>Approaches = Decrease of 5% to 14.99%</t>
  </si>
  <si>
    <r>
      <t xml:space="preserve">Meets = </t>
    </r>
    <r>
      <rPr>
        <b/>
        <sz val="11"/>
        <color theme="9" tint="-0.249977111117893"/>
        <rFont val="Calibri"/>
        <family val="2"/>
      </rPr>
      <t>&gt;</t>
    </r>
    <r>
      <rPr>
        <b/>
        <sz val="11"/>
        <color theme="9" tint="-0.249977111117893"/>
        <rFont val="Calibri"/>
        <family val="2"/>
        <scheme val="minor"/>
      </rPr>
      <t xml:space="preserve"> 1.10</t>
    </r>
  </si>
  <si>
    <t>Below = Decrease of 15%+</t>
  </si>
  <si>
    <t>Approaches = Between 1.0 and 1.10</t>
  </si>
  <si>
    <t>Below = &lt; 1.0</t>
  </si>
  <si>
    <t>Large (600+ ADM)</t>
  </si>
  <si>
    <t>Meets = Increase or decrease of 2.99% or less</t>
  </si>
  <si>
    <t>Approaches = Decrease of 3% to 9.99%</t>
  </si>
  <si>
    <t>Going Concern Measure</t>
  </si>
  <si>
    <t>Below = Decrease of 10%+</t>
  </si>
  <si>
    <t>Considers absence or presence of certain disclosure in the audit.</t>
  </si>
  <si>
    <t>Default Measure</t>
  </si>
  <si>
    <r>
      <t xml:space="preserve">Meets </t>
    </r>
    <r>
      <rPr>
        <sz val="11"/>
        <rFont val="Calibri"/>
        <family val="2"/>
        <scheme val="minor"/>
      </rPr>
      <t>= The most recent audit does not include explanatory paragraph in Independent Auditor's Report or disclosure in the notes to the financial statements</t>
    </r>
  </si>
  <si>
    <r>
      <t xml:space="preserve">Below (Option 1) </t>
    </r>
    <r>
      <rPr>
        <sz val="11"/>
        <rFont val="Calibri"/>
        <family val="2"/>
        <scheme val="minor"/>
      </rPr>
      <t>= Disclosure in Independent Auditor's Report and financial statement notes (Substantial doubt about the charter holder's ability to continue operating is raised in the audit and is not alleviated by management's plans</t>
    </r>
  </si>
  <si>
    <r>
      <t>Meets</t>
    </r>
    <r>
      <rPr>
        <sz val="11"/>
        <color theme="9" tint="-0.249977111117893"/>
        <rFont val="Calibri"/>
        <family val="2"/>
        <scheme val="minor"/>
      </rPr>
      <t xml:space="preserve"> </t>
    </r>
    <r>
      <rPr>
        <sz val="11"/>
        <rFont val="Calibri"/>
        <family val="2"/>
        <scheme val="minor"/>
      </rPr>
      <t>= Charter holder is not in default on material loans or facility agreements or both</t>
    </r>
  </si>
  <si>
    <r>
      <t xml:space="preserve">Below </t>
    </r>
    <r>
      <rPr>
        <sz val="11"/>
        <rFont val="Calibri"/>
        <family val="2"/>
        <scheme val="minor"/>
      </rPr>
      <t>= Charter holder is in default on material loans or facility agreements or both</t>
    </r>
  </si>
  <si>
    <r>
      <t>Below (Option 2)</t>
    </r>
    <r>
      <rPr>
        <sz val="11"/>
        <rFont val="Calibri"/>
        <family val="2"/>
        <scheme val="minor"/>
      </rPr>
      <t xml:space="preserve"> = Disclosure in financial statement notes only (Substantial doubt about the charter holder's ability to continue operating is raised in the audit, but is alleviated by management's plans</t>
    </r>
  </si>
  <si>
    <t>Column1</t>
  </si>
  <si>
    <t>Below Standard</t>
  </si>
  <si>
    <t>FY24 Annual Budget Proj.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</si>
</sst>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164" formatCode="0.00_);\(0.00\)"/>
    <numFmt numFmtId="165" formatCode="0.0000"/>
    <numFmt numFmtId="166" formatCode="0.0%"/>
    <numFmt numFmtId="167" formatCode="m/d/yy;@"/>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2"/>
      <color theme="1"/>
      <name val="Calibri"/>
      <family val="2"/>
      <scheme val="minor"/>
    </font>
    <font>
      <sz val="11"/>
      <name val="Calibri"/>
      <family val="2"/>
      <scheme val="minor"/>
    </font>
    <font>
      <b/>
      <sz val="14"/>
      <color theme="1"/>
      <name val="Calibri"/>
      <family val="2"/>
      <scheme val="minor"/>
    </font>
    <font>
      <b/>
      <sz val="14"/>
      <color theme="4" tint="-0.249977111117893"/>
      <name val="Calibri"/>
      <family val="2"/>
      <scheme val="minor"/>
    </font>
    <font>
      <b/>
      <u/>
      <sz val="14"/>
      <color theme="10"/>
      <name val="Calibri"/>
      <family val="2"/>
      <scheme val="minor"/>
    </font>
    <font>
      <u/>
      <sz val="11"/>
      <color theme="1"/>
      <name val="Calibri"/>
      <family val="2"/>
      <scheme val="minor"/>
    </font>
    <font>
      <b/>
      <sz val="9"/>
      <color indexed="81"/>
      <name val="Tahoma"/>
      <family val="2"/>
    </font>
    <font>
      <sz val="9"/>
      <color indexed="81"/>
      <name val="Tahoma"/>
      <family val="2"/>
    </font>
    <font>
      <sz val="11"/>
      <color theme="10"/>
      <name val="Calibri"/>
      <family val="2"/>
      <scheme val="minor"/>
    </font>
    <font>
      <sz val="10"/>
      <color theme="1"/>
      <name val="Calibri"/>
      <family val="2"/>
      <scheme val="minor"/>
    </font>
    <font>
      <b/>
      <sz val="11"/>
      <name val="Calibri"/>
      <family val="2"/>
      <scheme val="minor"/>
    </font>
    <font>
      <b/>
      <u/>
      <sz val="16"/>
      <color theme="1"/>
      <name val="Calibri"/>
      <family val="2"/>
      <scheme val="minor"/>
    </font>
    <font>
      <b/>
      <sz val="12"/>
      <color theme="1"/>
      <name val="Calibri"/>
      <family val="2"/>
      <scheme val="minor"/>
    </font>
    <font>
      <i/>
      <sz val="11"/>
      <color theme="1"/>
      <name val="Calibri"/>
      <family val="2"/>
      <scheme val="minor"/>
    </font>
    <font>
      <b/>
      <sz val="11"/>
      <color theme="9" tint="-0.499984740745262"/>
      <name val="Calibri"/>
      <family val="2"/>
      <scheme val="minor"/>
    </font>
    <font>
      <b/>
      <sz val="11"/>
      <color theme="7"/>
      <name val="Calibri"/>
      <family val="2"/>
      <scheme val="minor"/>
    </font>
    <font>
      <b/>
      <sz val="11"/>
      <color theme="7"/>
      <name val="Calibri"/>
      <family val="2"/>
    </font>
    <font>
      <b/>
      <sz val="11"/>
      <color rgb="FFC00000"/>
      <name val="Calibri"/>
      <family val="2"/>
      <scheme val="minor"/>
    </font>
    <font>
      <b/>
      <sz val="11"/>
      <color theme="9" tint="-0.249977111117893"/>
      <name val="Calibri"/>
      <family val="2"/>
      <scheme val="minor"/>
    </font>
    <font>
      <b/>
      <sz val="11"/>
      <color theme="9" tint="-0.249977111117893"/>
      <name val="Calibri"/>
      <family val="2"/>
    </font>
    <font>
      <b/>
      <u/>
      <sz val="11"/>
      <color theme="7"/>
      <name val="Calibri"/>
      <family val="2"/>
      <scheme val="minor"/>
    </font>
    <font>
      <b/>
      <u/>
      <sz val="11"/>
      <color rgb="FFC00000"/>
      <name val="Calibri"/>
      <family val="2"/>
      <scheme val="minor"/>
    </font>
    <font>
      <b/>
      <sz val="11"/>
      <color rgb="FFC00000"/>
      <name val="Calibri"/>
      <family val="2"/>
    </font>
    <font>
      <sz val="11"/>
      <color theme="9" tint="-0.249977111117893"/>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4"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pplyProtection="1">
      <alignment horizontal="left"/>
      <protection locked="0"/>
    </xf>
    <xf numFmtId="0" fontId="6" fillId="0" borderId="0" xfId="0" applyFont="1"/>
    <xf numFmtId="0" fontId="8" fillId="2" borderId="0" xfId="1" applyFont="1" applyFill="1"/>
    <xf numFmtId="0" fontId="0" fillId="2" borderId="0" xfId="0" applyFill="1"/>
    <xf numFmtId="0" fontId="9" fillId="0" borderId="0" xfId="0" applyFont="1"/>
    <xf numFmtId="0" fontId="2" fillId="3" borderId="0" xfId="0" applyFont="1" applyFill="1"/>
    <xf numFmtId="0" fontId="2" fillId="0" borderId="0" xfId="0" applyFont="1"/>
    <xf numFmtId="5" fontId="0" fillId="0" borderId="1" xfId="0" applyNumberFormat="1" applyBorder="1" applyProtection="1">
      <protection locked="0"/>
    </xf>
    <xf numFmtId="7" fontId="0" fillId="0" borderId="1" xfId="0" applyNumberFormat="1" applyBorder="1" applyAlignment="1" applyProtection="1">
      <alignment horizontal="right"/>
      <protection locked="0"/>
    </xf>
    <xf numFmtId="0" fontId="0" fillId="0" borderId="0" xfId="0" applyAlignment="1">
      <alignment horizontal="right"/>
    </xf>
    <xf numFmtId="5" fontId="0" fillId="0" borderId="0" xfId="0" applyNumberFormat="1" applyAlignment="1">
      <alignment horizontal="right"/>
    </xf>
    <xf numFmtId="7" fontId="0" fillId="0" borderId="0" xfId="0" applyNumberFormat="1" applyAlignment="1">
      <alignment horizontal="right"/>
    </xf>
    <xf numFmtId="0" fontId="2" fillId="0" borderId="0" xfId="0" applyFont="1" applyAlignment="1">
      <alignment horizontal="right"/>
    </xf>
    <xf numFmtId="164" fontId="2" fillId="0" borderId="0" xfId="0" applyNumberFormat="1" applyFont="1" applyAlignment="1">
      <alignment horizontal="right"/>
    </xf>
    <xf numFmtId="0" fontId="2" fillId="4" borderId="0" xfId="0" applyFont="1" applyFill="1"/>
    <xf numFmtId="5" fontId="0" fillId="0" borderId="2" xfId="0" applyNumberFormat="1" applyBorder="1" applyAlignment="1" applyProtection="1">
      <alignment horizontal="right"/>
      <protection locked="0"/>
    </xf>
    <xf numFmtId="7" fontId="0" fillId="0" borderId="1" xfId="0" applyNumberFormat="1" applyBorder="1" applyProtection="1">
      <protection locked="0"/>
    </xf>
    <xf numFmtId="7" fontId="0" fillId="0" borderId="3" xfId="0" applyNumberFormat="1" applyBorder="1" applyAlignment="1" applyProtection="1">
      <alignment horizontal="right"/>
      <protection locked="0"/>
    </xf>
    <xf numFmtId="5" fontId="0" fillId="0" borderId="0" xfId="0" applyNumberFormat="1"/>
    <xf numFmtId="7" fontId="0" fillId="0" borderId="0" xfId="0" applyNumberFormat="1"/>
    <xf numFmtId="5" fontId="2" fillId="0" borderId="0" xfId="0" applyNumberFormat="1" applyFont="1" applyAlignment="1">
      <alignment horizontal="right"/>
    </xf>
    <xf numFmtId="7" fontId="2" fillId="0" borderId="0" xfId="0" applyNumberFormat="1" applyFont="1" applyAlignment="1">
      <alignment horizontal="right"/>
    </xf>
    <xf numFmtId="10" fontId="2" fillId="0" borderId="0" xfId="0" applyNumberFormat="1" applyFont="1" applyAlignment="1">
      <alignment horizontal="right"/>
    </xf>
    <xf numFmtId="0" fontId="9" fillId="0" borderId="0" xfId="0" applyFont="1" applyAlignment="1">
      <alignment horizontal="right"/>
    </xf>
    <xf numFmtId="165" fontId="0" fillId="0" borderId="1" xfId="0" applyNumberFormat="1" applyBorder="1" applyProtection="1">
      <protection locked="0"/>
    </xf>
    <xf numFmtId="0" fontId="0" fillId="0" borderId="0" xfId="0" applyAlignment="1">
      <alignment horizontal="left"/>
    </xf>
    <xf numFmtId="166" fontId="0" fillId="0" borderId="0" xfId="0" applyNumberFormat="1" applyAlignment="1">
      <alignment horizontal="right"/>
    </xf>
    <xf numFmtId="166" fontId="2" fillId="0" borderId="0" xfId="0" applyNumberFormat="1" applyFont="1" applyAlignment="1">
      <alignment horizontal="right"/>
    </xf>
    <xf numFmtId="167" fontId="0" fillId="0" borderId="1" xfId="0" applyNumberFormat="1" applyBorder="1" applyProtection="1">
      <protection locked="0"/>
    </xf>
    <xf numFmtId="7" fontId="0" fillId="0" borderId="0" xfId="0" applyNumberFormat="1" applyAlignment="1" applyProtection="1">
      <alignment horizontal="right"/>
      <protection locked="0"/>
    </xf>
    <xf numFmtId="0" fontId="2" fillId="3" borderId="0" xfId="0" applyFont="1" applyFill="1" applyAlignment="1">
      <alignment horizontal="right"/>
    </xf>
    <xf numFmtId="166" fontId="0" fillId="0" borderId="1" xfId="0" applyNumberFormat="1" applyBorder="1" applyProtection="1">
      <protection locked="0"/>
    </xf>
    <xf numFmtId="0" fontId="7" fillId="0" borderId="0" xfId="0" applyFont="1" applyAlignment="1">
      <alignment horizontal="left"/>
    </xf>
    <xf numFmtId="166" fontId="0" fillId="0" borderId="1" xfId="0" applyNumberFormat="1" applyBorder="1"/>
    <xf numFmtId="0" fontId="1" fillId="0" borderId="0" xfId="0" applyFont="1"/>
    <xf numFmtId="0" fontId="12" fillId="0" borderId="0" xfId="1" applyFont="1" applyFill="1"/>
    <xf numFmtId="0" fontId="13" fillId="0" borderId="1" xfId="0" applyFont="1" applyBorder="1" applyAlignment="1">
      <alignment wrapText="1"/>
    </xf>
    <xf numFmtId="0" fontId="13" fillId="0" borderId="1" xfId="0" applyFont="1" applyBorder="1" applyAlignment="1" applyProtection="1">
      <alignment wrapText="1"/>
      <protection locked="0"/>
    </xf>
    <xf numFmtId="0" fontId="0" fillId="0" borderId="0" xfId="0" applyAlignment="1">
      <alignment wrapText="1"/>
    </xf>
    <xf numFmtId="2" fontId="2" fillId="0" borderId="0" xfId="0" applyNumberFormat="1" applyFont="1"/>
    <xf numFmtId="10" fontId="2" fillId="0" borderId="0" xfId="0" applyNumberFormat="1" applyFont="1"/>
    <xf numFmtId="0" fontId="3" fillId="0" borderId="0" xfId="1"/>
    <xf numFmtId="166" fontId="2" fillId="0" borderId="0" xfId="0" applyNumberFormat="1" applyFont="1"/>
    <xf numFmtId="0" fontId="2" fillId="5" borderId="0" xfId="0" applyFont="1" applyFill="1"/>
    <xf numFmtId="0" fontId="0" fillId="5" borderId="0" xfId="0" applyFill="1"/>
    <xf numFmtId="164" fontId="2" fillId="0" borderId="0" xfId="0" applyNumberFormat="1" applyFont="1"/>
    <xf numFmtId="0" fontId="15" fillId="0" borderId="0" xfId="0" applyFont="1"/>
    <xf numFmtId="0" fontId="16" fillId="3" borderId="0" xfId="0" applyFont="1" applyFill="1"/>
    <xf numFmtId="0" fontId="0" fillId="3" borderId="0" xfId="0" applyFill="1"/>
    <xf numFmtId="0" fontId="17" fillId="0" borderId="0" xfId="0" applyFont="1" applyAlignment="1">
      <alignment horizontal="center"/>
    </xf>
    <xf numFmtId="0" fontId="18" fillId="0" borderId="0" xfId="0" applyFont="1" applyAlignment="1">
      <alignment horizontal="left"/>
    </xf>
    <xf numFmtId="0" fontId="19" fillId="0" borderId="0" xfId="0" applyFont="1" applyAlignment="1">
      <alignment horizontal="left"/>
    </xf>
    <xf numFmtId="0" fontId="21" fillId="0" borderId="0" xfId="0" applyFont="1" applyAlignment="1">
      <alignment horizontal="left"/>
    </xf>
    <xf numFmtId="0" fontId="22" fillId="0" borderId="0" xfId="0" applyFont="1" applyAlignment="1">
      <alignment horizontal="left"/>
    </xf>
    <xf numFmtId="0" fontId="21" fillId="0" borderId="0" xfId="0" applyFont="1" applyAlignment="1">
      <alignment horizontal="left" wrapText="1"/>
    </xf>
    <xf numFmtId="0" fontId="14" fillId="0" borderId="0" xfId="0" applyFont="1" applyAlignment="1">
      <alignment horizontal="left" wrapText="1"/>
    </xf>
    <xf numFmtId="0" fontId="14" fillId="0" borderId="0" xfId="0" applyFont="1"/>
    <xf numFmtId="0" fontId="19" fillId="0" borderId="0" xfId="0" applyFont="1" applyAlignment="1">
      <alignment horizontal="left" wrapText="1"/>
    </xf>
    <xf numFmtId="0" fontId="9" fillId="0" borderId="0" xfId="0" applyFont="1" applyAlignment="1">
      <alignment horizontal="left"/>
    </xf>
    <xf numFmtId="0" fontId="22" fillId="0" borderId="0" xfId="0" applyFont="1" applyAlignment="1">
      <alignment horizontal="left" wrapText="1"/>
    </xf>
    <xf numFmtId="0" fontId="21" fillId="0" borderId="0" xfId="0" applyFont="1" applyAlignment="1">
      <alignment horizontal="left" wrapText="1"/>
    </xf>
  </cellXfs>
  <cellStyles count="2">
    <cellStyle name="Hyperlink" xfId="1" builtinId="8"/>
    <cellStyle name="Normal" xfId="0" builtinId="0"/>
  </cellStyles>
  <dxfs count="18">
    <dxf>
      <font>
        <color theme="1"/>
      </font>
      <fill>
        <patternFill>
          <bgColor rgb="FFC00000"/>
        </patternFill>
      </fill>
    </dxf>
    <dxf>
      <font>
        <color theme="1"/>
      </font>
      <fill>
        <patternFill>
          <bgColor theme="7"/>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rgb="FFC00000"/>
        </patternFill>
      </fill>
    </dxf>
    <dxf>
      <font>
        <color auto="1"/>
      </font>
      <fill>
        <patternFill>
          <bgColor theme="9" tint="-0.24994659260841701"/>
        </patternFill>
      </fill>
    </dxf>
    <dxf>
      <font>
        <color theme="1"/>
      </font>
      <fill>
        <patternFill>
          <bgColor rgb="FFC00000"/>
        </patternFill>
      </fill>
    </dxf>
    <dxf>
      <font>
        <color theme="1"/>
      </font>
      <fill>
        <patternFill>
          <bgColor rgb="FFC00000"/>
        </patternFill>
      </fill>
    </dxf>
    <dxf>
      <font>
        <color theme="1"/>
      </font>
      <fill>
        <patternFill>
          <bgColor theme="7"/>
        </patternFill>
      </fill>
    </dxf>
    <dxf>
      <font>
        <color theme="1"/>
      </font>
      <fill>
        <patternFill>
          <bgColor theme="9" tint="-0.24994659260841701"/>
        </patternFill>
      </fill>
    </dxf>
    <dxf>
      <font>
        <color theme="1"/>
      </font>
      <fill>
        <patternFill>
          <bgColor rgb="FFC00000"/>
        </patternFill>
      </fill>
    </dxf>
    <dxf>
      <font>
        <color theme="1"/>
      </font>
      <fill>
        <patternFill>
          <bgColor theme="7"/>
        </patternFill>
      </fill>
    </dxf>
    <dxf>
      <font>
        <color theme="1"/>
      </font>
      <fill>
        <patternFill>
          <bgColor theme="9" tint="-0.24994659260841701"/>
        </patternFill>
      </fill>
    </dxf>
    <dxf>
      <font>
        <color theme="1"/>
      </font>
      <fill>
        <patternFill>
          <bgColor rgb="FFC00000"/>
        </patternFill>
      </fill>
    </dxf>
    <dxf>
      <font>
        <color theme="1"/>
      </font>
      <fill>
        <patternFill>
          <bgColor theme="7"/>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200025</xdr:colOff>
      <xdr:row>2</xdr:row>
      <xdr:rowOff>19050</xdr:rowOff>
    </xdr:from>
    <xdr:to>
      <xdr:col>7</xdr:col>
      <xdr:colOff>1025541</xdr:colOff>
      <xdr:row>6</xdr:row>
      <xdr:rowOff>148909</xdr:rowOff>
    </xdr:to>
    <xdr:pic>
      <xdr:nvPicPr>
        <xdr:cNvPr id="2" name="Picture 1">
          <a:extLst>
            <a:ext uri="{FF2B5EF4-FFF2-40B4-BE49-F238E27FC236}">
              <a16:creationId xmlns:a16="http://schemas.microsoft.com/office/drawing/2014/main" id="{F62D6BB8-D841-42D8-ADD6-BA3C14046D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80420" y="297180"/>
          <a:ext cx="827421" cy="880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57150</xdr:rowOff>
    </xdr:from>
    <xdr:to>
      <xdr:col>4</xdr:col>
      <xdr:colOff>1976136</xdr:colOff>
      <xdr:row>6</xdr:row>
      <xdr:rowOff>187009</xdr:rowOff>
    </xdr:to>
    <xdr:pic>
      <xdr:nvPicPr>
        <xdr:cNvPr id="4" name="Picture 3">
          <a:extLst>
            <a:ext uri="{FF2B5EF4-FFF2-40B4-BE49-F238E27FC236}">
              <a16:creationId xmlns:a16="http://schemas.microsoft.com/office/drawing/2014/main" id="{69062D29-631F-4571-B4C6-1A580919E5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85020" y="342900"/>
          <a:ext cx="804561" cy="882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95250</xdr:colOff>
      <xdr:row>9</xdr:row>
      <xdr:rowOff>47625</xdr:rowOff>
    </xdr:from>
    <xdr:to>
      <xdr:col>8</xdr:col>
      <xdr:colOff>301641</xdr:colOff>
      <xdr:row>13</xdr:row>
      <xdr:rowOff>187009</xdr:rowOff>
    </xdr:to>
    <xdr:pic>
      <xdr:nvPicPr>
        <xdr:cNvPr id="2" name="Picture 1">
          <a:extLst>
            <a:ext uri="{FF2B5EF4-FFF2-40B4-BE49-F238E27FC236}">
              <a16:creationId xmlns:a16="http://schemas.microsoft.com/office/drawing/2014/main" id="{654CA3CC-6C3C-440F-9B65-23A762445B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8180" y="1798320"/>
          <a:ext cx="804561" cy="897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01\RedirectedHPStaffFolders\anneo\My%20Documents\2022\Charter%20Board\Q4%20Submission\1651593096-edge-fy22-fpf-measure-calculator-board-q3.xlsx" TargetMode="External"/><Relationship Id="rId1" Type="http://schemas.openxmlformats.org/officeDocument/2006/relationships/externalLinkPath" Target="/anneo/My%20Documents/2022/Charter%20Board/Q4%20Submission/1651593096-edge-fy22-fpf-measure-calculator-board-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alculations-Data Entry"/>
      <sheetName val="Default &amp; Going Concern"/>
      <sheetName val="Performance Summary"/>
      <sheetName val="Measure Formulas &amp; Ratings"/>
    </sheetNames>
    <sheetDataSet>
      <sheetData sheetId="0"/>
      <sheetData sheetId="1">
        <row r="3">
          <cell r="B3" t="str">
            <v>The Edge School, Inc.</v>
          </cell>
        </row>
        <row r="4">
          <cell r="B4" t="str">
            <v>10-86-53-000</v>
          </cell>
        </row>
        <row r="5">
          <cell r="B5">
            <v>4421</v>
          </cell>
        </row>
        <row r="34">
          <cell r="D34">
            <v>0.15845578093613366</v>
          </cell>
          <cell r="E34">
            <v>0.1110862985438919</v>
          </cell>
          <cell r="F34">
            <v>9.1465410420563789E-2</v>
          </cell>
          <cell r="G34">
            <v>6.6421532076975931E-2</v>
          </cell>
        </row>
      </sheetData>
      <sheetData sheetId="2">
        <row r="9">
          <cell r="B9" t="str">
            <v>Meets Standard</v>
          </cell>
        </row>
        <row r="12">
          <cell r="B12" t="str">
            <v>Meets Standard</v>
          </cell>
          <cell r="C12" t="str">
            <v>Meets Standard</v>
          </cell>
          <cell r="D12" t="str">
            <v>Meets Standard</v>
          </cell>
          <cell r="E12" t="str">
            <v>Meets Standard</v>
          </cell>
        </row>
        <row r="17">
          <cell r="B17" t="str">
            <v>Meets Standard</v>
          </cell>
        </row>
        <row r="19">
          <cell r="B19" t="str">
            <v>Meets Standard</v>
          </cell>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4F53A2-5A12-4459-846F-DA1BAA30CF8F}" name="Table1" displayName="Table1" ref="A128:A130" totalsRowShown="0">
  <autoFilter ref="A128:A130" xr:uid="{944F53A2-5A12-4459-846F-DA1BAA30CF8F}"/>
  <tableColumns count="1">
    <tableColumn id="1" xr3:uid="{53E453D5-7457-4918-8E2B-36A28C6701AA}"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10B3-92A1-49A0-AB8A-039DA8CA1507}">
  <dimension ref="A1:H63"/>
  <sheetViews>
    <sheetView showGridLines="0" tabSelected="1" topLeftCell="A47" workbookViewId="0">
      <selection activeCell="C63" sqref="C63"/>
    </sheetView>
  </sheetViews>
  <sheetFormatPr defaultRowHeight="15" x14ac:dyDescent="0.25"/>
  <cols>
    <col min="1" max="1" width="46.140625" customWidth="1"/>
    <col min="2" max="2" width="25.140625" bestFit="1" customWidth="1"/>
    <col min="3" max="3" width="29.85546875" bestFit="1" customWidth="1"/>
    <col min="4" max="4" width="26" bestFit="1" customWidth="1"/>
    <col min="5" max="5" width="19.28515625" bestFit="1" customWidth="1"/>
    <col min="6" max="7" width="18.140625" bestFit="1" customWidth="1"/>
    <col min="8" max="8" width="19.5703125" bestFit="1" customWidth="1"/>
  </cols>
  <sheetData>
    <row r="1" spans="1:8" ht="15.75" x14ac:dyDescent="0.25">
      <c r="A1" s="1" t="s">
        <v>41</v>
      </c>
      <c r="H1" s="2"/>
    </row>
    <row r="2" spans="1:8" ht="15.75" x14ac:dyDescent="0.25">
      <c r="A2" s="1"/>
      <c r="H2" s="2"/>
    </row>
    <row r="3" spans="1:8" ht="18.75" x14ac:dyDescent="0.3">
      <c r="A3" s="3" t="s">
        <v>0</v>
      </c>
      <c r="B3" s="4" t="s">
        <v>1</v>
      </c>
      <c r="H3" s="2"/>
    </row>
    <row r="4" spans="1:8" ht="18.75" x14ac:dyDescent="0.3">
      <c r="A4" s="5" t="s">
        <v>2</v>
      </c>
      <c r="B4" s="4">
        <v>108653000</v>
      </c>
      <c r="H4" s="2"/>
    </row>
    <row r="5" spans="1:8" ht="18.75" x14ac:dyDescent="0.3">
      <c r="A5" s="5" t="s">
        <v>3</v>
      </c>
      <c r="B5" s="4">
        <v>4421</v>
      </c>
      <c r="H5" s="2"/>
    </row>
    <row r="6" spans="1:8" x14ac:dyDescent="0.25">
      <c r="H6" s="2"/>
    </row>
    <row r="7" spans="1:8" x14ac:dyDescent="0.25">
      <c r="H7" s="2"/>
    </row>
    <row r="8" spans="1:8" ht="18.75" x14ac:dyDescent="0.3">
      <c r="A8" s="6" t="s">
        <v>4</v>
      </c>
      <c r="B8" s="7"/>
      <c r="C8" s="7"/>
      <c r="D8" s="7"/>
      <c r="E8" s="7"/>
      <c r="F8" s="7"/>
      <c r="G8" s="7"/>
      <c r="H8" s="7"/>
    </row>
    <row r="9" spans="1:8" x14ac:dyDescent="0.25">
      <c r="B9" s="8"/>
      <c r="C9" s="8" t="s">
        <v>5</v>
      </c>
    </row>
    <row r="10" spans="1:8" x14ac:dyDescent="0.25">
      <c r="B10" s="9" t="s">
        <v>42</v>
      </c>
      <c r="C10" s="10" t="s">
        <v>46</v>
      </c>
      <c r="D10" s="10" t="s">
        <v>43</v>
      </c>
      <c r="E10" s="10" t="s">
        <v>44</v>
      </c>
      <c r="F10" s="10" t="s">
        <v>45</v>
      </c>
      <c r="G10" s="10" t="s">
        <v>46</v>
      </c>
    </row>
    <row r="11" spans="1:8" x14ac:dyDescent="0.25">
      <c r="A11" t="s">
        <v>7</v>
      </c>
      <c r="B11" s="11">
        <v>465669.48</v>
      </c>
      <c r="C11" s="12">
        <v>494780.13</v>
      </c>
      <c r="D11" s="12">
        <v>565024.01</v>
      </c>
      <c r="E11" s="12">
        <v>664726.25</v>
      </c>
      <c r="F11" s="12">
        <v>542830.09</v>
      </c>
      <c r="G11" s="12">
        <v>549354.12</v>
      </c>
    </row>
    <row r="12" spans="1:8" x14ac:dyDescent="0.25">
      <c r="A12" t="s">
        <v>8</v>
      </c>
      <c r="B12" s="11">
        <v>198132.98</v>
      </c>
      <c r="C12" s="12">
        <f>131918.04+116144.57+14161.14+4183.03+6863.83</f>
        <v>273270.61000000004</v>
      </c>
      <c r="D12" s="12">
        <f>112926.7+22146.06+7289.34+6864.16+92603.26</f>
        <v>241829.52000000002</v>
      </c>
      <c r="E12" s="12">
        <f>112448.21+30131.09+6705.67+6864.49+118668.64</f>
        <v>274818.10000000003</v>
      </c>
      <c r="F12" s="12">
        <f>32005.34+38116.02+9812.02+6864.82+97242.57</f>
        <v>184040.77000000002</v>
      </c>
      <c r="G12" s="12">
        <f>88372.86+11247.2+4183.34+6865.15+104980.36</f>
        <v>215648.90999999997</v>
      </c>
    </row>
    <row r="13" spans="1:8" x14ac:dyDescent="0.25">
      <c r="A13" t="s">
        <v>9</v>
      </c>
      <c r="B13" s="11"/>
      <c r="C13" s="12"/>
      <c r="D13" s="12"/>
      <c r="E13" s="12"/>
      <c r="F13" s="12"/>
      <c r="G13" s="12"/>
    </row>
    <row r="14" spans="1:8" x14ac:dyDescent="0.25">
      <c r="A14" s="13" t="s">
        <v>10</v>
      </c>
      <c r="B14" s="14">
        <f t="shared" ref="B14:G14" si="0">(B11-B12+B13)</f>
        <v>267536.5</v>
      </c>
      <c r="C14" s="15">
        <f t="shared" si="0"/>
        <v>221509.51999999996</v>
      </c>
      <c r="D14" s="15">
        <f t="shared" si="0"/>
        <v>323194.49</v>
      </c>
      <c r="E14" s="15">
        <f t="shared" si="0"/>
        <v>389908.14999999997</v>
      </c>
      <c r="F14" s="15">
        <f t="shared" si="0"/>
        <v>358789.31999999995</v>
      </c>
      <c r="G14" s="15">
        <f t="shared" si="0"/>
        <v>333705.21000000002</v>
      </c>
    </row>
    <row r="15" spans="1:8" x14ac:dyDescent="0.25">
      <c r="A15" t="s">
        <v>11</v>
      </c>
      <c r="B15" s="11">
        <v>2369918.9900000002</v>
      </c>
      <c r="C15" s="12">
        <f>497954.02+27000</f>
        <v>524954.02</v>
      </c>
      <c r="D15" s="12">
        <f>1066438.87+54000</f>
        <v>1120438.8700000001</v>
      </c>
      <c r="E15" s="12">
        <f>1576385.65+81000</f>
        <v>1657385.65</v>
      </c>
      <c r="F15" s="12">
        <v>2301577.79</v>
      </c>
      <c r="G15" s="12">
        <f>638346.84+27000</f>
        <v>665346.84</v>
      </c>
    </row>
    <row r="16" spans="1:8" x14ac:dyDescent="0.25">
      <c r="A16" t="s">
        <v>12</v>
      </c>
      <c r="B16" s="11">
        <v>106424</v>
      </c>
      <c r="C16" s="12">
        <v>27000</v>
      </c>
      <c r="D16" s="12">
        <v>54000</v>
      </c>
      <c r="E16" s="12">
        <v>81000</v>
      </c>
      <c r="F16" s="12">
        <v>107796</v>
      </c>
      <c r="G16" s="12">
        <v>27000</v>
      </c>
    </row>
    <row r="17" spans="1:8" x14ac:dyDescent="0.25">
      <c r="A17" t="s">
        <v>13</v>
      </c>
      <c r="B17" s="11">
        <v>14344.1</v>
      </c>
      <c r="C17" s="12">
        <v>0</v>
      </c>
      <c r="D17" s="12">
        <v>0</v>
      </c>
      <c r="E17" s="12">
        <v>4408.41</v>
      </c>
      <c r="F17" s="12">
        <f>14373.52+1575.37</f>
        <v>15948.89</v>
      </c>
      <c r="G17" s="12">
        <v>0</v>
      </c>
    </row>
    <row r="18" spans="1:8" x14ac:dyDescent="0.25">
      <c r="A18" s="13" t="s">
        <v>14</v>
      </c>
      <c r="B18" s="14">
        <f t="shared" ref="B18:G18" si="1">B15-(B16+B17)</f>
        <v>2249150.89</v>
      </c>
      <c r="C18" s="15">
        <f t="shared" si="1"/>
        <v>497954.02</v>
      </c>
      <c r="D18" s="15">
        <f t="shared" si="1"/>
        <v>1066438.8700000001</v>
      </c>
      <c r="E18" s="15">
        <f t="shared" si="1"/>
        <v>1571977.24</v>
      </c>
      <c r="F18" s="15">
        <f t="shared" si="1"/>
        <v>2177832.9</v>
      </c>
      <c r="G18" s="15">
        <f t="shared" si="1"/>
        <v>638346.84</v>
      </c>
    </row>
    <row r="19" spans="1:8" x14ac:dyDescent="0.25">
      <c r="A19" s="13" t="s">
        <v>15</v>
      </c>
      <c r="B19" s="14">
        <f>B18/365</f>
        <v>6162.057232876713</v>
      </c>
      <c r="C19" s="15">
        <f>C18/92</f>
        <v>5412.5436956521744</v>
      </c>
      <c r="D19" s="15">
        <f>D18/184</f>
        <v>5795.8634239130442</v>
      </c>
      <c r="E19" s="15">
        <f>E18/274</f>
        <v>5737.1432116788319</v>
      </c>
      <c r="F19" s="15">
        <f>F18/365</f>
        <v>5966.6654794520546</v>
      </c>
      <c r="G19" s="15">
        <f>G18/92</f>
        <v>6938.5526086956515</v>
      </c>
    </row>
    <row r="21" spans="1:8" x14ac:dyDescent="0.25">
      <c r="A21" s="16" t="s">
        <v>4</v>
      </c>
      <c r="B21" s="17">
        <f t="shared" ref="B21:G21" si="2">B14/B19</f>
        <v>43.416750265252318</v>
      </c>
      <c r="C21" s="17">
        <f t="shared" si="2"/>
        <v>40.925216026973722</v>
      </c>
      <c r="D21" s="17">
        <f t="shared" si="2"/>
        <v>55.762958227507205</v>
      </c>
      <c r="E21" s="17">
        <f t="shared" si="2"/>
        <v>67.962073738421296</v>
      </c>
      <c r="F21" s="17">
        <f t="shared" si="2"/>
        <v>60.132300232951749</v>
      </c>
      <c r="G21" s="17">
        <f t="shared" si="2"/>
        <v>48.094354661487799</v>
      </c>
    </row>
    <row r="24" spans="1:8" ht="18.75" x14ac:dyDescent="0.3">
      <c r="A24" s="6" t="s">
        <v>16</v>
      </c>
      <c r="B24" s="7"/>
      <c r="C24" s="7"/>
      <c r="D24" s="7"/>
      <c r="E24" s="7"/>
      <c r="F24" s="7"/>
      <c r="G24" s="7"/>
      <c r="H24" s="7"/>
    </row>
    <row r="25" spans="1:8" x14ac:dyDescent="0.25">
      <c r="B25" s="8"/>
      <c r="D25" s="8" t="s">
        <v>5</v>
      </c>
    </row>
    <row r="26" spans="1:8" x14ac:dyDescent="0.25">
      <c r="B26" s="9" t="s">
        <v>42</v>
      </c>
      <c r="C26" s="18" t="s">
        <v>130</v>
      </c>
      <c r="D26" s="10" t="s">
        <v>6</v>
      </c>
      <c r="E26" s="10" t="s">
        <v>43</v>
      </c>
      <c r="F26" s="10" t="s">
        <v>44</v>
      </c>
      <c r="G26" s="10" t="s">
        <v>45</v>
      </c>
      <c r="H26" s="10" t="s">
        <v>46</v>
      </c>
    </row>
    <row r="27" spans="1:8" x14ac:dyDescent="0.25">
      <c r="A27" s="13" t="s">
        <v>17</v>
      </c>
      <c r="B27" s="19">
        <v>2409171.77</v>
      </c>
      <c r="C27" s="20"/>
      <c r="D27" s="21">
        <v>555842.96</v>
      </c>
      <c r="E27" s="12">
        <v>1286431.17</v>
      </c>
      <c r="F27" s="12">
        <v>1922138.63</v>
      </c>
      <c r="G27" s="12">
        <v>2581422.46</v>
      </c>
      <c r="H27" s="12">
        <v>615426.86</v>
      </c>
    </row>
    <row r="28" spans="1:8" x14ac:dyDescent="0.25">
      <c r="A28" t="s">
        <v>11</v>
      </c>
      <c r="B28" s="22">
        <f>B15</f>
        <v>2369918.9900000002</v>
      </c>
      <c r="C28" s="20"/>
      <c r="D28" s="15">
        <f t="shared" ref="D28:H30" si="3">C15</f>
        <v>524954.02</v>
      </c>
      <c r="E28" s="15">
        <f t="shared" si="3"/>
        <v>1120438.8700000001</v>
      </c>
      <c r="F28" s="15">
        <f t="shared" si="3"/>
        <v>1657385.65</v>
      </c>
      <c r="G28" s="15">
        <f t="shared" si="3"/>
        <v>2301577.79</v>
      </c>
      <c r="H28" s="15">
        <f t="shared" si="3"/>
        <v>665346.84</v>
      </c>
    </row>
    <row r="29" spans="1:8" x14ac:dyDescent="0.25">
      <c r="A29" t="s">
        <v>12</v>
      </c>
      <c r="B29" s="22">
        <f>B16</f>
        <v>106424</v>
      </c>
      <c r="C29" s="20"/>
      <c r="D29" s="15">
        <f t="shared" si="3"/>
        <v>27000</v>
      </c>
      <c r="E29" s="15">
        <f t="shared" si="3"/>
        <v>54000</v>
      </c>
      <c r="F29" s="15">
        <f t="shared" si="3"/>
        <v>81000</v>
      </c>
      <c r="G29" s="15">
        <f t="shared" si="3"/>
        <v>107796</v>
      </c>
      <c r="H29" s="15">
        <f t="shared" si="3"/>
        <v>27000</v>
      </c>
    </row>
    <row r="30" spans="1:8" x14ac:dyDescent="0.25">
      <c r="A30" t="s">
        <v>13</v>
      </c>
      <c r="B30" s="22">
        <f>B17</f>
        <v>14344.1</v>
      </c>
      <c r="C30" s="20"/>
      <c r="D30" s="15">
        <f t="shared" si="3"/>
        <v>0</v>
      </c>
      <c r="E30" s="15">
        <f t="shared" si="3"/>
        <v>0</v>
      </c>
      <c r="F30" s="15">
        <f t="shared" si="3"/>
        <v>4408.41</v>
      </c>
      <c r="G30" s="15">
        <f t="shared" si="3"/>
        <v>15948.89</v>
      </c>
      <c r="H30" s="15">
        <f t="shared" si="3"/>
        <v>0</v>
      </c>
    </row>
    <row r="31" spans="1:8" x14ac:dyDescent="0.25">
      <c r="A31" s="13" t="s">
        <v>14</v>
      </c>
      <c r="B31" s="14">
        <f>B28-(B29+B30)</f>
        <v>2249150.89</v>
      </c>
      <c r="C31" s="15">
        <f>C28-(C29+C30)</f>
        <v>0</v>
      </c>
      <c r="D31" s="15">
        <f>D28-(D29+D30)</f>
        <v>497954.02</v>
      </c>
      <c r="E31" s="15">
        <f t="shared" ref="E31:G31" si="4">E28-(E29+E30)</f>
        <v>1066438.8700000001</v>
      </c>
      <c r="F31" s="15">
        <f t="shared" si="4"/>
        <v>1571977.24</v>
      </c>
      <c r="G31" s="15">
        <f t="shared" si="4"/>
        <v>2177832.9</v>
      </c>
      <c r="H31" s="15">
        <f>H28-(H29+H30)</f>
        <v>638346.84</v>
      </c>
    </row>
    <row r="32" spans="1:8" x14ac:dyDescent="0.25">
      <c r="B32" s="22"/>
      <c r="C32" s="23"/>
      <c r="D32" s="15"/>
      <c r="E32" s="15"/>
      <c r="F32" s="15"/>
      <c r="G32" s="15"/>
      <c r="H32" s="15"/>
    </row>
    <row r="33" spans="1:8" x14ac:dyDescent="0.25">
      <c r="A33" s="16" t="s">
        <v>16</v>
      </c>
      <c r="B33" s="24">
        <f>B27-B31</f>
        <v>160020.87999999989</v>
      </c>
      <c r="C33" s="25">
        <f>C27-C31</f>
        <v>0</v>
      </c>
      <c r="D33" s="25">
        <f>D27-D31</f>
        <v>57888.939999999944</v>
      </c>
      <c r="E33" s="25">
        <f t="shared" ref="E33:G33" si="5">E27-E31</f>
        <v>219992.29999999981</v>
      </c>
      <c r="F33" s="25">
        <f t="shared" si="5"/>
        <v>350161.3899999999</v>
      </c>
      <c r="G33" s="25">
        <f t="shared" si="5"/>
        <v>403589.56000000006</v>
      </c>
      <c r="H33" s="25">
        <f>H27-H31</f>
        <v>-22919.979999999981</v>
      </c>
    </row>
    <row r="34" spans="1:8" x14ac:dyDescent="0.25">
      <c r="A34" s="16" t="s">
        <v>18</v>
      </c>
      <c r="B34" s="26">
        <f t="shared" ref="B34:H34" si="6">B33/B27</f>
        <v>6.6421532076975931E-2</v>
      </c>
      <c r="C34" s="26" t="e">
        <f t="shared" si="6"/>
        <v>#DIV/0!</v>
      </c>
      <c r="D34" s="26">
        <f t="shared" si="6"/>
        <v>0.1041462142472758</v>
      </c>
      <c r="E34" s="26">
        <f t="shared" si="6"/>
        <v>0.171009771164049</v>
      </c>
      <c r="F34" s="26">
        <f t="shared" si="6"/>
        <v>0.18217280717156178</v>
      </c>
      <c r="G34" s="26">
        <f t="shared" si="6"/>
        <v>0.15634386322028052</v>
      </c>
      <c r="H34" s="26">
        <f t="shared" si="6"/>
        <v>-3.7242410901597606E-2</v>
      </c>
    </row>
    <row r="37" spans="1:8" ht="18.75" x14ac:dyDescent="0.3">
      <c r="A37" s="6" t="s">
        <v>19</v>
      </c>
      <c r="B37" s="7"/>
      <c r="C37" s="7"/>
      <c r="D37" s="7"/>
      <c r="E37" s="7"/>
      <c r="F37" s="7"/>
      <c r="G37" s="7"/>
      <c r="H37" s="7"/>
    </row>
    <row r="38" spans="1:8" x14ac:dyDescent="0.25">
      <c r="A38" s="27" t="s">
        <v>20</v>
      </c>
      <c r="C38" s="8" t="s">
        <v>40</v>
      </c>
    </row>
    <row r="39" spans="1:8" x14ac:dyDescent="0.25">
      <c r="A39" s="16" t="s">
        <v>28</v>
      </c>
      <c r="B39" s="28">
        <v>164.53059999999999</v>
      </c>
      <c r="D39" s="10" t="s">
        <v>21</v>
      </c>
      <c r="E39" s="10" t="s">
        <v>22</v>
      </c>
      <c r="F39" s="10" t="s">
        <v>23</v>
      </c>
      <c r="G39" s="10" t="s">
        <v>24</v>
      </c>
      <c r="H39" s="10" t="s">
        <v>25</v>
      </c>
    </row>
    <row r="40" spans="1:8" x14ac:dyDescent="0.25">
      <c r="A40" s="16" t="s">
        <v>47</v>
      </c>
      <c r="B40" s="28">
        <v>159.833</v>
      </c>
      <c r="C40" s="29" t="s">
        <v>54</v>
      </c>
      <c r="D40" s="30">
        <f>(B39-B44)/B44</f>
        <v>8.3286257003838488E-2</v>
      </c>
      <c r="E40" s="30">
        <f>(B40-B44)/B44</f>
        <v>5.2356779320652344E-2</v>
      </c>
      <c r="F40" s="30">
        <f>(B41-B44)/B44</f>
        <v>5.1058394400879566E-2</v>
      </c>
      <c r="G40" s="30">
        <f>(B42-B44)/B44</f>
        <v>2.699086785048823E-2</v>
      </c>
      <c r="H40" s="30">
        <f>(B43-B44)/B44</f>
        <v>0.10280548587380917</v>
      </c>
    </row>
    <row r="41" spans="1:8" x14ac:dyDescent="0.25">
      <c r="A41" s="16" t="s">
        <v>48</v>
      </c>
      <c r="B41" s="28">
        <v>159.63579999999999</v>
      </c>
      <c r="C41" s="29" t="s">
        <v>26</v>
      </c>
      <c r="D41" s="30">
        <f>(B44-B45)/B45</f>
        <v>-4.4569879993281651E-2</v>
      </c>
      <c r="E41" s="30">
        <f>D41</f>
        <v>-4.4569879993281651E-2</v>
      </c>
      <c r="F41" s="30">
        <f>D41</f>
        <v>-4.4569879993281651E-2</v>
      </c>
      <c r="G41" s="30">
        <f>D41</f>
        <v>-4.4569879993281651E-2</v>
      </c>
      <c r="H41" s="30">
        <f>D41</f>
        <v>-4.4569879993281651E-2</v>
      </c>
    </row>
    <row r="42" spans="1:8" x14ac:dyDescent="0.25">
      <c r="A42" s="16" t="s">
        <v>49</v>
      </c>
      <c r="B42" s="28">
        <v>155.9804</v>
      </c>
      <c r="C42" s="29" t="s">
        <v>27</v>
      </c>
      <c r="D42" s="30">
        <f>(B45-B46)/B46</f>
        <v>-0.15217718262264579</v>
      </c>
      <c r="E42" s="30">
        <f>D42</f>
        <v>-0.15217718262264579</v>
      </c>
      <c r="F42" s="30">
        <f>D42</f>
        <v>-0.15217718262264579</v>
      </c>
      <c r="G42" s="30">
        <f>D42</f>
        <v>-0.15217718262264579</v>
      </c>
      <c r="H42" s="30">
        <f>D42</f>
        <v>-0.15217718262264579</v>
      </c>
    </row>
    <row r="43" spans="1:8" x14ac:dyDescent="0.25">
      <c r="A43" s="16" t="s">
        <v>50</v>
      </c>
      <c r="B43" s="28">
        <v>167.49520000000001</v>
      </c>
      <c r="C43" s="16" t="s">
        <v>29</v>
      </c>
      <c r="D43" s="31">
        <f>(D40+D41+D42)/3</f>
        <v>-3.7820268537362985E-2</v>
      </c>
      <c r="E43" s="31">
        <f>(E40+E41+E42)/3</f>
        <v>-4.8130094431758363E-2</v>
      </c>
      <c r="F43" s="31">
        <f>(F40+F41+F42)/3</f>
        <v>-4.8562889405015963E-2</v>
      </c>
      <c r="G43" s="31">
        <f>(G40+G41+G42)/3</f>
        <v>-5.6585398255146406E-2</v>
      </c>
      <c r="H43" s="31">
        <f>(H40+H41+H42)/3</f>
        <v>-3.1313858914039427E-2</v>
      </c>
    </row>
    <row r="44" spans="1:8" x14ac:dyDescent="0.25">
      <c r="A44" s="16" t="s">
        <v>51</v>
      </c>
      <c r="B44" s="28">
        <v>151.881</v>
      </c>
      <c r="C44" s="16"/>
      <c r="D44" s="23"/>
      <c r="E44" s="23"/>
      <c r="F44" s="23"/>
    </row>
    <row r="45" spans="1:8" x14ac:dyDescent="0.25">
      <c r="A45" s="16" t="s">
        <v>52</v>
      </c>
      <c r="B45" s="28">
        <v>158.96610000000001</v>
      </c>
      <c r="C45" s="16" t="s">
        <v>30</v>
      </c>
      <c r="D45" s="32">
        <v>44819</v>
      </c>
      <c r="E45" s="32">
        <v>44910</v>
      </c>
      <c r="F45" s="32">
        <v>45000</v>
      </c>
      <c r="G45" s="32">
        <v>45122</v>
      </c>
      <c r="H45" s="32">
        <v>45184</v>
      </c>
    </row>
    <row r="46" spans="1:8" x14ac:dyDescent="0.25">
      <c r="A46" s="16" t="s">
        <v>53</v>
      </c>
      <c r="B46" s="28">
        <v>187.4992</v>
      </c>
      <c r="C46" s="25"/>
      <c r="D46" s="33"/>
    </row>
    <row r="47" spans="1:8" x14ac:dyDescent="0.25">
      <c r="A47" s="13"/>
      <c r="B47" s="23"/>
      <c r="C47" s="25"/>
      <c r="D47" s="15"/>
    </row>
    <row r="48" spans="1:8" x14ac:dyDescent="0.25">
      <c r="A48" s="34" t="s">
        <v>56</v>
      </c>
      <c r="B48" s="35">
        <v>-0.121</v>
      </c>
    </row>
    <row r="51" spans="1:7" ht="18.75" x14ac:dyDescent="0.3">
      <c r="A51" s="6" t="s">
        <v>31</v>
      </c>
      <c r="B51" s="7"/>
      <c r="C51" s="7"/>
      <c r="D51" s="7"/>
      <c r="E51" s="7"/>
      <c r="F51" s="7"/>
      <c r="G51" s="7"/>
    </row>
    <row r="52" spans="1:7" x14ac:dyDescent="0.25">
      <c r="B52" s="8"/>
      <c r="C52" s="8" t="s">
        <v>55</v>
      </c>
    </row>
    <row r="53" spans="1:7" x14ac:dyDescent="0.25">
      <c r="B53" s="9" t="s">
        <v>42</v>
      </c>
      <c r="C53" s="16" t="s">
        <v>45</v>
      </c>
    </row>
    <row r="54" spans="1:7" x14ac:dyDescent="0.25">
      <c r="A54" t="s">
        <v>32</v>
      </c>
      <c r="B54" s="22">
        <f>B33</f>
        <v>160020.87999999989</v>
      </c>
      <c r="C54" s="15">
        <f>G33</f>
        <v>403589.56000000006</v>
      </c>
    </row>
    <row r="55" spans="1:7" x14ac:dyDescent="0.25">
      <c r="A55" t="s">
        <v>33</v>
      </c>
      <c r="B55" s="11">
        <v>204300.35</v>
      </c>
      <c r="C55" s="12">
        <v>198686.39</v>
      </c>
    </row>
    <row r="56" spans="1:7" x14ac:dyDescent="0.25">
      <c r="A56" t="s">
        <v>34</v>
      </c>
      <c r="B56" s="11">
        <v>73783</v>
      </c>
      <c r="C56" s="12">
        <v>73999.08</v>
      </c>
    </row>
    <row r="57" spans="1:7" x14ac:dyDescent="0.25">
      <c r="A57" s="13" t="s">
        <v>35</v>
      </c>
      <c r="B57" s="14">
        <f>SUM(B54:B56)</f>
        <v>438104.22999999986</v>
      </c>
      <c r="C57" s="15">
        <f t="shared" ref="C57" si="7">SUM(C54:C56)</f>
        <v>676275.03</v>
      </c>
    </row>
    <row r="58" spans="1:7" x14ac:dyDescent="0.25">
      <c r="A58" t="s">
        <v>36</v>
      </c>
      <c r="B58" s="11">
        <v>130000</v>
      </c>
      <c r="C58" s="12">
        <v>135000</v>
      </c>
    </row>
    <row r="59" spans="1:7" x14ac:dyDescent="0.25">
      <c r="A59" t="s">
        <v>37</v>
      </c>
      <c r="B59" s="22">
        <f>B55</f>
        <v>204300.35</v>
      </c>
      <c r="C59" s="15">
        <f t="shared" ref="C59:C60" si="8">C55</f>
        <v>198686.39</v>
      </c>
    </row>
    <row r="60" spans="1:7" x14ac:dyDescent="0.25">
      <c r="A60" t="s">
        <v>34</v>
      </c>
      <c r="B60" s="22">
        <f>B56</f>
        <v>73783</v>
      </c>
      <c r="C60" s="15">
        <f t="shared" si="8"/>
        <v>73999.08</v>
      </c>
    </row>
    <row r="61" spans="1:7" x14ac:dyDescent="0.25">
      <c r="A61" s="13" t="s">
        <v>38</v>
      </c>
      <c r="B61" s="14">
        <f>SUM(B58:B60)</f>
        <v>408083.35</v>
      </c>
      <c r="C61" s="15">
        <f t="shared" ref="C61" si="9">SUM(C58:C60)</f>
        <v>407685.47000000003</v>
      </c>
    </row>
    <row r="62" spans="1:7" x14ac:dyDescent="0.25">
      <c r="C62" s="13"/>
    </row>
    <row r="63" spans="1:7" x14ac:dyDescent="0.25">
      <c r="A63" s="16" t="s">
        <v>39</v>
      </c>
      <c r="B63" s="17">
        <f>B57/B61</f>
        <v>1.0735655595848248</v>
      </c>
      <c r="C63" s="17">
        <f>C57/C61</f>
        <v>1.6588156305889439</v>
      </c>
    </row>
  </sheetData>
  <hyperlinks>
    <hyperlink ref="A51" location="'Measure Formulas &amp; Ratings'!E17" display="LEASE ADJUSTED DEBT SERVICE COVERAGE RATIO" xr:uid="{C8875CA5-2F87-46A6-8A35-46C92EA2919A}"/>
    <hyperlink ref="A8" location="'Measure Formulas &amp; Ratings'!A3" display="UNRESTRICTED DAYS LIQUIDITY" xr:uid="{0195B5D8-17BB-41BB-B980-6D2F182EBC00}"/>
    <hyperlink ref="A24" location="'Measure Formulas &amp; Ratings'!E3" display="ADJUSTED NET INCOME" xr:uid="{5E91BBFD-4301-478E-BD04-0A548A701AB0}"/>
    <hyperlink ref="A37" location="'Measure Formulas &amp; Ratings'!A13" display="AVERAGE DAILY MEMBERSHIP" xr:uid="{6E2ABCCF-56DE-474E-997E-283BB7AB9981}"/>
  </hyperlink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14F3-9934-4BE9-B925-5E7FA94E9935}">
  <dimension ref="A1:H20"/>
  <sheetViews>
    <sheetView showGridLines="0" topLeftCell="A3" workbookViewId="0">
      <selection activeCell="A10" sqref="A10"/>
    </sheetView>
  </sheetViews>
  <sheetFormatPr defaultRowHeight="15" x14ac:dyDescent="0.25"/>
  <cols>
    <col min="1" max="1" width="35.85546875" customWidth="1"/>
    <col min="2" max="6" width="30.5703125" customWidth="1"/>
  </cols>
  <sheetData>
    <row r="1" spans="1:8" ht="15.75" x14ac:dyDescent="0.25">
      <c r="A1" s="1" t="s">
        <v>64</v>
      </c>
    </row>
    <row r="2" spans="1:8" ht="15.75" x14ac:dyDescent="0.25">
      <c r="A2" s="1"/>
    </row>
    <row r="3" spans="1:8" ht="18.75" x14ac:dyDescent="0.3">
      <c r="A3" s="3" t="s">
        <v>0</v>
      </c>
      <c r="B3" s="36" t="str">
        <f>'[1]Calculations-Data Entry'!B3</f>
        <v>The Edge School, Inc.</v>
      </c>
      <c r="H3" s="2"/>
    </row>
    <row r="4" spans="1:8" ht="18.75" x14ac:dyDescent="0.3">
      <c r="A4" s="5" t="s">
        <v>2</v>
      </c>
      <c r="B4" s="36" t="str">
        <f>'[1]Calculations-Data Entry'!B4</f>
        <v>10-86-53-000</v>
      </c>
    </row>
    <row r="5" spans="1:8" ht="18.75" x14ac:dyDescent="0.3">
      <c r="A5" s="5" t="s">
        <v>3</v>
      </c>
      <c r="B5" s="36">
        <f>'[1]Calculations-Data Entry'!B5</f>
        <v>4421</v>
      </c>
    </row>
    <row r="8" spans="1:8" ht="18.75" x14ac:dyDescent="0.3">
      <c r="A8" s="6" t="s">
        <v>57</v>
      </c>
      <c r="B8" s="7"/>
      <c r="C8" s="7"/>
      <c r="D8" s="7"/>
      <c r="E8" s="7"/>
      <c r="F8" s="7"/>
    </row>
    <row r="9" spans="1:8" s="38" customFormat="1" x14ac:dyDescent="0.25">
      <c r="A9" s="34" t="s">
        <v>69</v>
      </c>
      <c r="B9" s="37" t="s">
        <v>58</v>
      </c>
    </row>
    <row r="10" spans="1:8" s="38" customFormat="1" ht="9" customHeight="1" x14ac:dyDescent="0.25">
      <c r="A10" s="39"/>
    </row>
    <row r="11" spans="1:8" x14ac:dyDescent="0.25">
      <c r="B11" s="10" t="s">
        <v>59</v>
      </c>
      <c r="C11" s="10" t="s">
        <v>65</v>
      </c>
      <c r="D11" s="10" t="s">
        <v>66</v>
      </c>
      <c r="E11" s="10" t="s">
        <v>67</v>
      </c>
      <c r="F11" s="10" t="s">
        <v>68</v>
      </c>
    </row>
    <row r="12" spans="1:8" x14ac:dyDescent="0.25">
      <c r="A12" s="27" t="s">
        <v>60</v>
      </c>
      <c r="B12" s="37" t="s">
        <v>58</v>
      </c>
      <c r="C12" s="37" t="s">
        <v>58</v>
      </c>
      <c r="D12" s="37" t="s">
        <v>58</v>
      </c>
      <c r="E12" s="35" t="s">
        <v>58</v>
      </c>
      <c r="F12" s="35" t="s">
        <v>58</v>
      </c>
    </row>
    <row r="13" spans="1:8" ht="26.25" x14ac:dyDescent="0.25">
      <c r="A13" s="27" t="s">
        <v>61</v>
      </c>
      <c r="B13" s="40" t="s">
        <v>62</v>
      </c>
      <c r="C13" s="40" t="s">
        <v>62</v>
      </c>
      <c r="D13" s="40" t="s">
        <v>62</v>
      </c>
      <c r="E13" s="41" t="s">
        <v>62</v>
      </c>
      <c r="F13" s="41" t="s">
        <v>62</v>
      </c>
    </row>
    <row r="14" spans="1:8" x14ac:dyDescent="0.25">
      <c r="A14" s="13"/>
      <c r="C14" s="42"/>
    </row>
    <row r="16" spans="1:8" ht="18.75" x14ac:dyDescent="0.3">
      <c r="A16" s="6" t="s">
        <v>63</v>
      </c>
      <c r="B16" s="7"/>
      <c r="C16" s="7"/>
      <c r="D16" s="7"/>
      <c r="E16" s="7"/>
      <c r="F16" s="7"/>
    </row>
    <row r="17" spans="1:5" x14ac:dyDescent="0.25">
      <c r="A17" s="34" t="s">
        <v>69</v>
      </c>
      <c r="B17" s="37" t="s">
        <v>58</v>
      </c>
    </row>
    <row r="18" spans="1:5" ht="9" customHeight="1" x14ac:dyDescent="0.25">
      <c r="A18" s="39"/>
      <c r="B18" s="38"/>
      <c r="C18" s="38"/>
      <c r="D18" s="38"/>
      <c r="E18" s="38"/>
    </row>
    <row r="19" spans="1:5" x14ac:dyDescent="0.25">
      <c r="A19" s="27" t="s">
        <v>70</v>
      </c>
      <c r="B19" s="35" t="s">
        <v>58</v>
      </c>
    </row>
    <row r="20" spans="1:5" ht="179.25" x14ac:dyDescent="0.25">
      <c r="A20" s="27" t="s">
        <v>61</v>
      </c>
      <c r="B20" s="41" t="s">
        <v>71</v>
      </c>
    </row>
  </sheetData>
  <hyperlinks>
    <hyperlink ref="A8" location="'Measure Formulas &amp; Ratings'!A31" display="DEFAULT" xr:uid="{789BFD60-7C30-4210-86BF-1FD90CDDAF8F}"/>
    <hyperlink ref="A16" location="'Measure Formulas &amp; Ratings'!E27" display="GOING CONCERN" xr:uid="{3CD06DF1-1791-4617-8104-5E42783CFF4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700C-6A91-4F1C-A7C6-99004CE68872}">
  <dimension ref="A1:H15"/>
  <sheetViews>
    <sheetView workbookViewId="0">
      <selection activeCell="F6" sqref="F6"/>
    </sheetView>
  </sheetViews>
  <sheetFormatPr defaultRowHeight="15" x14ac:dyDescent="0.25"/>
  <cols>
    <col min="1" max="1" width="31.7109375" customWidth="1"/>
    <col min="2" max="2" width="15.140625" customWidth="1"/>
    <col min="3" max="3" width="15.140625" bestFit="1" customWidth="1"/>
    <col min="4" max="7" width="15.140625" customWidth="1"/>
  </cols>
  <sheetData>
    <row r="1" spans="1:8" ht="15.75" x14ac:dyDescent="0.25">
      <c r="A1" s="1" t="s">
        <v>74</v>
      </c>
    </row>
    <row r="2" spans="1:8" ht="15.75" x14ac:dyDescent="0.25">
      <c r="A2" s="1"/>
    </row>
    <row r="3" spans="1:8" ht="18.75" x14ac:dyDescent="0.3">
      <c r="A3" s="3" t="s">
        <v>0</v>
      </c>
      <c r="B3" s="36" t="str">
        <f>'[1]Calculations-Data Entry'!B3</f>
        <v>The Edge School, Inc.</v>
      </c>
      <c r="H3" s="2"/>
    </row>
    <row r="4" spans="1:8" ht="18.75" x14ac:dyDescent="0.3">
      <c r="A4" s="5" t="s">
        <v>2</v>
      </c>
      <c r="B4" s="36" t="str">
        <f>'[1]Calculations-Data Entry'!B4</f>
        <v>10-86-53-000</v>
      </c>
    </row>
    <row r="5" spans="1:8" ht="18.75" x14ac:dyDescent="0.3">
      <c r="A5" s="5" t="s">
        <v>3</v>
      </c>
      <c r="B5" s="36">
        <f>'[1]Calculations-Data Entry'!B5</f>
        <v>4421</v>
      </c>
    </row>
    <row r="9" spans="1:8" x14ac:dyDescent="0.25">
      <c r="B9" t="s">
        <v>75</v>
      </c>
      <c r="C9" t="s">
        <v>72</v>
      </c>
      <c r="D9" t="s">
        <v>76</v>
      </c>
      <c r="E9" t="s">
        <v>77</v>
      </c>
      <c r="F9" t="s">
        <v>78</v>
      </c>
      <c r="G9" t="s">
        <v>79</v>
      </c>
    </row>
    <row r="10" spans="1:8" x14ac:dyDescent="0.25">
      <c r="A10" t="s">
        <v>4</v>
      </c>
      <c r="B10" s="43">
        <v>43.42</v>
      </c>
      <c r="C10" s="43">
        <v>40.925216026973722</v>
      </c>
      <c r="D10" s="43">
        <v>55.762958227507205</v>
      </c>
      <c r="E10" s="43">
        <v>67.962073738421296</v>
      </c>
      <c r="F10" s="43">
        <v>60.132300232951749</v>
      </c>
      <c r="G10" s="43">
        <f>+'Calculations-Data Entry'!G21</f>
        <v>48.094354661487799</v>
      </c>
    </row>
    <row r="11" spans="1:8" x14ac:dyDescent="0.25">
      <c r="A11" t="s">
        <v>16</v>
      </c>
      <c r="B11" s="44">
        <v>6.6400000000000001E-2</v>
      </c>
      <c r="C11" s="44">
        <f>'[1]Calculations-Data Entry'!D34</f>
        <v>0.15845578093613366</v>
      </c>
      <c r="D11" s="44">
        <f>'[1]Calculations-Data Entry'!E34</f>
        <v>0.1110862985438919</v>
      </c>
      <c r="E11" s="44">
        <f>'[1]Calculations-Data Entry'!F34</f>
        <v>9.1465410420563789E-2</v>
      </c>
      <c r="F11" s="44">
        <f>'[1]Calculations-Data Entry'!G34</f>
        <v>6.6421532076975931E-2</v>
      </c>
      <c r="G11" s="44">
        <f>+'Calculations-Data Entry'!H34</f>
        <v>-3.7242410901597606E-2</v>
      </c>
    </row>
    <row r="12" spans="1:8" x14ac:dyDescent="0.25">
      <c r="A12" s="45" t="s">
        <v>19</v>
      </c>
      <c r="B12" s="46">
        <v>-0.121</v>
      </c>
      <c r="C12" s="46">
        <v>-3.7820268537362985E-2</v>
      </c>
      <c r="D12" s="46">
        <v>-4.8130094431758363E-2</v>
      </c>
      <c r="E12" s="46">
        <v>-4.8562889405015963E-2</v>
      </c>
      <c r="F12" s="46">
        <v>-5.6585398255146406E-2</v>
      </c>
      <c r="G12" s="46">
        <f>+'Calculations-Data Entry'!H43</f>
        <v>-3.1313858914039427E-2</v>
      </c>
    </row>
    <row r="13" spans="1:8" x14ac:dyDescent="0.25">
      <c r="A13" t="s">
        <v>57</v>
      </c>
      <c r="B13" s="16" t="str">
        <f>'[1]Default &amp; Going Concern'!B9</f>
        <v>Meets Standard</v>
      </c>
      <c r="C13" s="16" t="str">
        <f>'[1]Default &amp; Going Concern'!B12</f>
        <v>Meets Standard</v>
      </c>
      <c r="D13" s="16" t="str">
        <f>'[1]Default &amp; Going Concern'!C12</f>
        <v>Meets Standard</v>
      </c>
      <c r="E13" s="16" t="str">
        <f>'[1]Default &amp; Going Concern'!D12</f>
        <v>Meets Standard</v>
      </c>
      <c r="F13" s="16" t="str">
        <f>'[1]Default &amp; Going Concern'!E12</f>
        <v>Meets Standard</v>
      </c>
      <c r="G13" s="16">
        <f>'[1]Default &amp; Going Concern'!F12</f>
        <v>0</v>
      </c>
    </row>
    <row r="14" spans="1:8" x14ac:dyDescent="0.25">
      <c r="A14" t="s">
        <v>63</v>
      </c>
      <c r="B14" s="16" t="str">
        <f>'[1]Default &amp; Going Concern'!B17</f>
        <v>Meets Standard</v>
      </c>
      <c r="C14" s="47"/>
      <c r="D14" s="47"/>
      <c r="E14" s="47"/>
      <c r="F14" s="16" t="str">
        <f>'[1]Default &amp; Going Concern'!B19</f>
        <v>Meets Standard</v>
      </c>
      <c r="G14" s="48"/>
    </row>
    <row r="15" spans="1:8" x14ac:dyDescent="0.25">
      <c r="A15" t="s">
        <v>73</v>
      </c>
      <c r="B15" s="49">
        <v>1.07</v>
      </c>
      <c r="C15" s="47"/>
      <c r="D15" s="47"/>
      <c r="E15" s="47"/>
      <c r="F15" s="49">
        <f>+'Calculations-Data Entry'!C63</f>
        <v>1.6588156305889439</v>
      </c>
      <c r="G15" s="48"/>
    </row>
  </sheetData>
  <conditionalFormatting sqref="B14">
    <cfRule type="containsText" dxfId="17" priority="15" operator="containsText" text="Below Standard">
      <formula>NOT(ISERROR(SEARCH("Below Standard",B14)))</formula>
    </cfRule>
    <cfRule type="containsText" dxfId="16" priority="16" operator="containsText" text="Meets Standard">
      <formula>NOT(ISERROR(SEARCH("Meets Standard",B14)))</formula>
    </cfRule>
  </conditionalFormatting>
  <conditionalFormatting sqref="B15">
    <cfRule type="cellIs" dxfId="15" priority="7" operator="greaterThan">
      <formula>1.1094</formula>
    </cfRule>
    <cfRule type="cellIs" dxfId="14" priority="8" operator="between">
      <formula>1</formula>
      <formula>1.1094</formula>
    </cfRule>
    <cfRule type="cellIs" dxfId="13" priority="9" operator="lessThan">
      <formula>1</formula>
    </cfRule>
  </conditionalFormatting>
  <conditionalFormatting sqref="B10:G10">
    <cfRule type="cellIs" dxfId="12" priority="10" operator="greaterThan">
      <formula>29.99</formula>
    </cfRule>
    <cfRule type="cellIs" dxfId="11" priority="11" operator="between">
      <formula>15</formula>
      <formula>29.99</formula>
    </cfRule>
    <cfRule type="cellIs" dxfId="10" priority="12" operator="lessThan">
      <formula>15</formula>
    </cfRule>
  </conditionalFormatting>
  <conditionalFormatting sqref="B11:G11">
    <cfRule type="cellIs" dxfId="9" priority="1" operator="greaterThan">
      <formula>0</formula>
    </cfRule>
    <cfRule type="cellIs" dxfId="8" priority="2" operator="between">
      <formula>-0.0499999999999999</formula>
      <formula>0</formula>
    </cfRule>
    <cfRule type="cellIs" dxfId="7" priority="3" operator="lessThan">
      <formula>-0.0499999999999999</formula>
    </cfRule>
  </conditionalFormatting>
  <conditionalFormatting sqref="B13:G13">
    <cfRule type="containsText" dxfId="6" priority="17" operator="containsText" text="Below Standard">
      <formula>NOT(ISERROR(SEARCH("Below Standard",B13)))</formula>
    </cfRule>
    <cfRule type="containsText" dxfId="5" priority="18" operator="containsText" text="Meets Standard">
      <formula>NOT(ISERROR(SEARCH("Meets Standard",B13)))</formula>
    </cfRule>
  </conditionalFormatting>
  <conditionalFormatting sqref="F14">
    <cfRule type="containsText" dxfId="4" priority="13" operator="containsText" text="Below Standard">
      <formula>NOT(ISERROR(SEARCH("Below Standard",F14)))</formula>
    </cfRule>
    <cfRule type="containsText" dxfId="3" priority="14" operator="containsText" text="Meets Standard">
      <formula>NOT(ISERROR(SEARCH("Meets Standard",F14)))</formula>
    </cfRule>
  </conditionalFormatting>
  <conditionalFormatting sqref="F15">
    <cfRule type="cellIs" dxfId="2" priority="4" operator="greaterThan">
      <formula>1.1094</formula>
    </cfRule>
    <cfRule type="cellIs" dxfId="1" priority="5" operator="between">
      <formula>1</formula>
      <formula>1.1094</formula>
    </cfRule>
    <cfRule type="cellIs" dxfId="0" priority="6" operator="lessThan">
      <formula>1</formula>
    </cfRule>
  </conditionalFormatting>
  <hyperlinks>
    <hyperlink ref="A12" location="'Measure Formulas &amp; Ratings'!A13" display="AVERAGE DAILY MEMBERSHIP" xr:uid="{30A5F380-B76C-4585-9B50-ADE59F455154}"/>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963E0-572E-410B-8C6F-A942A484F79A}">
  <dimension ref="A1:F130"/>
  <sheetViews>
    <sheetView showGridLines="0" topLeftCell="A7" workbookViewId="0">
      <selection activeCell="C8" sqref="C8"/>
    </sheetView>
  </sheetViews>
  <sheetFormatPr defaultRowHeight="15" x14ac:dyDescent="0.25"/>
  <cols>
    <col min="1" max="1" width="22.5703125" bestFit="1" customWidth="1"/>
    <col min="2" max="2" width="43.7109375" customWidth="1"/>
    <col min="5" max="5" width="17.42578125" bestFit="1" customWidth="1"/>
    <col min="6" max="6" width="62.5703125" bestFit="1" customWidth="1"/>
  </cols>
  <sheetData>
    <row r="1" spans="1:6" ht="21" x14ac:dyDescent="0.35">
      <c r="A1" s="50" t="s">
        <v>80</v>
      </c>
    </row>
    <row r="2" spans="1:6" ht="6.6" customHeight="1" x14ac:dyDescent="0.25"/>
    <row r="3" spans="1:6" ht="15.75" x14ac:dyDescent="0.25">
      <c r="A3" s="51" t="s">
        <v>81</v>
      </c>
      <c r="B3" s="52"/>
      <c r="E3" s="51" t="s">
        <v>82</v>
      </c>
      <c r="F3" s="52"/>
    </row>
    <row r="4" spans="1:6" x14ac:dyDescent="0.25">
      <c r="A4" s="27" t="s">
        <v>83</v>
      </c>
      <c r="B4" s="53" t="s">
        <v>84</v>
      </c>
      <c r="E4" s="27" t="s">
        <v>85</v>
      </c>
      <c r="F4" s="53" t="s">
        <v>86</v>
      </c>
    </row>
    <row r="5" spans="1:6" x14ac:dyDescent="0.25">
      <c r="B5" s="53" t="s">
        <v>87</v>
      </c>
      <c r="F5" s="53" t="s">
        <v>88</v>
      </c>
    </row>
    <row r="6" spans="1:6" x14ac:dyDescent="0.25">
      <c r="B6" s="53" t="s">
        <v>89</v>
      </c>
      <c r="F6" s="53" t="s">
        <v>90</v>
      </c>
    </row>
    <row r="8" spans="1:6" x14ac:dyDescent="0.25">
      <c r="A8" s="27" t="s">
        <v>91</v>
      </c>
      <c r="B8" s="54" t="s">
        <v>92</v>
      </c>
      <c r="E8" s="27" t="s">
        <v>93</v>
      </c>
      <c r="F8" s="53" t="s">
        <v>32</v>
      </c>
    </row>
    <row r="9" spans="1:6" x14ac:dyDescent="0.25">
      <c r="B9" s="55" t="s">
        <v>94</v>
      </c>
      <c r="F9" s="53" t="s">
        <v>87</v>
      </c>
    </row>
    <row r="10" spans="1:6" x14ac:dyDescent="0.25">
      <c r="B10" s="56" t="s">
        <v>95</v>
      </c>
      <c r="F10" s="53" t="s">
        <v>86</v>
      </c>
    </row>
    <row r="12" spans="1:6" x14ac:dyDescent="0.25">
      <c r="E12" s="27" t="s">
        <v>91</v>
      </c>
      <c r="F12" s="57" t="s">
        <v>96</v>
      </c>
    </row>
    <row r="13" spans="1:6" ht="15.75" x14ac:dyDescent="0.25">
      <c r="A13" s="51" t="s">
        <v>97</v>
      </c>
      <c r="B13" s="52"/>
      <c r="F13" s="55" t="s">
        <v>98</v>
      </c>
    </row>
    <row r="14" spans="1:6" x14ac:dyDescent="0.25">
      <c r="A14" s="27" t="s">
        <v>99</v>
      </c>
      <c r="B14" s="53" t="s">
        <v>100</v>
      </c>
      <c r="F14" s="58" t="s">
        <v>101</v>
      </c>
    </row>
    <row r="15" spans="1:6" x14ac:dyDescent="0.25">
      <c r="B15" s="53" t="s">
        <v>102</v>
      </c>
      <c r="F15" s="59"/>
    </row>
    <row r="16" spans="1:6" x14ac:dyDescent="0.25">
      <c r="B16" s="53" t="s">
        <v>103</v>
      </c>
    </row>
    <row r="17" spans="1:6" ht="15.75" x14ac:dyDescent="0.25">
      <c r="E17" s="51" t="s">
        <v>104</v>
      </c>
      <c r="F17" s="52"/>
    </row>
    <row r="18" spans="1:6" x14ac:dyDescent="0.25">
      <c r="A18" s="27" t="s">
        <v>105</v>
      </c>
      <c r="B18" s="53" t="s">
        <v>106</v>
      </c>
      <c r="E18" s="27" t="s">
        <v>83</v>
      </c>
      <c r="F18" s="53" t="s">
        <v>107</v>
      </c>
    </row>
    <row r="19" spans="1:6" x14ac:dyDescent="0.25">
      <c r="B19" s="53"/>
      <c r="F19" s="53" t="s">
        <v>87</v>
      </c>
    </row>
    <row r="20" spans="1:6" x14ac:dyDescent="0.25">
      <c r="A20" s="27" t="s">
        <v>91</v>
      </c>
      <c r="B20" s="60" t="s">
        <v>108</v>
      </c>
      <c r="F20" s="53" t="s">
        <v>109</v>
      </c>
    </row>
    <row r="21" spans="1:6" x14ac:dyDescent="0.25">
      <c r="B21" s="57" t="s">
        <v>110</v>
      </c>
    </row>
    <row r="22" spans="1:6" x14ac:dyDescent="0.25">
      <c r="B22" s="61" t="s">
        <v>111</v>
      </c>
      <c r="E22" s="27" t="s">
        <v>91</v>
      </c>
      <c r="F22" s="57" t="s">
        <v>112</v>
      </c>
    </row>
    <row r="23" spans="1:6" x14ac:dyDescent="0.25">
      <c r="B23" s="58" t="s">
        <v>113</v>
      </c>
      <c r="F23" s="55" t="s">
        <v>114</v>
      </c>
    </row>
    <row r="24" spans="1:6" x14ac:dyDescent="0.25">
      <c r="B24" s="2"/>
      <c r="F24" s="56" t="s">
        <v>115</v>
      </c>
    </row>
    <row r="25" spans="1:6" x14ac:dyDescent="0.25">
      <c r="B25" s="60" t="s">
        <v>116</v>
      </c>
    </row>
    <row r="26" spans="1:6" x14ac:dyDescent="0.25">
      <c r="B26" s="57" t="s">
        <v>117</v>
      </c>
    </row>
    <row r="27" spans="1:6" ht="15.75" x14ac:dyDescent="0.25">
      <c r="B27" s="61" t="s">
        <v>118</v>
      </c>
      <c r="E27" s="51" t="s">
        <v>119</v>
      </c>
      <c r="F27" s="52"/>
    </row>
    <row r="28" spans="1:6" x14ac:dyDescent="0.25">
      <c r="A28" s="29"/>
      <c r="B28" s="58" t="s">
        <v>120</v>
      </c>
      <c r="E28" t="s">
        <v>121</v>
      </c>
    </row>
    <row r="30" spans="1:6" x14ac:dyDescent="0.25">
      <c r="E30" s="62" t="s">
        <v>91</v>
      </c>
    </row>
    <row r="31" spans="1:6" ht="15.75" x14ac:dyDescent="0.25">
      <c r="A31" s="51" t="s">
        <v>122</v>
      </c>
      <c r="B31" s="52"/>
      <c r="E31" s="63" t="s">
        <v>123</v>
      </c>
      <c r="F31" s="63"/>
    </row>
    <row r="32" spans="1:6" x14ac:dyDescent="0.25">
      <c r="A32" t="s">
        <v>121</v>
      </c>
      <c r="E32" s="63"/>
      <c r="F32" s="63"/>
    </row>
    <row r="34" spans="1:6" x14ac:dyDescent="0.25">
      <c r="A34" s="62" t="s">
        <v>91</v>
      </c>
      <c r="E34" s="64" t="s">
        <v>124</v>
      </c>
      <c r="F34" s="64"/>
    </row>
    <row r="35" spans="1:6" x14ac:dyDescent="0.25">
      <c r="A35" s="63" t="s">
        <v>125</v>
      </c>
      <c r="B35" s="63"/>
      <c r="E35" s="64"/>
      <c r="F35" s="64"/>
    </row>
    <row r="36" spans="1:6" x14ac:dyDescent="0.25">
      <c r="A36" s="63"/>
      <c r="B36" s="63"/>
      <c r="E36" s="64"/>
      <c r="F36" s="64"/>
    </row>
    <row r="38" spans="1:6" ht="14.45" customHeight="1" x14ac:dyDescent="0.25">
      <c r="A38" s="64" t="s">
        <v>126</v>
      </c>
      <c r="B38" s="64"/>
      <c r="E38" s="64" t="s">
        <v>127</v>
      </c>
      <c r="F38" s="64"/>
    </row>
    <row r="39" spans="1:6" x14ac:dyDescent="0.25">
      <c r="A39" s="64"/>
      <c r="B39" s="64"/>
      <c r="E39" s="64"/>
      <c r="F39" s="64"/>
    </row>
    <row r="40" spans="1:6" x14ac:dyDescent="0.25">
      <c r="E40" s="64"/>
      <c r="F40" s="64"/>
    </row>
    <row r="128" spans="1:1" x14ac:dyDescent="0.25">
      <c r="A128" t="s">
        <v>128</v>
      </c>
    </row>
    <row r="129" spans="1:1" x14ac:dyDescent="0.25">
      <c r="A129" t="s">
        <v>58</v>
      </c>
    </row>
    <row r="130" spans="1:1" x14ac:dyDescent="0.25">
      <c r="A130" t="s">
        <v>129</v>
      </c>
    </row>
  </sheetData>
  <mergeCells count="5">
    <mergeCell ref="E31:F32"/>
    <mergeCell ref="E34:F36"/>
    <mergeCell ref="A35:B36"/>
    <mergeCell ref="A38:B39"/>
    <mergeCell ref="E38:F40"/>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Calculations-Data Entry</vt:lpstr>
      <vt:lpstr>Default-Going Concern</vt:lpstr>
      <vt:lpstr>Performance Summary</vt:lpstr>
      <vt:lpstr>Measures Formulas &amp; Ratings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Ortiz</dc:creator>
  <cp:lastModifiedBy>Anne Ortiz</cp:lastModifiedBy>
  <dcterms:created xsi:type="dcterms:W3CDTF">2023-11-07T15:52:13Z</dcterms:created>
  <dcterms:modified xsi:type="dcterms:W3CDTF">2023-11-07T17:24:59Z</dcterms:modified>
</cp:coreProperties>
</file>