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nneOrtiz\Downloads\"/>
    </mc:Choice>
  </mc:AlternateContent>
  <xr:revisionPtr revIDLastSave="0" documentId="13_ncr:1_{5C227164-44C2-4410-A1F0-DA0358E958D1}" xr6:coauthVersionLast="47" xr6:coauthVersionMax="47" xr10:uidLastSave="{00000000-0000-0000-0000-000000000000}"/>
  <workbookProtection workbookAlgorithmName="SHA-512" workbookHashValue="7V1GS7IIsR/EoWMdwKbsUhqKSvi2QIYShjuGuvkGqiCFU98Y6Yd6Sfqb67+74LnQihiyQ8BA3z8YWiO48yqd1Q==" workbookSaltValue="xiaPxdUSGu2bTNAYqvHwOw==" workbookSpinCount="100000" lockStructure="1"/>
  <bookViews>
    <workbookView xWindow="-108" yWindow="-108" windowWidth="23256" windowHeight="12456" tabRatio="785" activeTab="3" xr2:uid="{00000000-000D-0000-FFFF-FFFF00000000}"/>
  </bookViews>
  <sheets>
    <sheet name="Instructions" sheetId="6" r:id="rId1"/>
    <sheet name="Calculations-Data Entry" sheetId="1" r:id="rId2"/>
    <sheet name="Default &amp; Going Concern" sheetId="2" r:id="rId3"/>
    <sheet name="Performance Summary" sheetId="3" r:id="rId4"/>
    <sheet name="FY25 Measure Formulas &amp; Ratings" sheetId="5" r:id="rId5"/>
  </sheets>
  <definedNames>
    <definedName name="_xlnm.Print_Area" localSheetId="2">'Default &amp; Going Concern'!$A$1:$E$20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B41" i="1"/>
  <c r="B40" i="1"/>
  <c r="C65" i="1" l="1"/>
  <c r="C64" i="1"/>
  <c r="B17" i="1"/>
  <c r="B13" i="1"/>
  <c r="B12" i="1"/>
  <c r="D12" i="1"/>
  <c r="D17" i="1"/>
  <c r="C17" i="1"/>
  <c r="C12" i="1"/>
  <c r="B13" i="3" l="1"/>
  <c r="B16" i="1" l="1"/>
  <c r="B11" i="3" l="1"/>
  <c r="C31" i="1" l="1"/>
  <c r="D31" i="1"/>
  <c r="E31" i="1"/>
  <c r="F31" i="1"/>
  <c r="G31" i="1"/>
  <c r="H31" i="1"/>
  <c r="B31" i="1"/>
  <c r="H52" i="1" l="1"/>
  <c r="G13" i="3" s="1"/>
  <c r="G52" i="1"/>
  <c r="F13" i="3" s="1"/>
  <c r="F52" i="1"/>
  <c r="E13" i="3" s="1"/>
  <c r="E52" i="1"/>
  <c r="D13" i="3" s="1"/>
  <c r="D52" i="1"/>
  <c r="C13" i="3" s="1"/>
  <c r="G16" i="1" l="1"/>
  <c r="F16" i="1"/>
  <c r="E16" i="1"/>
  <c r="D16" i="1"/>
  <c r="C16" i="1"/>
  <c r="G14" i="3" l="1"/>
  <c r="B34" i="1" l="1"/>
  <c r="B33" i="1"/>
  <c r="B32" i="1"/>
  <c r="H34" i="1"/>
  <c r="G34" i="1"/>
  <c r="F34" i="1"/>
  <c r="E34" i="1"/>
  <c r="D34" i="1"/>
  <c r="H33" i="1"/>
  <c r="G33" i="1"/>
  <c r="F33" i="1"/>
  <c r="E33" i="1"/>
  <c r="D33" i="1"/>
  <c r="H32" i="1"/>
  <c r="G32" i="1"/>
  <c r="F32" i="1"/>
  <c r="E32" i="1"/>
  <c r="D32" i="1"/>
  <c r="H48" i="1" l="1"/>
  <c r="H35" i="1"/>
  <c r="H37" i="1" s="1"/>
  <c r="G20" i="1"/>
  <c r="G21" i="1" s="1"/>
  <c r="H38" i="1" l="1"/>
  <c r="G10" i="3" s="1"/>
  <c r="G23" i="1"/>
  <c r="G9" i="3" s="1"/>
  <c r="B12" i="3"/>
  <c r="E14" i="3"/>
  <c r="C14" i="3"/>
  <c r="D14" i="3"/>
  <c r="F15" i="3"/>
  <c r="F14" i="3"/>
  <c r="B14" i="3"/>
  <c r="B15" i="3"/>
  <c r="B20" i="1" l="1"/>
  <c r="B5" i="3"/>
  <c r="B4" i="3"/>
  <c r="B3" i="3"/>
  <c r="B5" i="2"/>
  <c r="B4" i="2"/>
  <c r="B3" i="2"/>
  <c r="G48" i="1" l="1"/>
  <c r="F48" i="1"/>
  <c r="E48" i="1"/>
  <c r="D50" i="1"/>
  <c r="H50" i="1" s="1"/>
  <c r="D49" i="1"/>
  <c r="H49" i="1" s="1"/>
  <c r="E50" i="1" l="1"/>
  <c r="G50" i="1"/>
  <c r="F50" i="1"/>
  <c r="F49" i="1"/>
  <c r="E49" i="1"/>
  <c r="G49" i="1"/>
  <c r="D48" i="1"/>
  <c r="C69" i="1"/>
  <c r="B69" i="1"/>
  <c r="C68" i="1"/>
  <c r="B68" i="1"/>
  <c r="G35" i="1"/>
  <c r="G37" i="1" s="1"/>
  <c r="F35" i="1"/>
  <c r="E35" i="1"/>
  <c r="D35" i="1"/>
  <c r="D37" i="1" s="1"/>
  <c r="C35" i="1"/>
  <c r="C37" i="1" s="1"/>
  <c r="B35" i="1"/>
  <c r="B37" i="1" s="1"/>
  <c r="B38" i="1" s="1"/>
  <c r="F20" i="1"/>
  <c r="F21" i="1" s="1"/>
  <c r="E20" i="1"/>
  <c r="E21" i="1" s="1"/>
  <c r="D20" i="1"/>
  <c r="D21" i="1" s="1"/>
  <c r="C20" i="1"/>
  <c r="C21" i="1" s="1"/>
  <c r="B21" i="1"/>
  <c r="E37" i="1" l="1"/>
  <c r="D42" i="1"/>
  <c r="C11" i="3" s="1"/>
  <c r="D38" i="1"/>
  <c r="C10" i="3" s="1"/>
  <c r="F37" i="1"/>
  <c r="C42" i="1"/>
  <c r="C38" i="1"/>
  <c r="G42" i="1"/>
  <c r="F11" i="3" s="1"/>
  <c r="G38" i="1"/>
  <c r="F10" i="3" s="1"/>
  <c r="B10" i="3"/>
  <c r="H42" i="1"/>
  <c r="G11" i="3" s="1"/>
  <c r="E51" i="1"/>
  <c r="D12" i="3" s="1"/>
  <c r="H51" i="1"/>
  <c r="G12" i="3" s="1"/>
  <c r="B63" i="1"/>
  <c r="B66" i="1" s="1"/>
  <c r="C63" i="1"/>
  <c r="C66" i="1" s="1"/>
  <c r="B70" i="1"/>
  <c r="D51" i="1"/>
  <c r="C12" i="3" s="1"/>
  <c r="E23" i="1"/>
  <c r="E9" i="3" s="1"/>
  <c r="D23" i="1"/>
  <c r="D9" i="3" s="1"/>
  <c r="C70" i="1"/>
  <c r="G51" i="1"/>
  <c r="F12" i="3" s="1"/>
  <c r="F51" i="1"/>
  <c r="E12" i="3" s="1"/>
  <c r="B23" i="1"/>
  <c r="B9" i="3" s="1"/>
  <c r="F23" i="1"/>
  <c r="F9" i="3" s="1"/>
  <c r="C23" i="1"/>
  <c r="C9" i="3" s="1"/>
  <c r="F42" i="1" l="1"/>
  <c r="E11" i="3" s="1"/>
  <c r="F38" i="1"/>
  <c r="E10" i="3" s="1"/>
  <c r="E42" i="1"/>
  <c r="D11" i="3" s="1"/>
  <c r="E38" i="1"/>
  <c r="D10" i="3" s="1"/>
  <c r="B72" i="1"/>
  <c r="B16" i="3" s="1"/>
  <c r="C72" i="1"/>
  <c r="F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Leder</author>
  </authors>
  <commentList>
    <comment ref="B10" authorId="0" shapeId="0" xr:uid="{00000000-0006-0000-0100-000001000000}">
      <text>
        <r>
          <rPr>
            <b/>
            <sz val="9"/>
            <color indexed="81"/>
            <rFont val="Tahoma"/>
            <family val="2"/>
          </rPr>
          <t>Andrea Leder:</t>
        </r>
        <r>
          <rPr>
            <sz val="9"/>
            <color indexed="81"/>
            <rFont val="Tahoma"/>
            <family val="2"/>
          </rPr>
          <t xml:space="preserve">
To access the FY24 dashboard detail, the charter representative must log-in to ASBCS Online and select the “Financial &amp; ADM” option under “More” (not the "More" option in the dark blue bar).</t>
        </r>
      </text>
    </comment>
    <comment ref="A12" authorId="0" shapeId="0" xr:uid="{00000000-0006-0000-0100-000002000000}">
      <text>
        <r>
          <rPr>
            <b/>
            <sz val="9"/>
            <color indexed="81"/>
            <rFont val="Tahoma"/>
            <family val="2"/>
          </rPr>
          <t>Andrea Leder:</t>
        </r>
        <r>
          <rPr>
            <sz val="9"/>
            <color indexed="81"/>
            <rFont val="Tahoma"/>
            <family val="2"/>
          </rPr>
          <t xml:space="preserve">
Minimally, the charter holder must include in this row the charter holder’s unspent Classroom Site Fund monies from FY24 (received to date) and, if applicable, from prior fiscal years.</t>
        </r>
      </text>
    </comment>
    <comment ref="A14" authorId="0" shapeId="0" xr:uid="{00000000-0006-0000-0100-000003000000}">
      <text>
        <r>
          <rPr>
            <b/>
            <sz val="9"/>
            <color indexed="81"/>
            <rFont val="Tahoma"/>
            <family val="2"/>
          </rPr>
          <t>Andrea Leder:</t>
        </r>
        <r>
          <rPr>
            <sz val="9"/>
            <color indexed="81"/>
            <rFont val="Tahoma"/>
            <family val="2"/>
          </rPr>
          <t xml:space="preserve">
Includes any investments identified on the statement of financial position as assets - whether current or not - that are not restricted for a specific purpose.</t>
        </r>
      </text>
    </comment>
    <comment ref="A15" authorId="0" shapeId="0" xr:uid="{00000000-0006-0000-0100-000004000000}">
      <text>
        <r>
          <rPr>
            <b/>
            <sz val="9"/>
            <color indexed="81"/>
            <rFont val="Tahoma"/>
            <family val="2"/>
          </rPr>
          <t>Andrea Leder:</t>
        </r>
        <r>
          <rPr>
            <sz val="9"/>
            <color indexed="81"/>
            <rFont val="Tahoma"/>
            <family val="2"/>
          </rPr>
          <t xml:space="preserve">
Factoring involves a charter holder obtaining advances on its state equalization payments from an outside party.</t>
        </r>
      </text>
    </comment>
    <comment ref="A19" authorId="0" shapeId="0" xr:uid="{00000000-0006-0000-0100-000005000000}">
      <text>
        <r>
          <rPr>
            <b/>
            <sz val="9"/>
            <color indexed="81"/>
            <rFont val="Tahoma"/>
            <family val="2"/>
          </rPr>
          <t>Andrea Leder:</t>
        </r>
        <r>
          <rPr>
            <sz val="9"/>
            <color indexed="81"/>
            <rFont val="Tahoma"/>
            <family val="2"/>
          </rPr>
          <t xml:space="preserve">
Noncash expenses are noncash expenses as outlined on the cash flow statement or identified in the financial statement notes.</t>
        </r>
      </text>
    </comment>
    <comment ref="B28" authorId="0" shapeId="0" xr:uid="{00000000-0006-0000-0100-000006000000}">
      <text>
        <r>
          <rPr>
            <b/>
            <sz val="9"/>
            <color indexed="81"/>
            <rFont val="Tahoma"/>
            <family val="2"/>
          </rPr>
          <t>Andrea Leder:</t>
        </r>
        <r>
          <rPr>
            <sz val="9"/>
            <color indexed="81"/>
            <rFont val="Tahoma"/>
            <family val="2"/>
          </rPr>
          <t xml:space="preserve">
To access the FY24 dashboard detail, the charter representative must log-in to ASBCS Online and select the “Financial &amp; ADM” option under “More” (not the "More" option in the dark blue bar).</t>
        </r>
      </text>
    </comment>
    <comment ref="A30" authorId="0" shapeId="0" xr:uid="{00000000-0006-0000-0100-000007000000}">
      <text>
        <r>
          <rPr>
            <b/>
            <sz val="9"/>
            <color indexed="81"/>
            <rFont val="Tahoma"/>
            <family val="2"/>
          </rPr>
          <t>Andrea Leder:</t>
        </r>
        <r>
          <rPr>
            <sz val="9"/>
            <color indexed="81"/>
            <rFont val="Tahoma"/>
            <family val="2"/>
          </rPr>
          <t xml:space="preserve">
Noncash revenues are noncash revenues as outlined on the cash flow statement or identified in the financial statement notes.</t>
        </r>
      </text>
    </comment>
    <comment ref="A37" authorId="0" shapeId="0" xr:uid="{00000000-0006-0000-0100-000008000000}">
      <text>
        <r>
          <rPr>
            <b/>
            <sz val="9"/>
            <color indexed="81"/>
            <rFont val="Tahoma"/>
            <family val="2"/>
          </rPr>
          <t>Andrea Leder:</t>
        </r>
        <r>
          <rPr>
            <sz val="9"/>
            <color indexed="81"/>
            <rFont val="Tahoma"/>
            <family val="2"/>
          </rPr>
          <t xml:space="preserve">
Note: Beginning with the FY25 audits, the framework will consider charter holders’ change in net assets without donor restrictions for all charter holders. See the framework measure guide for more information.</t>
        </r>
      </text>
    </comment>
    <comment ref="A38" authorId="0" shapeId="0" xr:uid="{00000000-0006-0000-0100-000009000000}">
      <text>
        <r>
          <rPr>
            <b/>
            <sz val="9"/>
            <color indexed="81"/>
            <rFont val="Tahoma"/>
            <family val="2"/>
          </rPr>
          <t>Andrea Leder:</t>
        </r>
        <r>
          <rPr>
            <sz val="9"/>
            <color indexed="81"/>
            <rFont val="Tahoma"/>
            <family val="2"/>
          </rPr>
          <t xml:space="preserve">
Note: The charter holder’s unrestricted days liquidity will also be considered when assigning the rating for this measure. See the framework measure guide for more information.</t>
        </r>
      </text>
    </comment>
    <comment ref="A40" authorId="0" shapeId="0" xr:uid="{00000000-0006-0000-0100-00000A000000}">
      <text>
        <r>
          <rPr>
            <b/>
            <sz val="9"/>
            <color indexed="81"/>
            <rFont val="Tahoma"/>
            <family val="2"/>
          </rPr>
          <t>Andrea Leder:</t>
        </r>
        <r>
          <rPr>
            <sz val="9"/>
            <color indexed="81"/>
            <rFont val="Tahoma"/>
            <family val="2"/>
          </rPr>
          <t xml:space="preserve">
This FY23 amount is available in ASBCS Online to the charter representative in the same place as the FY24 dashboard details.</t>
        </r>
      </text>
    </comment>
    <comment ref="A41" authorId="0" shapeId="0" xr:uid="{00000000-0006-0000-0100-00000B000000}">
      <text>
        <r>
          <rPr>
            <b/>
            <sz val="9"/>
            <color indexed="81"/>
            <rFont val="Tahoma"/>
            <family val="2"/>
          </rPr>
          <t>Andrea Leder:</t>
        </r>
        <r>
          <rPr>
            <sz val="9"/>
            <color indexed="81"/>
            <rFont val="Tahoma"/>
            <family val="2"/>
          </rPr>
          <t xml:space="preserve">
This FY23 amount is available in ASBCS Online to the charter representative in the same place as the FY24 dashboard details.</t>
        </r>
      </text>
    </comment>
    <comment ref="D54" authorId="0" shapeId="0" xr:uid="{00000000-0006-0000-0100-00000C000000}">
      <text>
        <r>
          <rPr>
            <b/>
            <sz val="9"/>
            <color indexed="81"/>
            <rFont val="Tahoma"/>
            <family val="2"/>
          </rPr>
          <t>Andrea Leder:</t>
        </r>
        <r>
          <rPr>
            <sz val="9"/>
            <color indexed="81"/>
            <rFont val="Tahoma"/>
            <family val="2"/>
          </rPr>
          <t xml:space="preserve">
Enter the month (e.g., September, October) of the ADE report accessed through the website link in Cell C54.</t>
        </r>
      </text>
    </comment>
    <comment ref="E54" authorId="0" shapeId="0" xr:uid="{00000000-0006-0000-0100-00000D000000}">
      <text>
        <r>
          <rPr>
            <b/>
            <sz val="9"/>
            <color indexed="81"/>
            <rFont val="Tahoma"/>
            <family val="2"/>
          </rPr>
          <t>Andrea Leder:</t>
        </r>
        <r>
          <rPr>
            <sz val="9"/>
            <color indexed="81"/>
            <rFont val="Tahoma"/>
            <family val="2"/>
          </rPr>
          <t xml:space="preserve">
Enter the month (e.g., December, January) of the ADE report accessed through the website link in Cell C54.</t>
        </r>
      </text>
    </comment>
    <comment ref="F54" authorId="0" shapeId="0" xr:uid="{00000000-0006-0000-0100-00000E000000}">
      <text>
        <r>
          <rPr>
            <b/>
            <sz val="9"/>
            <color indexed="81"/>
            <rFont val="Tahoma"/>
            <family val="2"/>
          </rPr>
          <t>Andrea Leder:</t>
        </r>
        <r>
          <rPr>
            <sz val="9"/>
            <color indexed="81"/>
            <rFont val="Tahoma"/>
            <family val="2"/>
          </rPr>
          <t xml:space="preserve">
Enter the month (e.g., March, April) of the ADE report accessed through the website link in Cell C54.</t>
        </r>
      </text>
    </comment>
    <comment ref="G54" authorId="0" shapeId="0" xr:uid="{00000000-0006-0000-0100-00000F000000}">
      <text>
        <r>
          <rPr>
            <b/>
            <sz val="9"/>
            <color indexed="81"/>
            <rFont val="Tahoma"/>
            <family val="2"/>
          </rPr>
          <t>Andrea Leder:</t>
        </r>
        <r>
          <rPr>
            <sz val="9"/>
            <color indexed="81"/>
            <rFont val="Tahoma"/>
            <family val="2"/>
          </rPr>
          <t xml:space="preserve">
Enter the month (e.g., June) of the ADE report accessed through the website link in Cell C54.</t>
        </r>
      </text>
    </comment>
    <comment ref="H54" authorId="0" shapeId="0" xr:uid="{00000000-0006-0000-0100-000010000000}">
      <text>
        <r>
          <rPr>
            <b/>
            <sz val="9"/>
            <color indexed="81"/>
            <rFont val="Tahoma"/>
            <family val="2"/>
          </rPr>
          <t>Andrea Leder:</t>
        </r>
        <r>
          <rPr>
            <sz val="9"/>
            <color indexed="81"/>
            <rFont val="Tahoma"/>
            <family val="2"/>
          </rPr>
          <t xml:space="preserve">
Enter the month (e.g., September, October) of the ADE report accessed through the website link in Cell C54.</t>
        </r>
      </text>
    </comment>
    <comment ref="A56" authorId="0" shapeId="0" xr:uid="{00000000-0006-0000-0100-000011000000}">
      <text>
        <r>
          <rPr>
            <b/>
            <sz val="9"/>
            <color indexed="81"/>
            <rFont val="Tahoma"/>
            <family val="2"/>
          </rPr>
          <t>Andrea Leder:</t>
        </r>
        <r>
          <rPr>
            <sz val="9"/>
            <color indexed="81"/>
            <rFont val="Tahoma"/>
            <family val="2"/>
          </rPr>
          <t xml:space="preserve">
To access the FY24 dashboard detail, the charter representative must log-in to ASBCS Online and select the “Financial &amp; ADM” option under “More” (not the "More" option in the dark blue bar).</t>
        </r>
      </text>
    </comment>
    <comment ref="B62" authorId="0" shapeId="0" xr:uid="{00000000-0006-0000-0100-000012000000}">
      <text>
        <r>
          <rPr>
            <b/>
            <sz val="9"/>
            <color indexed="81"/>
            <rFont val="Tahoma"/>
            <family val="2"/>
          </rPr>
          <t>Andrea Leder:</t>
        </r>
        <r>
          <rPr>
            <sz val="9"/>
            <color indexed="81"/>
            <rFont val="Tahoma"/>
            <family val="2"/>
          </rPr>
          <t xml:space="preserve">
To access the FY24 dashboard detail, the charter representative must log-in to ASBCS Online and select the “Financial &amp; ADM” option under “More” (not the "More" option in the dark blue bar).</t>
        </r>
      </text>
    </comment>
    <comment ref="A64" authorId="0" shapeId="0" xr:uid="{00000000-0006-0000-0100-000013000000}">
      <text>
        <r>
          <rPr>
            <b/>
            <sz val="9"/>
            <color indexed="81"/>
            <rFont val="Tahoma"/>
            <family val="2"/>
          </rPr>
          <t>Andrea Leder:</t>
        </r>
        <r>
          <rPr>
            <sz val="9"/>
            <color indexed="81"/>
            <rFont val="Tahoma"/>
            <family val="2"/>
          </rPr>
          <t xml:space="preserve">
This row would include the interest expense associated with the charter holder’s “debt principal.”</t>
        </r>
      </text>
    </comment>
    <comment ref="A67" authorId="0" shapeId="0" xr:uid="{00000000-0006-0000-0100-000014000000}">
      <text>
        <r>
          <rPr>
            <b/>
            <sz val="9"/>
            <color indexed="81"/>
            <rFont val="Tahoma"/>
            <family val="2"/>
          </rPr>
          <t>Andrea Leder:</t>
        </r>
        <r>
          <rPr>
            <sz val="9"/>
            <color indexed="81"/>
            <rFont val="Tahoma"/>
            <family val="2"/>
          </rPr>
          <t xml:space="preserve">
This row would include principal payments associated with 1) bonds, loans or finance leases for a charter holder that purchases its facilities and 2) principal payments associated with other long-term loans obtained by the charter holder. Amounts owed on equipment or vehicle finance leases, lines of credit or credit cards are not included in the calculation. See the framework measure guide for additional considerations.</t>
        </r>
      </text>
    </comment>
    <comment ref="A72" authorId="0" shapeId="0" xr:uid="{00000000-0006-0000-0100-000015000000}">
      <text>
        <r>
          <rPr>
            <b/>
            <sz val="9"/>
            <color indexed="81"/>
            <rFont val="Tahoma"/>
            <family val="2"/>
          </rPr>
          <t>Andrea Leder:</t>
        </r>
        <r>
          <rPr>
            <sz val="9"/>
            <color indexed="81"/>
            <rFont val="Tahoma"/>
            <family val="2"/>
          </rPr>
          <t xml:space="preserve">
Note: The charter holder’s unrestricted days liquidity will also be considered when assigning the rating for this measure. See the framework measure guide for more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Leder</author>
  </authors>
  <commentList>
    <comment ref="A9" authorId="0" shapeId="0" xr:uid="{00000000-0006-0000-0200-000001000000}">
      <text>
        <r>
          <rPr>
            <b/>
            <sz val="9"/>
            <color indexed="81"/>
            <rFont val="Tahoma"/>
            <family val="2"/>
          </rPr>
          <t>Andrea Leder:</t>
        </r>
        <r>
          <rPr>
            <sz val="9"/>
            <color indexed="81"/>
            <rFont val="Tahoma"/>
            <family val="2"/>
          </rPr>
          <t xml:space="preserve">
To access the FY24 dashboard detail, the charter representative must log-in to ASBCS Online and select the “Financial &amp; ADM” option under “More” (not the "More" option in the dark blue bar).</t>
        </r>
      </text>
    </comment>
    <comment ref="A13" authorId="0" shapeId="0" xr:uid="{00000000-0006-0000-0200-000002000000}">
      <text>
        <r>
          <rPr>
            <b/>
            <sz val="9"/>
            <color indexed="81"/>
            <rFont val="Tahoma"/>
            <family val="2"/>
          </rPr>
          <t>Andrea Leder:</t>
        </r>
        <r>
          <rPr>
            <sz val="9"/>
            <color indexed="81"/>
            <rFont val="Tahoma"/>
            <family val="2"/>
          </rPr>
          <t xml:space="preserve">
Identify whether the charter holder is in default on any loans or facility agreements.</t>
        </r>
      </text>
    </comment>
    <comment ref="A17" authorId="0" shapeId="0" xr:uid="{00000000-0006-0000-0200-000003000000}">
      <text>
        <r>
          <rPr>
            <b/>
            <sz val="9"/>
            <color indexed="81"/>
            <rFont val="Tahoma"/>
            <family val="2"/>
          </rPr>
          <t>Andrea Leder:</t>
        </r>
        <r>
          <rPr>
            <sz val="9"/>
            <color indexed="81"/>
            <rFont val="Tahoma"/>
            <family val="2"/>
          </rPr>
          <t xml:space="preserve">
To access the FY24 dashboard detail, the charter representative must log-in to ASBCS Online and select the “Financial &amp; ADM” option under “More” (not the "More" option in the dark blue bar).</t>
        </r>
      </text>
    </comment>
    <comment ref="A20" authorId="0" shapeId="0" xr:uid="{00000000-0006-0000-0200-000004000000}">
      <text>
        <r>
          <rPr>
            <b/>
            <sz val="9"/>
            <color indexed="81"/>
            <rFont val="Tahoma"/>
            <family val="2"/>
          </rPr>
          <t>Andrea Leder:</t>
        </r>
        <r>
          <rPr>
            <sz val="9"/>
            <color indexed="81"/>
            <rFont val="Tahoma"/>
            <family val="2"/>
          </rPr>
          <t xml:space="preserve">
Summarize management's FY25 analysis of the charter holder's ability to continue operating.</t>
        </r>
      </text>
    </comment>
  </commentList>
</comments>
</file>

<file path=xl/sharedStrings.xml><?xml version="1.0" encoding="utf-8"?>
<sst xmlns="http://schemas.openxmlformats.org/spreadsheetml/2006/main" count="315" uniqueCount="231">
  <si>
    <t xml:space="preserve">Charter Holder Name: </t>
  </si>
  <si>
    <t>Charter Holder CTDS:</t>
  </si>
  <si>
    <t>Charter Holder Entity ID:</t>
  </si>
  <si>
    <t>QUARTERLY CALCULATIONS:</t>
  </si>
  <si>
    <t>Cash &amp; Cash Equivalents</t>
  </si>
  <si>
    <t>CSF Cash Carryover &amp; Other Restricted Cash</t>
  </si>
  <si>
    <t>AVAILABLE LIQUIDITY</t>
  </si>
  <si>
    <t>Total Expenses</t>
  </si>
  <si>
    <t>Depreciation/Amortization</t>
  </si>
  <si>
    <t>Other Noncash Expenses</t>
  </si>
  <si>
    <t>ADJUSTED EXPENSES</t>
  </si>
  <si>
    <t>DAILY EXPENSES</t>
  </si>
  <si>
    <t>UNRESTRICTED DAYS LIQUIDITY</t>
  </si>
  <si>
    <t>ADJUSTED NET INCOME</t>
  </si>
  <si>
    <t>Adjusted Net Income</t>
  </si>
  <si>
    <t>Interest Expense</t>
  </si>
  <si>
    <t>Facility Lease Expense</t>
  </si>
  <si>
    <t>AVAILABLE RESOURCES</t>
  </si>
  <si>
    <t>Debt Principal</t>
  </si>
  <si>
    <t>Interest</t>
  </si>
  <si>
    <t>TOTAL DEBT AND FACILITY LEASE COSTS</t>
  </si>
  <si>
    <t>Lease Adjusted DSCR</t>
  </si>
  <si>
    <t>LEASE ADJUSTED DEBT SERVICE COVERAGE RATIO</t>
  </si>
  <si>
    <t>AVERAGE DAILY MEMBERSHIP</t>
  </si>
  <si>
    <t>3rd Quarter</t>
  </si>
  <si>
    <t>4th Quarter</t>
  </si>
  <si>
    <t>THREE-YEAR AVERAGE</t>
  </si>
  <si>
    <t>2nd Quarter</t>
  </si>
  <si>
    <t>1st Quarter</t>
  </si>
  <si>
    <r>
      <rPr>
        <sz val="11"/>
        <color theme="1"/>
        <rFont val="Calibri"/>
        <family val="2"/>
        <scheme val="minor"/>
      </rPr>
      <t xml:space="preserve">   </t>
    </r>
    <r>
      <rPr>
        <u/>
        <sz val="11"/>
        <color theme="1"/>
        <rFont val="Calibri"/>
        <family val="2"/>
        <scheme val="minor"/>
      </rPr>
      <t>CALCULATIONS:</t>
    </r>
  </si>
  <si>
    <t>FORMULA:</t>
  </si>
  <si>
    <t>divided by</t>
  </si>
  <si>
    <t>[(Total Expenses - Noncash Expenses)/365]</t>
  </si>
  <si>
    <t>MEASURE RATINGS:</t>
  </si>
  <si>
    <t>FORMULA #1:</t>
  </si>
  <si>
    <t>FORMULA #2:</t>
  </si>
  <si>
    <t>(Adjusted Net Income + Interest Expense + Facility Lease Expense)</t>
  </si>
  <si>
    <t>(Debt Principal + Interest + Facility Lease Expense)</t>
  </si>
  <si>
    <t>Unrestricted Days Liquidity Measure</t>
  </si>
  <si>
    <t>Adjusted Net Income Measure</t>
  </si>
  <si>
    <t>Average Daily Membership Measure</t>
  </si>
  <si>
    <t>Lease Adjusted Debt Service Coverage Ratio Measure</t>
  </si>
  <si>
    <t>DEFAULT</t>
  </si>
  <si>
    <t>Default Measure</t>
  </si>
  <si>
    <t>Going Concern Measure</t>
  </si>
  <si>
    <t>Considers absence or presence of certain disclosure in the audit.</t>
  </si>
  <si>
    <r>
      <t>Meets</t>
    </r>
    <r>
      <rPr>
        <sz val="11"/>
        <color theme="9" tint="-0.249977111117893"/>
        <rFont val="Calibri"/>
        <family val="2"/>
        <scheme val="minor"/>
      </rPr>
      <t xml:space="preserve"> </t>
    </r>
    <r>
      <rPr>
        <sz val="11"/>
        <rFont val="Calibri"/>
        <family val="2"/>
        <scheme val="minor"/>
      </rPr>
      <t>= Charter holder is not in default on material loans or facility agreements or both</t>
    </r>
  </si>
  <si>
    <r>
      <t xml:space="preserve">Below </t>
    </r>
    <r>
      <rPr>
        <sz val="11"/>
        <rFont val="Calibri"/>
        <family val="2"/>
        <scheme val="minor"/>
      </rPr>
      <t>= Charter holder is in default on material loans or facility agreements or both</t>
    </r>
  </si>
  <si>
    <t>RATING AS OF QUARTER END DATE</t>
  </si>
  <si>
    <t>CHARTER HOLDER'S BASIS FOR RATING</t>
  </si>
  <si>
    <t>GOING CONCERN</t>
  </si>
  <si>
    <t>LEASE ADJUSTED DSCR</t>
  </si>
  <si>
    <t>To facilitate charter holders monitoring, throughout the school year, their performance under the Board's Financial</t>
  </si>
  <si>
    <t>▪</t>
  </si>
  <si>
    <t>GENERAL INSTRUCTIONS</t>
  </si>
  <si>
    <t xml:space="preserve">On the "Calculations-Data Entry" tab, enter the applicable data in each field with a box border around it. Based on </t>
  </si>
  <si>
    <t>the data entered, your performance for the period will calculate automatically.</t>
  </si>
  <si>
    <t>If a field includes a red triangle in the right upper corner, then the field includes a comment. Click on the red triangle</t>
  </si>
  <si>
    <t>to see this additional information.</t>
  </si>
  <si>
    <t>1.</t>
  </si>
  <si>
    <t>2.</t>
  </si>
  <si>
    <t>3.</t>
  </si>
  <si>
    <t>Enter the charter holder's name, CTDS and Entity ID on the "Calculations-Data Entry" tab. Once entered, this</t>
  </si>
  <si>
    <t>information will populate on the other applicable tabs.</t>
  </si>
  <si>
    <t>▫</t>
  </si>
  <si>
    <t>If not specifically listed on the unaudited income statement (statement of activities), the charter</t>
  </si>
  <si>
    <t>holder must provide accounting system reports or lease and debt schedules identifying, as</t>
  </si>
  <si>
    <t>used in the Lease Adjusted Debt Service Coverage Ratio (Lease Adjusted DSCR) calculation.</t>
  </si>
  <si>
    <t>The charter holder must provide accounting system reports or debt schedules identifying, as</t>
  </si>
  <si>
    <t>is not the case, support must be provided.</t>
  </si>
  <si>
    <t>report. In most cases, the amounts will be pulled directly from the unaudited financial statements. When that</t>
  </si>
  <si>
    <t>As data is entered on the "Calculations-Data Entry" and "Default &amp; Going Concern" tabs, the "Performance Summary"</t>
  </si>
  <si>
    <t>Final determinations of a charter holder's performance under the financial framework will be made by Board staff and</t>
  </si>
  <si>
    <t>any questions, please contact Board staff at (602) 364-3080 or audits@asbcs.az.gov.</t>
  </si>
  <si>
    <t>tab will update automatically.</t>
  </si>
  <si>
    <t>The Board has made available to charter representatives the detail behind the financial performance dashboards.</t>
  </si>
  <si>
    <t>In addition to the "General Instructions" above, the following instructions apply to charter holders in financial</t>
  </si>
  <si>
    <t>ADDITIONAL INSTRUCTIONS FOR CHARTERS IN INTERVENTION PROCESS</t>
  </si>
  <si>
    <t>Meets Standard</t>
  </si>
  <si>
    <t>Below Standard</t>
  </si>
  <si>
    <t>1st Quarter (Next Yr)</t>
  </si>
  <si>
    <t>Calculator provides a way to track performance throughout the school year to ensure they continue to</t>
  </si>
  <si>
    <t>meet the Board's financial performance expectations.</t>
  </si>
  <si>
    <t xml:space="preserve">   FY23 Growth Rate</t>
  </si>
  <si>
    <t>ANNUAL 100TH DAY ADM:</t>
  </si>
  <si>
    <t>ADE ADM Summary Report Month</t>
  </si>
  <si>
    <t>Select the Default measure rating ("Meets Standard", "Approaches Standard" or "Below Standard") as of the applicable</t>
  </si>
  <si>
    <t xml:space="preserve">quarter end date on the "Default &amp; Going Concern" tab and briefly provide the basis for the rating. For the June 30 quarterly </t>
  </si>
  <si>
    <t>Standard") and briefly provide the charter holder's basis for the rating.</t>
  </si>
  <si>
    <t>report, the charter holder must also select the projected Going Concern measure rating ("Meets Standard" or "Below</t>
  </si>
  <si>
    <t>Fiscal Year 2024 - Calculated Financial Framework Measures</t>
  </si>
  <si>
    <t>As of 9/30/24 (YTD)</t>
  </si>
  <si>
    <t xml:space="preserve">   FY24 Growth Rate</t>
  </si>
  <si>
    <t>JUNE 30 CALCULATION:</t>
  </si>
  <si>
    <t xml:space="preserve">FY2025 (Q1) [Year 1]  </t>
  </si>
  <si>
    <t>Fiscal Year 2024 - Default and Going Concern Measures</t>
  </si>
  <si>
    <t>As of 9/30/24</t>
  </si>
  <si>
    <t>AS OF 9/30/24</t>
  </si>
  <si>
    <r>
      <rPr>
        <b/>
        <sz val="11"/>
        <color rgb="FFFFC000"/>
        <rFont val="Calibri"/>
        <family val="2"/>
        <scheme val="minor"/>
      </rPr>
      <t>Approaches</t>
    </r>
    <r>
      <rPr>
        <b/>
        <sz val="11"/>
        <rFont val="Calibri"/>
        <family val="2"/>
        <scheme val="minor"/>
      </rPr>
      <t xml:space="preserve"> </t>
    </r>
    <r>
      <rPr>
        <sz val="11"/>
        <rFont val="Calibri"/>
        <family val="2"/>
        <scheme val="minor"/>
      </rPr>
      <t>= For a material loan agreement, facility agreement or both, the lender or landlord has allowed the charter holder to pause or reduce payments for a period of time under a forbearance or similar agreement.</t>
    </r>
  </si>
  <si>
    <t>Approaches Standard</t>
  </si>
  <si>
    <t>STANDARD CALCULATION</t>
  </si>
  <si>
    <t>CALCULATION TO DETERMINE EFFECT OF FACTORING</t>
  </si>
  <si>
    <t>(Unrestricted Cash + Government Funding Receivables + Unrestricted Investments)</t>
  </si>
  <si>
    <t>(Unrestricted Cash + Government Funding Receivables + Unrestricted Investments - Factoring)</t>
  </si>
  <si>
    <t>FOR FISCAL YEAR 2025 AUDITS</t>
  </si>
  <si>
    <t>(Total Revenues - Noncash Revenues) ["Adjusted Total Revenues"]</t>
  </si>
  <si>
    <t>Adjusted Net Income ("ANI")</t>
  </si>
  <si>
    <t>Adjusted Total Revenues ("ATR")</t>
  </si>
  <si>
    <t>FORMULA #3:</t>
  </si>
  <si>
    <t>≥ 23 days, but &lt; 30 days</t>
  </si>
  <si>
    <t>35 or more days</t>
  </si>
  <si>
    <t>OR</t>
  </si>
  <si>
    <t>&lt; 23 days</t>
  </si>
  <si>
    <t xml:space="preserve">Below Standard </t>
  </si>
  <si>
    <t>Adjusted net income is greater than or equal to $1</t>
  </si>
  <si>
    <t>minus                                                                                                                                                                                                                                                                                                                     (Total Expenses - Noncash Expenses)</t>
  </si>
  <si>
    <t>Audit Year Adjusted Total Margin is between 0 and negative 2.5% and Aggregated 3-Year Adjusted Total Margin is positive</t>
  </si>
  <si>
    <t>Audit Year Adjusted Total Margin is between 0 and negative 2.5% and Aggregated 3-Year Adjusted Total Margin is between 0 and negative 4.99%</t>
  </si>
  <si>
    <t>Audit Year Adjusted Total Margin is between negative 2.5% and negative 9.99% and Aggregated 3-Year Adjusted Total Margin is greater than negative 4.99%</t>
  </si>
  <si>
    <r>
      <rPr>
        <b/>
        <i/>
        <sz val="11"/>
        <color theme="1"/>
        <rFont val="Calibri"/>
        <family val="2"/>
        <scheme val="minor"/>
      </rPr>
      <t>Aggregated 2-Year</t>
    </r>
    <r>
      <rPr>
        <i/>
        <sz val="11"/>
        <color theme="1"/>
        <rFont val="Calibri"/>
        <family val="2"/>
        <scheme val="minor"/>
      </rPr>
      <t xml:space="preserve"> = (Year 1 ANI + Year 2 ANI) divided by (Year 1 ATR + Year 2 ATR) </t>
    </r>
  </si>
  <si>
    <r>
      <rPr>
        <i/>
        <sz val="9"/>
        <color theme="1"/>
        <rFont val="Calibri"/>
        <family val="2"/>
        <scheme val="minor"/>
      </rPr>
      <t>NOTE: Year 1 would be the year following the audit year and Year 2 would be the audit year.</t>
    </r>
    <r>
      <rPr>
        <i/>
        <sz val="11"/>
        <color theme="1"/>
        <rFont val="Calibri"/>
        <family val="2"/>
        <scheme val="minor"/>
      </rPr>
      <t xml:space="preserve">                                                                                                                                                                                                        </t>
    </r>
    <r>
      <rPr>
        <b/>
        <i/>
        <sz val="11"/>
        <color theme="1"/>
        <rFont val="Calibri"/>
        <family val="2"/>
        <scheme val="minor"/>
      </rPr>
      <t>Aggregated 3-Year</t>
    </r>
    <r>
      <rPr>
        <i/>
        <sz val="11"/>
        <color theme="1"/>
        <rFont val="Calibri"/>
        <family val="2"/>
        <scheme val="minor"/>
      </rPr>
      <t xml:space="preserve"> = (Year 1 ANI + Year 2 ANI + Year 3 ANI) divided by (Year 1 ATR + Year 2 ATR + Year 3 ATR)</t>
    </r>
  </si>
  <si>
    <t>≥ 30 days, but &lt; 35 days with either a decrease or no change in days in most recent FY</t>
  </si>
  <si>
    <t>≥ 30 days, but &lt; 35 days with an increase in days in most recent FY</t>
  </si>
  <si>
    <t>Calculate the annual growth rates ("GR")</t>
  </si>
  <si>
    <t>Calculate the average</t>
  </si>
  <si>
    <t>Calculate the change in ADM</t>
  </si>
  <si>
    <t>Average calculation shows an increase and change is ADM is positive or is between 0 and negative 24.99%</t>
  </si>
  <si>
    <t>Average calculation shows a decrease of 4.99% or less and change in ADM is positive or is between 0 and negative 24.99%</t>
  </si>
  <si>
    <t>The most recent audit does not include explanatory paragraph in Independent Auditor's Report or disclosure in the notes to the financial statements</t>
  </si>
  <si>
    <t>Disclosure in Independent Auditor's Report and financial statement notes (Substantial doubt about the charter holder's ability to continue operating is raised in the audit and is not alleviated by management's plans)</t>
  </si>
  <si>
    <t>Disclosure in financial statement notes only (Substantial doubt about the charter holder's ability to continue operating is raised in the audit, but is alleviated by management's plans)</t>
  </si>
  <si>
    <t>Ratio exceeds 1.10</t>
  </si>
  <si>
    <t>Ratio is between 1.0 and 1.10</t>
  </si>
  <si>
    <t>Ratio is less than 1.0</t>
  </si>
  <si>
    <t xml:space="preserve">For more information, please see the financial framework measure guide at https://asbcs.az.gov/academic-performance/financial-performance. </t>
  </si>
  <si>
    <t>Government Funding Receivables</t>
  </si>
  <si>
    <t>Unrestricted Investments</t>
  </si>
  <si>
    <t>Factoring Liability at Quarter End Date</t>
  </si>
  <si>
    <t>CHANGE IN ADM</t>
  </si>
  <si>
    <r>
      <t xml:space="preserve">AVERAGE DAILY MEMBERSHIP </t>
    </r>
    <r>
      <rPr>
        <sz val="11"/>
        <color theme="4"/>
        <rFont val="Calibri"/>
        <family val="2"/>
        <scheme val="minor"/>
      </rPr>
      <t>(Average)</t>
    </r>
  </si>
  <si>
    <r>
      <t xml:space="preserve">AVERAGE DAILY MEMBERSHIP </t>
    </r>
    <r>
      <rPr>
        <sz val="11"/>
        <color theme="4"/>
        <rFont val="Calibri"/>
        <family val="2"/>
        <scheme val="minor"/>
      </rPr>
      <t>(Change in ADM)</t>
    </r>
  </si>
  <si>
    <t>ADJUSTED TOTAL REVENUES</t>
  </si>
  <si>
    <t>Total Revenues</t>
  </si>
  <si>
    <t>Noncash Revenues</t>
  </si>
  <si>
    <t>ADJUSTED TOTAL MARGIN</t>
  </si>
  <si>
    <t>AGGREGATED ADJUSTED TOTAL MARGIN</t>
  </si>
  <si>
    <r>
      <t xml:space="preserve">ADJUSTED NET INCOME </t>
    </r>
    <r>
      <rPr>
        <sz val="11"/>
        <color theme="4"/>
        <rFont val="Calibri"/>
        <family val="2"/>
        <scheme val="minor"/>
      </rPr>
      <t>(Audit Year)</t>
    </r>
  </si>
  <si>
    <r>
      <t xml:space="preserve">ADJUSTED NET INCOME </t>
    </r>
    <r>
      <rPr>
        <sz val="11"/>
        <color theme="4"/>
        <rFont val="Calibri"/>
        <family val="2"/>
        <scheme val="minor"/>
      </rPr>
      <t>(Aggregated)</t>
    </r>
  </si>
  <si>
    <t>For the financial information, click on the “Financial Number” for the applicable year in the “Financials” section.</t>
  </si>
  <si>
    <t>For the ADM information, click on the “Average Daily Membership Name” for the applicable fiscal year in the “ADM” section.</t>
  </si>
  <si>
    <t>4.</t>
  </si>
  <si>
    <t xml:space="preserve">representative following Board staff’s review of each report and will also be available through the charter holder’s </t>
  </si>
  <si>
    <t>performance for all quarters.</t>
  </si>
  <si>
    <t xml:space="preserve">For those charter holders in the financial intervention process, please remember to also complete the "Default &amp; Going Concern" tab. </t>
  </si>
  <si>
    <t>Board staff to address calculation issues. The Board-reviewed measure calculator will be emailed to the charter</t>
  </si>
  <si>
    <t>Average calculation shows a decrease of 5% to 14.99% and change in ADM is positive or is between 0 and negative 49.99%</t>
  </si>
  <si>
    <t>Change in ADM is between negative 25% and negative 49.99% and average calculation shows an increase or a decrease of 14.99% or less</t>
  </si>
  <si>
    <t>Average calculation shows a decrease of 15% or more and change in ADM is any value</t>
  </si>
  <si>
    <t>Change in ADM is negative 50% or more and average calculation is any value</t>
  </si>
  <si>
    <t>Audit Year Adjusted Total Margin is less than negative 10% and Aggegated 3-Year Adjusted Total Margin is any value</t>
  </si>
  <si>
    <t>Audit Year Adjusted Total Margin is negative and Aggregated 3-Year Adjusted Total Margin is less than or equal to negative 5%</t>
  </si>
  <si>
    <t>in February 2024.</t>
  </si>
  <si>
    <t>FY2025 Financial Framework Measure Calculator (FY2025 Measure Calculator)</t>
  </si>
  <si>
    <t>Performance Framework (financial framework), the Board has developed the FY2025 Measure Calculator.</t>
  </si>
  <si>
    <t>The FY2025 Measure Calculator reflects the changes to the financial framework measures approved by the Board</t>
  </si>
  <si>
    <t>Charter holders identified for intervention under the financial framework based on the FY2024 audit</t>
  </si>
  <si>
    <t>must use the FY2025 Measure Calculator as part of the intervention process.</t>
  </si>
  <si>
    <t>For charter holders not identified for intervention based on the FY2024 audit, the FY2025 Measure</t>
  </si>
  <si>
    <r>
      <t>be reflected in the dashboard made publicly available after the charter holder's FY2025 audit has been reviewed.</t>
    </r>
    <r>
      <rPr>
        <sz val="11"/>
        <color theme="1"/>
        <rFont val="Calibri"/>
        <family val="2"/>
        <scheme val="minor"/>
      </rPr>
      <t xml:space="preserve"> If you have</t>
    </r>
  </si>
  <si>
    <t>Accessing FY2024 Dashboard Data</t>
  </si>
  <si>
    <t>To access the FY2024 dashboard detail, the charter representative must:</t>
  </si>
  <si>
    <t>After choosing the charter holder, select the “Financial &amp; ADM” option under the “More” menu (not the one in the dark blue bar).</t>
  </si>
  <si>
    <t>intervention and required to use the FY2025 Measure Calculator as part of the intervention process.</t>
  </si>
  <si>
    <r>
      <t xml:space="preserve">All FY2025 </t>
    </r>
    <r>
      <rPr>
        <u/>
        <sz val="11"/>
        <color theme="1"/>
        <rFont val="Calibri"/>
        <family val="2"/>
        <scheme val="minor"/>
      </rPr>
      <t>dollar amounts</t>
    </r>
    <r>
      <rPr>
        <sz val="11"/>
        <color theme="1"/>
        <rFont val="Calibri"/>
        <family val="2"/>
        <scheme val="minor"/>
      </rPr>
      <t xml:space="preserve"> entered on the "Calculations-Data Entry" tab must be supported by the quarterly</t>
    </r>
  </si>
  <si>
    <t>applicable, the facility lease expense and interest expense paid by the charter holder for FY2025 and</t>
  </si>
  <si>
    <t>applicable, the "Debt Principal" paid by the charter holder in FY2025 and used in the charter</t>
  </si>
  <si>
    <t>NOTE: For the FY2025 Measure Calculators submitted by the charter holder subsequent to the initial submission,</t>
  </si>
  <si>
    <t>the charter holder will add the next quarter's data to the FY2025 Measure Calculator updated, as necessary, by</t>
  </si>
  <si>
    <t>financial performance dashboard. Eventually, the FY2025 Measure Calculator will reflect the charter holder’s financial</t>
  </si>
  <si>
    <t>holder's Lease Adjusted DSCR calculation. The amount would not include principal payments</t>
  </si>
  <si>
    <t>associated with equipment or vehicle finance leases.</t>
  </si>
  <si>
    <t>Log-in to ASBCS Online (https://asbcs.my.site.com/s/).</t>
  </si>
  <si>
    <t>FY23 GR = (FY23 ADM - FY22 ADM)/FY22 ADM</t>
  </si>
  <si>
    <t xml:space="preserve">day from the prior FY. If the charter holder's performance does not improve by at least 1 full day, then "no </t>
  </si>
  <si>
    <t>change in days" will exist.</t>
  </si>
  <si>
    <t>NOTE: For "an increase in days" to exist, the charter holder's performance must improve by at least 1 full</t>
  </si>
  <si>
    <t xml:space="preserve">Fiscal Year 2025 Measure Formulas and Ratings </t>
  </si>
  <si>
    <t>FOR FISCAL YEAR 2026 AUDITS</t>
  </si>
  <si>
    <t>40 or more days</t>
  </si>
  <si>
    <t>≥ 30 days, but &lt; 40 days with an increase in days in most recent FY</t>
  </si>
  <si>
    <t>≥ 30 days, but &lt; 40 days with either a decrease or no change in days in most recent FY</t>
  </si>
  <si>
    <t>&lt; 30 days</t>
  </si>
  <si>
    <t xml:space="preserve">FY25 GR = (FY25 ADM - FY24 ADM)/FY24 ADM                                                                                                                                                                                                                       </t>
  </si>
  <si>
    <t>FY24 GR = (FY24 ADM - FY23 ADM)/FY23 ADM</t>
  </si>
  <si>
    <t>3-Year Average = [(FY25 GR + FY24 GR + FY23 GR)/3]x100</t>
  </si>
  <si>
    <t>2-Year Average = [(FY25 GR + FY24 GR)/2]x100</t>
  </si>
  <si>
    <t>(FY25 ADM - FY23 ADM)/FY23 ADM</t>
  </si>
  <si>
    <t>As of 12/31/24</t>
  </si>
  <si>
    <t>As of 3/31/25</t>
  </si>
  <si>
    <t>As of 6/30/25</t>
  </si>
  <si>
    <t>As of 9/30/25</t>
  </si>
  <si>
    <t>FY24 Dashboard Rating</t>
  </si>
  <si>
    <t>PROJECTED RATING AS OF JUNE 30, 2025</t>
  </si>
  <si>
    <t>FY24 Dashboard</t>
  </si>
  <si>
    <t>As of 12/31/24 (YTD)</t>
  </si>
  <si>
    <t>As of 3/31/25 (YTD)</t>
  </si>
  <si>
    <t>As of 6/30/25 (YTD)</t>
  </si>
  <si>
    <t>As of 9/30/25 (YTD)</t>
  </si>
  <si>
    <t>FY25 Annual Budget Proj.</t>
  </si>
  <si>
    <t>FY2023 Adjusted Net Income</t>
  </si>
  <si>
    <t>FY2023 Adjusted Total Revenues</t>
  </si>
  <si>
    <t xml:space="preserve">FY2025 (Q2) [Year 1]  </t>
  </si>
  <si>
    <t xml:space="preserve">FY2025 (Q3) [Year 1]  </t>
  </si>
  <si>
    <t xml:space="preserve">FY2025 (Q4) [Year 1]  </t>
  </si>
  <si>
    <t xml:space="preserve">FY2026 (Q1) [Year 1]  </t>
  </si>
  <si>
    <t xml:space="preserve">FY2024 [Year 2]  </t>
  </si>
  <si>
    <t xml:space="preserve">FY2023 [Year 3]  </t>
  </si>
  <si>
    <t xml:space="preserve">FY2022 [Year 4]  </t>
  </si>
  <si>
    <t>FY24 Dashboard (3-Year Average)</t>
  </si>
  <si>
    <t xml:space="preserve">   FY25 Growth Rate</t>
  </si>
  <si>
    <t>FY24 Dashboard (Change in ADM)</t>
  </si>
  <si>
    <t>FY2024 AUDIT</t>
  </si>
  <si>
    <t>Fiscal Year 2025 - Financial Framework Performance Summary</t>
  </si>
  <si>
    <t>AS OF 12/31/24</t>
  </si>
  <si>
    <t>AS OF 3/31/25</t>
  </si>
  <si>
    <t>AS OF 6/30/25</t>
  </si>
  <si>
    <t>AS OF 9/30/25</t>
  </si>
  <si>
    <t>The Edge School, Inc.</t>
  </si>
  <si>
    <t>10-86-53-000</t>
  </si>
  <si>
    <t>No notices of default</t>
  </si>
  <si>
    <t>Governing Board and Management have taken steps to modify budget and operations for conitnuity and to improve enrollment for the subsequent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</si>
</sst>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164" formatCode="0.00_);\(0.00\)"/>
    <numFmt numFmtId="165" formatCode="0.0000"/>
    <numFmt numFmtId="166" formatCode="0.0%"/>
    <numFmt numFmtId="167" formatCode="m/d/yy;@"/>
  </numFmts>
  <fonts count="39" x14ac:knownFonts="1">
    <font>
      <sz val="11"/>
      <color theme="1"/>
      <name val="Calibri"/>
      <family val="2"/>
      <scheme val="minor"/>
    </font>
    <font>
      <b/>
      <sz val="11"/>
      <color theme="1"/>
      <name val="Calibri"/>
      <family val="2"/>
      <scheme val="minor"/>
    </font>
    <font>
      <u/>
      <sz val="12"/>
      <color theme="1"/>
      <name val="Calibri"/>
      <family val="2"/>
      <scheme val="minor"/>
    </font>
    <font>
      <b/>
      <sz val="14"/>
      <color theme="1"/>
      <name val="Calibri"/>
      <family val="2"/>
      <scheme val="minor"/>
    </font>
    <font>
      <u/>
      <sz val="11"/>
      <color theme="1"/>
      <name val="Calibri"/>
      <family val="2"/>
      <scheme val="minor"/>
    </font>
    <font>
      <i/>
      <sz val="11"/>
      <color theme="1"/>
      <name val="Calibri"/>
      <family val="2"/>
      <scheme val="minor"/>
    </font>
    <font>
      <b/>
      <sz val="11"/>
      <name val="Calibri"/>
      <family val="2"/>
      <scheme val="minor"/>
    </font>
    <font>
      <sz val="11"/>
      <name val="Calibri"/>
      <family val="2"/>
      <scheme val="minor"/>
    </font>
    <font>
      <b/>
      <sz val="11"/>
      <color theme="7"/>
      <name val="Calibri"/>
      <family val="2"/>
      <scheme val="minor"/>
    </font>
    <font>
      <b/>
      <sz val="11"/>
      <color rgb="FFC00000"/>
      <name val="Calibri"/>
      <family val="2"/>
      <scheme val="minor"/>
    </font>
    <font>
      <b/>
      <sz val="11"/>
      <color theme="9" tint="-0.249977111117893"/>
      <name val="Calibri"/>
      <family val="2"/>
      <scheme val="minor"/>
    </font>
    <font>
      <b/>
      <sz val="12"/>
      <color theme="1"/>
      <name val="Calibri"/>
      <family val="2"/>
      <scheme val="minor"/>
    </font>
    <font>
      <b/>
      <u/>
      <sz val="16"/>
      <color theme="1"/>
      <name val="Calibri"/>
      <family val="2"/>
      <scheme val="minor"/>
    </font>
    <font>
      <b/>
      <sz val="14"/>
      <color theme="4" tint="-0.249977111117893"/>
      <name val="Calibri"/>
      <family val="2"/>
      <scheme val="minor"/>
    </font>
    <font>
      <u/>
      <sz val="11"/>
      <color theme="10"/>
      <name val="Calibri"/>
      <family val="2"/>
      <scheme val="minor"/>
    </font>
    <font>
      <b/>
      <u/>
      <sz val="14"/>
      <color theme="10"/>
      <name val="Calibri"/>
      <family val="2"/>
      <scheme val="minor"/>
    </font>
    <font>
      <sz val="11"/>
      <color theme="1"/>
      <name val="Calibri"/>
      <family val="2"/>
      <scheme val="minor"/>
    </font>
    <font>
      <sz val="11"/>
      <color theme="9" tint="-0.249977111117893"/>
      <name val="Calibri"/>
      <family val="2"/>
      <scheme val="minor"/>
    </font>
    <font>
      <sz val="10"/>
      <color theme="1"/>
      <name val="Calibri"/>
      <family val="2"/>
      <scheme val="minor"/>
    </font>
    <font>
      <sz val="11"/>
      <color theme="10"/>
      <name val="Calibri"/>
      <family val="2"/>
      <scheme val="minor"/>
    </font>
    <font>
      <sz val="9"/>
      <color indexed="81"/>
      <name val="Tahoma"/>
      <family val="2"/>
    </font>
    <font>
      <b/>
      <sz val="9"/>
      <color indexed="81"/>
      <name val="Tahoma"/>
      <family val="2"/>
    </font>
    <font>
      <sz val="11"/>
      <color theme="1"/>
      <name val="Calibri"/>
      <family val="2"/>
    </font>
    <font>
      <b/>
      <u/>
      <sz val="18"/>
      <color theme="1"/>
      <name val="Calibri"/>
      <family val="2"/>
      <scheme val="minor"/>
    </font>
    <font>
      <i/>
      <u/>
      <sz val="11"/>
      <color theme="1"/>
      <name val="Calibri"/>
      <family val="2"/>
      <scheme val="minor"/>
    </font>
    <font>
      <b/>
      <sz val="11"/>
      <color rgb="FFFFC000"/>
      <name val="Calibri"/>
      <family val="2"/>
      <scheme val="minor"/>
    </font>
    <font>
      <sz val="11"/>
      <color theme="5"/>
      <name val="Calibri"/>
      <family val="2"/>
      <scheme val="minor"/>
    </font>
    <font>
      <b/>
      <u/>
      <sz val="11"/>
      <name val="Calibri"/>
      <family val="2"/>
      <scheme val="minor"/>
    </font>
    <font>
      <b/>
      <u/>
      <sz val="11"/>
      <name val="Calibri"/>
      <family val="2"/>
    </font>
    <font>
      <i/>
      <sz val="9"/>
      <name val="Calibri"/>
      <family val="2"/>
      <scheme val="minor"/>
    </font>
    <font>
      <b/>
      <i/>
      <sz val="11"/>
      <color theme="1"/>
      <name val="Calibri"/>
      <family val="2"/>
      <scheme val="minor"/>
    </font>
    <font>
      <b/>
      <u/>
      <sz val="11"/>
      <color theme="1"/>
      <name val="Calibri"/>
      <family val="2"/>
      <scheme val="minor"/>
    </font>
    <font>
      <i/>
      <sz val="9"/>
      <color theme="1"/>
      <name val="Calibri"/>
      <family val="2"/>
      <scheme val="minor"/>
    </font>
    <font>
      <b/>
      <i/>
      <sz val="11"/>
      <color theme="4"/>
      <name val="Calibri"/>
      <family val="2"/>
      <scheme val="minor"/>
    </font>
    <font>
      <sz val="12"/>
      <color theme="1"/>
      <name val="Calibri"/>
      <family val="2"/>
      <scheme val="minor"/>
    </font>
    <font>
      <b/>
      <u/>
      <sz val="11"/>
      <color theme="5" tint="-0.249977111117893"/>
      <name val="Calibri"/>
      <family val="2"/>
      <scheme val="minor"/>
    </font>
    <font>
      <sz val="11"/>
      <color theme="4"/>
      <name val="Calibri"/>
      <family val="2"/>
      <scheme val="minor"/>
    </font>
    <font>
      <sz val="11"/>
      <color rgb="FF222222"/>
      <name val="Calibri"/>
      <family val="2"/>
      <scheme val="minor"/>
    </font>
    <font>
      <b/>
      <u/>
      <sz val="13"/>
      <color rgb="FF7030A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1"/>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96">
    <xf numFmtId="0" fontId="0" fillId="0" borderId="0" xfId="0"/>
    <xf numFmtId="0" fontId="2" fillId="0" borderId="0" xfId="0" applyFont="1" applyAlignment="1">
      <alignment horizontal="left"/>
    </xf>
    <xf numFmtId="0" fontId="3" fillId="0" borderId="0" xfId="0" applyFont="1" applyAlignment="1">
      <alignment horizontal="left"/>
    </xf>
    <xf numFmtId="0" fontId="3" fillId="0" borderId="0" xfId="0" applyFont="1"/>
    <xf numFmtId="0" fontId="4" fillId="0" borderId="0" xfId="0" applyFont="1"/>
    <xf numFmtId="0" fontId="1" fillId="0" borderId="0" xfId="0" applyFont="1"/>
    <xf numFmtId="7" fontId="0" fillId="0" borderId="0" xfId="0" applyNumberFormat="1" applyAlignment="1">
      <alignment horizontal="right"/>
    </xf>
    <xf numFmtId="0" fontId="0" fillId="0" borderId="0" xfId="0" applyAlignment="1">
      <alignment horizontal="right"/>
    </xf>
    <xf numFmtId="0" fontId="1" fillId="0" borderId="0" xfId="0" applyFont="1" applyAlignment="1">
      <alignment horizontal="right"/>
    </xf>
    <xf numFmtId="0" fontId="0" fillId="0" borderId="0" xfId="0" applyAlignment="1">
      <alignment horizontal="left"/>
    </xf>
    <xf numFmtId="7" fontId="0" fillId="0" borderId="0" xfId="0" applyNumberFormat="1"/>
    <xf numFmtId="0" fontId="4" fillId="0" borderId="0" xfId="0" applyFont="1" applyAlignment="1">
      <alignment horizontal="right"/>
    </xf>
    <xf numFmtId="7" fontId="1" fillId="0" borderId="0" xfId="0" applyNumberFormat="1" applyFont="1" applyAlignment="1">
      <alignment horizontal="right"/>
    </xf>
    <xf numFmtId="0" fontId="7" fillId="0" borderId="0" xfId="0" applyFont="1"/>
    <xf numFmtId="0" fontId="12" fillId="0" borderId="0" xfId="0" applyFont="1"/>
    <xf numFmtId="5" fontId="0" fillId="0" borderId="0" xfId="0" applyNumberFormat="1"/>
    <xf numFmtId="10" fontId="1" fillId="0" borderId="0" xfId="0" applyNumberFormat="1" applyFont="1" applyAlignment="1">
      <alignment horizontal="right"/>
    </xf>
    <xf numFmtId="164" fontId="1" fillId="0" borderId="0" xfId="0" applyNumberFormat="1" applyFont="1" applyAlignment="1">
      <alignment horizontal="right"/>
    </xf>
    <xf numFmtId="166" fontId="0" fillId="0" borderId="0" xfId="0" applyNumberFormat="1" applyAlignment="1">
      <alignment horizontal="right"/>
    </xf>
    <xf numFmtId="0" fontId="0" fillId="3" borderId="0" xfId="0" applyFill="1"/>
    <xf numFmtId="0" fontId="15" fillId="3" borderId="0" xfId="1" applyFont="1" applyFill="1"/>
    <xf numFmtId="0" fontId="0" fillId="0" borderId="0" xfId="0" applyAlignment="1">
      <alignment wrapText="1"/>
    </xf>
    <xf numFmtId="0" fontId="19" fillId="0" borderId="0" xfId="1" applyFont="1" applyFill="1"/>
    <xf numFmtId="0" fontId="16" fillId="0" borderId="0" xfId="0" applyFont="1"/>
    <xf numFmtId="0" fontId="22" fillId="0" borderId="0" xfId="0" applyFont="1"/>
    <xf numFmtId="0" fontId="22" fillId="0" borderId="0" xfId="0" applyFont="1" applyAlignment="1">
      <alignment horizontal="center"/>
    </xf>
    <xf numFmtId="0" fontId="11" fillId="0" borderId="0" xfId="0" applyFont="1"/>
    <xf numFmtId="0" fontId="5" fillId="0" borderId="0" xfId="0" applyFont="1"/>
    <xf numFmtId="0" fontId="23" fillId="0" borderId="0" xfId="0" applyFont="1"/>
    <xf numFmtId="0" fontId="13" fillId="0" borderId="0" xfId="0" applyFont="1" applyAlignment="1">
      <alignment horizontal="left"/>
    </xf>
    <xf numFmtId="0" fontId="24" fillId="0" borderId="0" xfId="0" applyFont="1"/>
    <xf numFmtId="0" fontId="13" fillId="0" borderId="0" xfId="0" applyFont="1" applyAlignment="1" applyProtection="1">
      <alignment horizontal="left"/>
      <protection locked="0"/>
    </xf>
    <xf numFmtId="7" fontId="0" fillId="0" borderId="1" xfId="0" applyNumberFormat="1" applyBorder="1" applyAlignment="1" applyProtection="1">
      <alignment horizontal="right"/>
      <protection locked="0"/>
    </xf>
    <xf numFmtId="7" fontId="0" fillId="0" borderId="1" xfId="0" applyNumberFormat="1" applyBorder="1" applyProtection="1">
      <protection locked="0"/>
    </xf>
    <xf numFmtId="165" fontId="0" fillId="0" borderId="1" xfId="0" applyNumberFormat="1" applyBorder="1" applyProtection="1">
      <protection locked="0"/>
    </xf>
    <xf numFmtId="166" fontId="0" fillId="0" borderId="1" xfId="0" applyNumberFormat="1" applyBorder="1" applyProtection="1">
      <protection locked="0"/>
    </xf>
    <xf numFmtId="167" fontId="0" fillId="0" borderId="1" xfId="0" applyNumberFormat="1" applyBorder="1" applyProtection="1">
      <protection locked="0"/>
    </xf>
    <xf numFmtId="0" fontId="18" fillId="0" borderId="1" xfId="0" applyFont="1" applyBorder="1" applyAlignment="1" applyProtection="1">
      <alignment wrapText="1"/>
      <protection locked="0"/>
    </xf>
    <xf numFmtId="5" fontId="0" fillId="0" borderId="1" xfId="0" applyNumberFormat="1" applyBorder="1" applyProtection="1">
      <protection locked="0"/>
    </xf>
    <xf numFmtId="5" fontId="0" fillId="0" borderId="0" xfId="0" applyNumberFormat="1" applyAlignment="1">
      <alignment horizontal="right"/>
    </xf>
    <xf numFmtId="0" fontId="1" fillId="5" borderId="0" xfId="0" applyFont="1" applyFill="1"/>
    <xf numFmtId="7" fontId="0" fillId="0" borderId="3" xfId="0" applyNumberFormat="1" applyBorder="1" applyAlignment="1" applyProtection="1">
      <alignment horizontal="right"/>
      <protection locked="0"/>
    </xf>
    <xf numFmtId="5" fontId="0" fillId="0" borderId="2" xfId="0" applyNumberFormat="1" applyBorder="1" applyAlignment="1" applyProtection="1">
      <alignment horizontal="right"/>
      <protection locked="0"/>
    </xf>
    <xf numFmtId="0" fontId="1" fillId="2" borderId="0" xfId="0" applyFont="1" applyFill="1"/>
    <xf numFmtId="0" fontId="1" fillId="2" borderId="0" xfId="0" applyFont="1" applyFill="1" applyAlignment="1">
      <alignment horizontal="right"/>
    </xf>
    <xf numFmtId="0" fontId="14" fillId="0" borderId="0" xfId="1" applyAlignment="1">
      <alignment horizontal="right"/>
    </xf>
    <xf numFmtId="0" fontId="4" fillId="0" borderId="0" xfId="0" applyFont="1" applyAlignment="1">
      <alignment horizontal="left"/>
    </xf>
    <xf numFmtId="0" fontId="9" fillId="0" borderId="0" xfId="0" applyFont="1" applyAlignment="1">
      <alignment horizontal="left" wrapText="1"/>
    </xf>
    <xf numFmtId="0" fontId="9" fillId="0" borderId="0" xfId="0" applyFont="1" applyAlignment="1">
      <alignment wrapText="1"/>
    </xf>
    <xf numFmtId="0" fontId="10" fillId="0" borderId="0" xfId="0" applyFont="1" applyAlignment="1">
      <alignment horizontal="left" wrapText="1"/>
    </xf>
    <xf numFmtId="0" fontId="5" fillId="0" borderId="0" xfId="0" applyFont="1" applyAlignment="1">
      <alignment horizontal="center"/>
    </xf>
    <xf numFmtId="0" fontId="8" fillId="0" borderId="0" xfId="0" applyFont="1" applyAlignment="1">
      <alignment horizontal="left"/>
    </xf>
    <xf numFmtId="0" fontId="9" fillId="0" borderId="0" xfId="0" applyFont="1" applyAlignment="1">
      <alignment horizontal="left"/>
    </xf>
    <xf numFmtId="0" fontId="5" fillId="0" borderId="0" xfId="0" applyFont="1" applyAlignment="1">
      <alignment horizontal="center" wrapText="1"/>
    </xf>
    <xf numFmtId="0" fontId="26" fillId="0" borderId="0" xfId="0" applyFont="1"/>
    <xf numFmtId="0" fontId="26" fillId="0" borderId="0" xfId="0" applyFont="1" applyAlignment="1">
      <alignment horizontal="left"/>
    </xf>
    <xf numFmtId="0" fontId="4" fillId="0" borderId="0" xfId="0" applyFont="1" applyAlignment="1">
      <alignment horizontal="right" vertical="top"/>
    </xf>
    <xf numFmtId="0" fontId="5" fillId="0" borderId="0" xfId="0" applyFont="1" applyAlignment="1">
      <alignment horizontal="left" wrapText="1"/>
    </xf>
    <xf numFmtId="0" fontId="7" fillId="0" borderId="0" xfId="0" applyFont="1" applyAlignment="1">
      <alignment horizontal="left"/>
    </xf>
    <xf numFmtId="0" fontId="25" fillId="0" borderId="0" xfId="0" applyFont="1"/>
    <xf numFmtId="0" fontId="27" fillId="0" borderId="0" xfId="0" applyFont="1" applyAlignment="1">
      <alignment horizontal="left"/>
    </xf>
    <xf numFmtId="0" fontId="28" fillId="0" borderId="0" xfId="0" applyFont="1" applyAlignment="1">
      <alignment horizontal="left" wrapText="1"/>
    </xf>
    <xf numFmtId="0" fontId="27" fillId="0" borderId="0" xfId="0" applyFont="1" applyAlignment="1">
      <alignment horizontal="left" wrapText="1"/>
    </xf>
    <xf numFmtId="0" fontId="31" fillId="0" borderId="0" xfId="0" applyFont="1"/>
    <xf numFmtId="0" fontId="0" fillId="0" borderId="0" xfId="0" applyAlignment="1">
      <alignment vertical="top"/>
    </xf>
    <xf numFmtId="0" fontId="5" fillId="0" borderId="0" xfId="0" applyFont="1" applyAlignment="1">
      <alignment horizontal="left" vertical="top" wrapText="1"/>
    </xf>
    <xf numFmtId="0" fontId="33" fillId="0" borderId="0" xfId="0" applyFont="1"/>
    <xf numFmtId="0" fontId="33" fillId="0" borderId="0" xfId="0" applyFont="1" applyAlignment="1">
      <alignment horizontal="left"/>
    </xf>
    <xf numFmtId="0" fontId="11" fillId="2" borderId="0" xfId="0" applyFont="1" applyFill="1"/>
    <xf numFmtId="0" fontId="0" fillId="2" borderId="0" xfId="0" applyFill="1"/>
    <xf numFmtId="0" fontId="10" fillId="0" borderId="0" xfId="0" applyFont="1" applyAlignment="1">
      <alignment horizontal="left"/>
    </xf>
    <xf numFmtId="0" fontId="10" fillId="0" borderId="0" xfId="0" applyFont="1"/>
    <xf numFmtId="0" fontId="5" fillId="0" borderId="0" xfId="0" applyFont="1" applyAlignment="1">
      <alignment horizontal="left"/>
    </xf>
    <xf numFmtId="0" fontId="9" fillId="0" borderId="0" xfId="0" applyFont="1"/>
    <xf numFmtId="0" fontId="7" fillId="0" borderId="0" xfId="0" applyFont="1" applyAlignment="1">
      <alignment wrapText="1"/>
    </xf>
    <xf numFmtId="0" fontId="29" fillId="0" borderId="0" xfId="0" applyFont="1" applyAlignment="1">
      <alignment horizontal="left" vertical="top" wrapText="1"/>
    </xf>
    <xf numFmtId="0" fontId="34" fillId="0" borderId="0" xfId="0" applyFont="1"/>
    <xf numFmtId="0" fontId="35" fillId="0" borderId="0" xfId="0" applyFont="1" applyAlignment="1">
      <alignment horizontal="right"/>
    </xf>
    <xf numFmtId="166" fontId="1"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2" fontId="1" fillId="0" borderId="0" xfId="0" applyNumberFormat="1" applyFont="1" applyAlignment="1">
      <alignment horizontal="center"/>
    </xf>
    <xf numFmtId="10" fontId="1" fillId="0" borderId="0" xfId="0" applyNumberFormat="1" applyFont="1" applyAlignment="1">
      <alignment horizontal="center"/>
    </xf>
    <xf numFmtId="0" fontId="1" fillId="4" borderId="0" xfId="0" applyFont="1" applyFill="1" applyAlignment="1">
      <alignment horizontal="center"/>
    </xf>
    <xf numFmtId="0" fontId="0" fillId="4" borderId="0" xfId="0" applyFill="1" applyAlignment="1">
      <alignment horizontal="center"/>
    </xf>
    <xf numFmtId="0" fontId="0" fillId="0" borderId="0" xfId="0" applyAlignment="1">
      <alignment horizontal="center"/>
    </xf>
    <xf numFmtId="0" fontId="0" fillId="0" borderId="0" xfId="0" quotePrefix="1" applyAlignment="1">
      <alignment horizontal="center"/>
    </xf>
    <xf numFmtId="0" fontId="37" fillId="0" borderId="0" xfId="0" applyFont="1"/>
    <xf numFmtId="0" fontId="38" fillId="0" borderId="0" xfId="0" applyFont="1" applyAlignment="1">
      <alignment horizontal="left" indent="20"/>
    </xf>
    <xf numFmtId="0" fontId="6" fillId="0" borderId="0" xfId="0" applyFont="1"/>
    <xf numFmtId="0" fontId="32" fillId="0" borderId="0" xfId="0" applyFont="1"/>
    <xf numFmtId="10" fontId="0" fillId="0" borderId="1" xfId="0" applyNumberFormat="1" applyBorder="1" applyProtection="1">
      <protection locked="0"/>
    </xf>
    <xf numFmtId="5" fontId="1" fillId="0" borderId="0" xfId="0" applyNumberFormat="1" applyFont="1" applyAlignment="1">
      <alignment horizontal="right"/>
    </xf>
    <xf numFmtId="10" fontId="1" fillId="0" borderId="1" xfId="0" applyNumberFormat="1" applyFont="1" applyBorder="1" applyProtection="1">
      <protection locked="0"/>
    </xf>
    <xf numFmtId="5" fontId="0" fillId="0" borderId="1" xfId="0" applyNumberFormat="1" applyBorder="1" applyAlignment="1" applyProtection="1">
      <alignment horizontal="right"/>
      <protection locked="0"/>
    </xf>
    <xf numFmtId="0" fontId="6"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53486</xdr:colOff>
      <xdr:row>5</xdr:row>
      <xdr:rowOff>45427</xdr:rowOff>
    </xdr:from>
    <xdr:to>
      <xdr:col>15</xdr:col>
      <xdr:colOff>251817</xdr:colOff>
      <xdr:row>11</xdr:row>
      <xdr:rowOff>59960</xdr:rowOff>
    </xdr:to>
    <xdr:pic>
      <xdr:nvPicPr>
        <xdr:cNvPr id="3" name="Picture 2">
          <a:extLst>
            <a:ext uri="{FF2B5EF4-FFF2-40B4-BE49-F238E27FC236}">
              <a16:creationId xmlns:a16="http://schemas.microsoft.com/office/drawing/2014/main" id="{76089710-F4A5-4288-A791-430795F05A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2936" y="1102702"/>
          <a:ext cx="807931" cy="890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200025</xdr:colOff>
      <xdr:row>2</xdr:row>
      <xdr:rowOff>19050</xdr:rowOff>
    </xdr:from>
    <xdr:to>
      <xdr:col>7</xdr:col>
      <xdr:colOff>1006491</xdr:colOff>
      <xdr:row>5</xdr:row>
      <xdr:rowOff>198439</xdr:rowOff>
    </xdr:to>
    <xdr:pic>
      <xdr:nvPicPr>
        <xdr:cNvPr id="3" name="Picture 2">
          <a:extLst>
            <a:ext uri="{FF2B5EF4-FFF2-40B4-BE49-F238E27FC236}">
              <a16:creationId xmlns:a16="http://schemas.microsoft.com/office/drawing/2014/main" id="{B4687B1E-8EF0-4566-A7F7-A46EAA57E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39450" y="295275"/>
          <a:ext cx="806466" cy="8937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1162050</xdr:colOff>
      <xdr:row>2</xdr:row>
      <xdr:rowOff>57150</xdr:rowOff>
    </xdr:from>
    <xdr:to>
      <xdr:col>4</xdr:col>
      <xdr:colOff>1968516</xdr:colOff>
      <xdr:row>6</xdr:row>
      <xdr:rowOff>46039</xdr:rowOff>
    </xdr:to>
    <xdr:pic>
      <xdr:nvPicPr>
        <xdr:cNvPr id="3" name="Picture 2">
          <a:extLst>
            <a:ext uri="{FF2B5EF4-FFF2-40B4-BE49-F238E27FC236}">
              <a16:creationId xmlns:a16="http://schemas.microsoft.com/office/drawing/2014/main" id="{DC44A85E-8ECC-40EB-8C27-5234CDB47D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7875" y="342900"/>
          <a:ext cx="806466" cy="8937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95250</xdr:colOff>
      <xdr:row>9</xdr:row>
      <xdr:rowOff>38100</xdr:rowOff>
    </xdr:from>
    <xdr:to>
      <xdr:col>8</xdr:col>
      <xdr:colOff>292116</xdr:colOff>
      <xdr:row>13</xdr:row>
      <xdr:rowOff>169864</xdr:rowOff>
    </xdr:to>
    <xdr:pic>
      <xdr:nvPicPr>
        <xdr:cNvPr id="3" name="Picture 2">
          <a:extLst>
            <a:ext uri="{FF2B5EF4-FFF2-40B4-BE49-F238E27FC236}">
              <a16:creationId xmlns:a16="http://schemas.microsoft.com/office/drawing/2014/main" id="{2FF78563-A68E-44E4-A80A-96222E0B7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25175" y="1990725"/>
          <a:ext cx="806466" cy="8937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choolfinancereports.azed.go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67"/>
  <sheetViews>
    <sheetView showGridLines="0" topLeftCell="A3" zoomScaleNormal="100" workbookViewId="0"/>
  </sheetViews>
  <sheetFormatPr defaultRowHeight="14.4" x14ac:dyDescent="0.3"/>
  <cols>
    <col min="1" max="1" width="2" customWidth="1"/>
    <col min="2" max="2" width="4.5546875" customWidth="1"/>
    <col min="3" max="4" width="3.6640625" customWidth="1"/>
  </cols>
  <sheetData>
    <row r="1" spans="2:4" ht="23.4" x14ac:dyDescent="0.45">
      <c r="B1" s="28" t="s">
        <v>162</v>
      </c>
    </row>
    <row r="2" spans="2:4" x14ac:dyDescent="0.3">
      <c r="B2" t="s">
        <v>52</v>
      </c>
    </row>
    <row r="3" spans="2:4" x14ac:dyDescent="0.3">
      <c r="B3" t="s">
        <v>163</v>
      </c>
    </row>
    <row r="4" spans="2:4" x14ac:dyDescent="0.3">
      <c r="B4" s="89" t="s">
        <v>164</v>
      </c>
    </row>
    <row r="5" spans="2:4" x14ac:dyDescent="0.3">
      <c r="B5" s="89" t="s">
        <v>161</v>
      </c>
    </row>
    <row r="6" spans="2:4" ht="3.9" customHeight="1" x14ac:dyDescent="0.3"/>
    <row r="7" spans="2:4" x14ac:dyDescent="0.3">
      <c r="C7" s="25" t="s">
        <v>53</v>
      </c>
      <c r="D7" t="s">
        <v>165</v>
      </c>
    </row>
    <row r="8" spans="2:4" x14ac:dyDescent="0.3">
      <c r="C8" s="24"/>
      <c r="D8" t="s">
        <v>166</v>
      </c>
    </row>
    <row r="9" spans="2:4" ht="5.4" customHeight="1" x14ac:dyDescent="0.3">
      <c r="C9" s="24"/>
    </row>
    <row r="10" spans="2:4" x14ac:dyDescent="0.3">
      <c r="C10" s="25" t="s">
        <v>53</v>
      </c>
      <c r="D10" t="s">
        <v>167</v>
      </c>
    </row>
    <row r="11" spans="2:4" x14ac:dyDescent="0.3">
      <c r="D11" t="s">
        <v>81</v>
      </c>
    </row>
    <row r="12" spans="2:4" x14ac:dyDescent="0.3">
      <c r="D12" t="s">
        <v>82</v>
      </c>
    </row>
    <row r="13" spans="2:4" ht="7.5" customHeight="1" x14ac:dyDescent="0.3"/>
    <row r="14" spans="2:4" x14ac:dyDescent="0.3">
      <c r="B14" s="30" t="s">
        <v>72</v>
      </c>
    </row>
    <row r="15" spans="2:4" x14ac:dyDescent="0.3">
      <c r="B15" s="30" t="s">
        <v>168</v>
      </c>
    </row>
    <row r="16" spans="2:4" x14ac:dyDescent="0.3">
      <c r="B16" t="s">
        <v>73</v>
      </c>
    </row>
    <row r="18" spans="2:4" ht="15.6" x14ac:dyDescent="0.3">
      <c r="B18" s="26" t="s">
        <v>54</v>
      </c>
    </row>
    <row r="19" spans="2:4" x14ac:dyDescent="0.3">
      <c r="B19" t="s">
        <v>55</v>
      </c>
    </row>
    <row r="20" spans="2:4" x14ac:dyDescent="0.3">
      <c r="B20" t="s">
        <v>56</v>
      </c>
    </row>
    <row r="21" spans="2:4" ht="7.5" customHeight="1" x14ac:dyDescent="0.3"/>
    <row r="22" spans="2:4" x14ac:dyDescent="0.3">
      <c r="B22" t="s">
        <v>57</v>
      </c>
    </row>
    <row r="23" spans="2:4" x14ac:dyDescent="0.3">
      <c r="B23" t="s">
        <v>58</v>
      </c>
    </row>
    <row r="24" spans="2:4" ht="7.5" customHeight="1" x14ac:dyDescent="0.3"/>
    <row r="25" spans="2:4" x14ac:dyDescent="0.3">
      <c r="B25" t="s">
        <v>71</v>
      </c>
    </row>
    <row r="26" spans="2:4" x14ac:dyDescent="0.3">
      <c r="B26" t="s">
        <v>74</v>
      </c>
    </row>
    <row r="27" spans="2:4" ht="9" customHeight="1" x14ac:dyDescent="0.3"/>
    <row r="28" spans="2:4" x14ac:dyDescent="0.3">
      <c r="B28" s="4" t="s">
        <v>169</v>
      </c>
    </row>
    <row r="29" spans="2:4" x14ac:dyDescent="0.3">
      <c r="B29" t="s">
        <v>75</v>
      </c>
    </row>
    <row r="30" spans="2:4" x14ac:dyDescent="0.3">
      <c r="B30" t="s">
        <v>170</v>
      </c>
    </row>
    <row r="31" spans="2:4" ht="4.5" customHeight="1" x14ac:dyDescent="0.3"/>
    <row r="32" spans="2:4" x14ac:dyDescent="0.3">
      <c r="C32" s="86" t="s">
        <v>59</v>
      </c>
      <c r="D32" t="s">
        <v>181</v>
      </c>
    </row>
    <row r="33" spans="2:5" x14ac:dyDescent="0.3">
      <c r="C33" s="86" t="s">
        <v>60</v>
      </c>
      <c r="D33" t="s">
        <v>171</v>
      </c>
    </row>
    <row r="34" spans="2:5" x14ac:dyDescent="0.3">
      <c r="C34" s="86" t="s">
        <v>61</v>
      </c>
      <c r="D34" t="s">
        <v>148</v>
      </c>
    </row>
    <row r="35" spans="2:5" x14ac:dyDescent="0.3">
      <c r="C35" s="86" t="s">
        <v>150</v>
      </c>
      <c r="D35" s="87" t="s">
        <v>149</v>
      </c>
    </row>
    <row r="37" spans="2:5" ht="15.6" x14ac:dyDescent="0.3">
      <c r="B37" s="26" t="s">
        <v>77</v>
      </c>
    </row>
    <row r="38" spans="2:5" x14ac:dyDescent="0.3">
      <c r="B38" t="s">
        <v>76</v>
      </c>
    </row>
    <row r="39" spans="2:5" x14ac:dyDescent="0.3">
      <c r="B39" t="s">
        <v>172</v>
      </c>
    </row>
    <row r="40" spans="2:5" ht="5.0999999999999996" customHeight="1" x14ac:dyDescent="0.3"/>
    <row r="41" spans="2:5" x14ac:dyDescent="0.3">
      <c r="C41" s="25" t="s">
        <v>53</v>
      </c>
      <c r="D41" t="s">
        <v>62</v>
      </c>
    </row>
    <row r="42" spans="2:5" x14ac:dyDescent="0.3">
      <c r="C42" s="25"/>
      <c r="D42" t="s">
        <v>63</v>
      </c>
    </row>
    <row r="43" spans="2:5" ht="5.4" customHeight="1" x14ac:dyDescent="0.3">
      <c r="C43" s="25"/>
    </row>
    <row r="44" spans="2:5" x14ac:dyDescent="0.3">
      <c r="C44" s="25" t="s">
        <v>53</v>
      </c>
      <c r="D44" t="s">
        <v>173</v>
      </c>
    </row>
    <row r="45" spans="2:5" x14ac:dyDescent="0.3">
      <c r="C45" s="25"/>
      <c r="D45" t="s">
        <v>70</v>
      </c>
    </row>
    <row r="46" spans="2:5" x14ac:dyDescent="0.3">
      <c r="C46" s="25"/>
      <c r="D46" t="s">
        <v>69</v>
      </c>
    </row>
    <row r="47" spans="2:5" x14ac:dyDescent="0.3">
      <c r="C47" s="25"/>
      <c r="D47" s="25" t="s">
        <v>64</v>
      </c>
      <c r="E47" t="s">
        <v>65</v>
      </c>
    </row>
    <row r="48" spans="2:5" x14ac:dyDescent="0.3">
      <c r="C48" s="25"/>
      <c r="D48" s="25"/>
      <c r="E48" t="s">
        <v>66</v>
      </c>
    </row>
    <row r="49" spans="2:5" x14ac:dyDescent="0.3">
      <c r="C49" s="25"/>
      <c r="D49" s="25"/>
      <c r="E49" t="s">
        <v>174</v>
      </c>
    </row>
    <row r="50" spans="2:5" x14ac:dyDescent="0.3">
      <c r="C50" s="25"/>
      <c r="D50" s="25"/>
      <c r="E50" t="s">
        <v>67</v>
      </c>
    </row>
    <row r="51" spans="2:5" ht="5.4" customHeight="1" x14ac:dyDescent="0.3">
      <c r="C51" s="25"/>
      <c r="D51" s="25"/>
    </row>
    <row r="52" spans="2:5" x14ac:dyDescent="0.3">
      <c r="C52" s="25"/>
      <c r="D52" s="25" t="s">
        <v>64</v>
      </c>
      <c r="E52" t="s">
        <v>68</v>
      </c>
    </row>
    <row r="53" spans="2:5" x14ac:dyDescent="0.3">
      <c r="C53" s="25"/>
      <c r="D53" s="25"/>
      <c r="E53" t="s">
        <v>175</v>
      </c>
    </row>
    <row r="54" spans="2:5" x14ac:dyDescent="0.3">
      <c r="C54" s="25"/>
      <c r="D54" s="25"/>
      <c r="E54" t="s">
        <v>179</v>
      </c>
    </row>
    <row r="55" spans="2:5" x14ac:dyDescent="0.3">
      <c r="C55" s="25"/>
      <c r="D55" s="25"/>
      <c r="E55" t="s">
        <v>180</v>
      </c>
    </row>
    <row r="56" spans="2:5" ht="5.4" customHeight="1" x14ac:dyDescent="0.3">
      <c r="C56" s="25"/>
    </row>
    <row r="57" spans="2:5" x14ac:dyDescent="0.3">
      <c r="C57" s="25" t="s">
        <v>53</v>
      </c>
      <c r="D57" t="s">
        <v>86</v>
      </c>
    </row>
    <row r="58" spans="2:5" x14ac:dyDescent="0.3">
      <c r="C58" s="25"/>
      <c r="D58" t="s">
        <v>87</v>
      </c>
    </row>
    <row r="59" spans="2:5" x14ac:dyDescent="0.3">
      <c r="C59" s="25"/>
      <c r="D59" t="s">
        <v>89</v>
      </c>
    </row>
    <row r="60" spans="2:5" x14ac:dyDescent="0.3">
      <c r="D60" t="s">
        <v>88</v>
      </c>
    </row>
    <row r="62" spans="2:5" x14ac:dyDescent="0.3">
      <c r="B62" s="27" t="s">
        <v>176</v>
      </c>
    </row>
    <row r="63" spans="2:5" x14ac:dyDescent="0.3">
      <c r="B63" s="27" t="s">
        <v>177</v>
      </c>
    </row>
    <row r="64" spans="2:5" x14ac:dyDescent="0.3">
      <c r="B64" s="27" t="s">
        <v>154</v>
      </c>
    </row>
    <row r="65" spans="2:2" x14ac:dyDescent="0.3">
      <c r="B65" s="27" t="s">
        <v>151</v>
      </c>
    </row>
    <row r="66" spans="2:2" x14ac:dyDescent="0.3">
      <c r="B66" s="27" t="s">
        <v>178</v>
      </c>
    </row>
    <row r="67" spans="2:2" x14ac:dyDescent="0.3">
      <c r="B67" s="27" t="s">
        <v>152</v>
      </c>
    </row>
  </sheetData>
  <sheetProtection algorithmName="SHA-512" hashValue="zAGEHn+WeXvbjBuAAnYPvl+glmzvCYTw8/syIL9jXmhbOS1MSmaPXQPrDI90qWuAMaQ8Rwhdm4RQ4QAgHb2J5Q==" saltValue="WwEqPCaB/yRWDKYm+KgJzA==" spinCount="100000" sheet="1" objects="1" scenarios="1"/>
  <pageMargins left="0.7" right="0.7" top="0.75" bottom="0.75" header="0.3" footer="0.3"/>
  <pageSetup orientation="landscape" horizontalDpi="1200" verticalDpi="1200" r:id="rId1"/>
  <ignoredErrors>
    <ignoredError sqref="C32:C35"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2"/>
  <sheetViews>
    <sheetView showGridLines="0" topLeftCell="A52" zoomScaleNormal="100" workbookViewId="0">
      <selection activeCell="C63" sqref="C63"/>
    </sheetView>
  </sheetViews>
  <sheetFormatPr defaultRowHeight="14.4" x14ac:dyDescent="0.3"/>
  <cols>
    <col min="1" max="1" width="39.109375" customWidth="1"/>
    <col min="2" max="2" width="15.5546875" customWidth="1"/>
    <col min="3" max="3" width="31.44140625" bestFit="1" customWidth="1"/>
    <col min="4" max="4" width="19.6640625" customWidth="1"/>
    <col min="5" max="5" width="19.44140625" customWidth="1"/>
    <col min="6" max="7" width="19" bestFit="1" customWidth="1"/>
    <col min="8" max="8" width="19.5546875" bestFit="1" customWidth="1"/>
  </cols>
  <sheetData>
    <row r="1" spans="1:8" ht="15.6" x14ac:dyDescent="0.3">
      <c r="A1" s="1" t="s">
        <v>90</v>
      </c>
      <c r="H1" s="13"/>
    </row>
    <row r="2" spans="1:8" ht="6.6" customHeight="1" x14ac:dyDescent="0.3">
      <c r="A2" s="1"/>
      <c r="H2" s="13"/>
    </row>
    <row r="3" spans="1:8" ht="18" x14ac:dyDescent="0.35">
      <c r="A3" s="2" t="s">
        <v>0</v>
      </c>
      <c r="B3" s="31" t="s">
        <v>227</v>
      </c>
      <c r="H3" s="13"/>
    </row>
    <row r="4" spans="1:8" ht="18" x14ac:dyDescent="0.35">
      <c r="A4" s="3" t="s">
        <v>1</v>
      </c>
      <c r="B4" s="31" t="s">
        <v>228</v>
      </c>
      <c r="H4" s="13"/>
    </row>
    <row r="5" spans="1:8" ht="18" x14ac:dyDescent="0.35">
      <c r="A5" s="3" t="s">
        <v>2</v>
      </c>
      <c r="B5" s="31">
        <v>4421</v>
      </c>
      <c r="H5" s="13"/>
    </row>
    <row r="6" spans="1:8" ht="17.399999999999999" x14ac:dyDescent="0.35">
      <c r="A6" s="88" t="s">
        <v>153</v>
      </c>
      <c r="H6" s="13"/>
    </row>
    <row r="7" spans="1:8" ht="15.6" x14ac:dyDescent="0.3">
      <c r="B7" s="26"/>
      <c r="C7" s="26"/>
      <c r="D7" s="26"/>
      <c r="E7" s="26"/>
      <c r="H7" s="13"/>
    </row>
    <row r="8" spans="1:8" ht="18" x14ac:dyDescent="0.35">
      <c r="A8" s="20" t="s">
        <v>12</v>
      </c>
      <c r="B8" s="19"/>
      <c r="C8" s="19"/>
      <c r="D8" s="19"/>
      <c r="E8" s="19"/>
      <c r="F8" s="19"/>
      <c r="G8" s="19"/>
      <c r="H8" s="19"/>
    </row>
    <row r="9" spans="1:8" x14ac:dyDescent="0.3">
      <c r="B9" s="4"/>
      <c r="C9" s="4" t="s">
        <v>3</v>
      </c>
    </row>
    <row r="10" spans="1:8" x14ac:dyDescent="0.3">
      <c r="B10" s="43" t="s">
        <v>203</v>
      </c>
      <c r="C10" s="5" t="s">
        <v>91</v>
      </c>
      <c r="D10" s="5" t="s">
        <v>204</v>
      </c>
      <c r="E10" s="5" t="s">
        <v>205</v>
      </c>
      <c r="F10" s="5" t="s">
        <v>206</v>
      </c>
      <c r="G10" s="5" t="s">
        <v>207</v>
      </c>
    </row>
    <row r="11" spans="1:8" x14ac:dyDescent="0.3">
      <c r="A11" t="s">
        <v>4</v>
      </c>
      <c r="B11" s="38">
        <v>470191.82</v>
      </c>
      <c r="C11" s="32">
        <v>348986.74</v>
      </c>
      <c r="D11" s="32">
        <v>334126.2</v>
      </c>
      <c r="E11" s="32"/>
      <c r="F11" s="32"/>
      <c r="G11" s="32"/>
    </row>
    <row r="12" spans="1:8" x14ac:dyDescent="0.3">
      <c r="A12" t="s">
        <v>5</v>
      </c>
      <c r="B12" s="38">
        <f>101999.44+1217.37+18767.83+3426.28+6866.16+(127639.7-75001.89)</f>
        <v>184914.88999999998</v>
      </c>
      <c r="C12" s="32">
        <f>114260.55+6805.99+15057.26+3145.39+6866.5+(183188.25-75000.95)</f>
        <v>254322.99000000005</v>
      </c>
      <c r="D12" s="32">
        <f>97889.94+6805.99+9428.95+2929.49+6866.84+(193093.44-75001.89)</f>
        <v>242012.76</v>
      </c>
      <c r="E12" s="32"/>
      <c r="F12" s="32"/>
      <c r="G12" s="32"/>
    </row>
    <row r="13" spans="1:8" x14ac:dyDescent="0.3">
      <c r="A13" t="s">
        <v>135</v>
      </c>
      <c r="B13" s="38">
        <f>9371.02+22775.63</f>
        <v>32146.65</v>
      </c>
      <c r="C13" s="32">
        <v>0</v>
      </c>
      <c r="D13" s="32">
        <v>0</v>
      </c>
      <c r="E13" s="32"/>
      <c r="F13" s="32"/>
      <c r="G13" s="32"/>
    </row>
    <row r="14" spans="1:8" x14ac:dyDescent="0.3">
      <c r="A14" t="s">
        <v>136</v>
      </c>
      <c r="B14" s="38">
        <v>125000</v>
      </c>
      <c r="C14" s="32">
        <v>125000</v>
      </c>
      <c r="D14" s="32">
        <v>125000</v>
      </c>
      <c r="E14" s="32"/>
      <c r="F14" s="32"/>
      <c r="G14" s="32"/>
    </row>
    <row r="15" spans="1:8" x14ac:dyDescent="0.3">
      <c r="A15" t="s">
        <v>137</v>
      </c>
      <c r="B15" s="38">
        <v>0</v>
      </c>
      <c r="C15" s="32">
        <v>0</v>
      </c>
      <c r="D15" s="32">
        <v>0</v>
      </c>
      <c r="E15" s="32"/>
      <c r="F15" s="32"/>
      <c r="G15" s="32"/>
    </row>
    <row r="16" spans="1:8" x14ac:dyDescent="0.3">
      <c r="A16" s="7" t="s">
        <v>6</v>
      </c>
      <c r="B16" s="39">
        <f t="shared" ref="B16:G16" si="0">(B11-B12+B13+B14-B15)</f>
        <v>442423.58000000007</v>
      </c>
      <c r="C16" s="6">
        <f t="shared" si="0"/>
        <v>219663.74999999994</v>
      </c>
      <c r="D16" s="6">
        <f t="shared" si="0"/>
        <v>217113.44</v>
      </c>
      <c r="E16" s="6">
        <f t="shared" si="0"/>
        <v>0</v>
      </c>
      <c r="F16" s="6">
        <f t="shared" si="0"/>
        <v>0</v>
      </c>
      <c r="G16" s="6">
        <f t="shared" si="0"/>
        <v>0</v>
      </c>
    </row>
    <row r="17" spans="1:8" x14ac:dyDescent="0.3">
      <c r="A17" t="s">
        <v>7</v>
      </c>
      <c r="B17" s="38">
        <f>2503949.75+129794</f>
        <v>2633743.75</v>
      </c>
      <c r="C17" s="32">
        <f>585482.4+27000</f>
        <v>612482.4</v>
      </c>
      <c r="D17" s="32">
        <f>1133258.04+54000</f>
        <v>1187258.04</v>
      </c>
      <c r="E17" s="32"/>
      <c r="F17" s="32"/>
      <c r="G17" s="32"/>
    </row>
    <row r="18" spans="1:8" x14ac:dyDescent="0.3">
      <c r="A18" t="s">
        <v>8</v>
      </c>
      <c r="B18" s="38">
        <v>129794</v>
      </c>
      <c r="C18" s="32">
        <v>27000</v>
      </c>
      <c r="D18" s="32">
        <v>54000</v>
      </c>
      <c r="E18" s="32"/>
      <c r="F18" s="32"/>
      <c r="G18" s="32"/>
    </row>
    <row r="19" spans="1:8" x14ac:dyDescent="0.3">
      <c r="A19" t="s">
        <v>9</v>
      </c>
      <c r="B19" s="38">
        <v>0</v>
      </c>
      <c r="C19" s="32">
        <v>0</v>
      </c>
      <c r="D19" s="32">
        <v>0</v>
      </c>
      <c r="E19" s="32"/>
      <c r="F19" s="32"/>
      <c r="G19" s="32"/>
    </row>
    <row r="20" spans="1:8" x14ac:dyDescent="0.3">
      <c r="A20" s="7" t="s">
        <v>10</v>
      </c>
      <c r="B20" s="39">
        <f t="shared" ref="B20:G20" si="1">B17-(B18+B19)</f>
        <v>2503949.75</v>
      </c>
      <c r="C20" s="6">
        <f t="shared" si="1"/>
        <v>585482.4</v>
      </c>
      <c r="D20" s="6">
        <f t="shared" si="1"/>
        <v>1133258.04</v>
      </c>
      <c r="E20" s="6">
        <f t="shared" si="1"/>
        <v>0</v>
      </c>
      <c r="F20" s="6">
        <f t="shared" si="1"/>
        <v>0</v>
      </c>
      <c r="G20" s="6">
        <f t="shared" si="1"/>
        <v>0</v>
      </c>
    </row>
    <row r="21" spans="1:8" x14ac:dyDescent="0.3">
      <c r="A21" s="7" t="s">
        <v>11</v>
      </c>
      <c r="B21" s="39">
        <f>B20/365</f>
        <v>6860.1363013698628</v>
      </c>
      <c r="C21" s="6">
        <f>C20/92</f>
        <v>6363.9391304347828</v>
      </c>
      <c r="D21" s="6">
        <f>D20/184</f>
        <v>6159.0110869565224</v>
      </c>
      <c r="E21" s="6">
        <f>E20/274</f>
        <v>0</v>
      </c>
      <c r="F21" s="6">
        <f>F20/365</f>
        <v>0</v>
      </c>
      <c r="G21" s="6">
        <f>G20/92</f>
        <v>0</v>
      </c>
    </row>
    <row r="22" spans="1:8" ht="6.6" customHeight="1" x14ac:dyDescent="0.3"/>
    <row r="23" spans="1:8" x14ac:dyDescent="0.3">
      <c r="A23" s="8" t="s">
        <v>12</v>
      </c>
      <c r="B23" s="17">
        <f t="shared" ref="B23:G23" si="2">B16/B21</f>
        <v>64.491951845279658</v>
      </c>
      <c r="C23" s="17">
        <f t="shared" si="2"/>
        <v>34.51694705084217</v>
      </c>
      <c r="D23" s="17">
        <f t="shared" si="2"/>
        <v>35.25134748657949</v>
      </c>
      <c r="E23" s="17" t="e">
        <f t="shared" si="2"/>
        <v>#DIV/0!</v>
      </c>
      <c r="F23" s="17" t="e">
        <f t="shared" si="2"/>
        <v>#DIV/0!</v>
      </c>
      <c r="G23" s="17" t="e">
        <f t="shared" si="2"/>
        <v>#DIV/0!</v>
      </c>
    </row>
    <row r="26" spans="1:8" ht="18" x14ac:dyDescent="0.35">
      <c r="A26" s="20" t="s">
        <v>13</v>
      </c>
      <c r="B26" s="19"/>
      <c r="C26" s="19"/>
      <c r="D26" s="19"/>
      <c r="E26" s="19"/>
      <c r="F26" s="19"/>
      <c r="G26" s="19"/>
      <c r="H26" s="19"/>
    </row>
    <row r="27" spans="1:8" x14ac:dyDescent="0.3">
      <c r="B27" s="4"/>
      <c r="D27" s="4" t="s">
        <v>3</v>
      </c>
    </row>
    <row r="28" spans="1:8" x14ac:dyDescent="0.3">
      <c r="B28" s="43" t="s">
        <v>203</v>
      </c>
      <c r="C28" s="40" t="s">
        <v>208</v>
      </c>
      <c r="D28" s="5" t="s">
        <v>91</v>
      </c>
      <c r="E28" s="5" t="s">
        <v>204</v>
      </c>
      <c r="F28" s="5" t="s">
        <v>205</v>
      </c>
      <c r="G28" s="5" t="s">
        <v>206</v>
      </c>
      <c r="H28" s="5" t="s">
        <v>207</v>
      </c>
    </row>
    <row r="29" spans="1:8" x14ac:dyDescent="0.3">
      <c r="A29" s="9" t="s">
        <v>142</v>
      </c>
      <c r="B29" s="42">
        <v>2938791.58</v>
      </c>
      <c r="C29" s="33">
        <v>2198715</v>
      </c>
      <c r="D29" s="41">
        <v>495474.75</v>
      </c>
      <c r="E29" s="32">
        <v>1077440.04</v>
      </c>
      <c r="F29" s="32"/>
      <c r="G29" s="32"/>
      <c r="H29" s="32"/>
    </row>
    <row r="30" spans="1:8" x14ac:dyDescent="0.3">
      <c r="A30" s="9" t="s">
        <v>143</v>
      </c>
      <c r="B30" s="94">
        <v>108342</v>
      </c>
      <c r="C30" s="33">
        <v>8342</v>
      </c>
      <c r="D30" s="32">
        <v>0</v>
      </c>
      <c r="E30" s="32">
        <v>0</v>
      </c>
      <c r="F30" s="32"/>
      <c r="G30" s="32"/>
      <c r="H30" s="32"/>
    </row>
    <row r="31" spans="1:8" x14ac:dyDescent="0.3">
      <c r="A31" s="7" t="s">
        <v>141</v>
      </c>
      <c r="B31" s="39">
        <f>B29-B30</f>
        <v>2830449.58</v>
      </c>
      <c r="C31" s="6">
        <f t="shared" ref="C31:H31" si="3">C29-C30</f>
        <v>2190373</v>
      </c>
      <c r="D31" s="6">
        <f t="shared" si="3"/>
        <v>495474.75</v>
      </c>
      <c r="E31" s="6">
        <f t="shared" si="3"/>
        <v>1077440.04</v>
      </c>
      <c r="F31" s="6">
        <f t="shared" si="3"/>
        <v>0</v>
      </c>
      <c r="G31" s="6">
        <f t="shared" si="3"/>
        <v>0</v>
      </c>
      <c r="H31" s="6">
        <f t="shared" si="3"/>
        <v>0</v>
      </c>
    </row>
    <row r="32" spans="1:8" x14ac:dyDescent="0.3">
      <c r="A32" t="s">
        <v>7</v>
      </c>
      <c r="B32" s="15">
        <f>B17</f>
        <v>2633743.75</v>
      </c>
      <c r="C32" s="33">
        <v>2381524</v>
      </c>
      <c r="D32" s="6">
        <f t="shared" ref="D32:H34" si="4">C17</f>
        <v>612482.4</v>
      </c>
      <c r="E32" s="6">
        <f t="shared" si="4"/>
        <v>1187258.04</v>
      </c>
      <c r="F32" s="6">
        <f t="shared" si="4"/>
        <v>0</v>
      </c>
      <c r="G32" s="6">
        <f t="shared" si="4"/>
        <v>0</v>
      </c>
      <c r="H32" s="6">
        <f t="shared" si="4"/>
        <v>0</v>
      </c>
    </row>
    <row r="33" spans="1:8" x14ac:dyDescent="0.3">
      <c r="A33" t="s">
        <v>8</v>
      </c>
      <c r="B33" s="15">
        <f>B18</f>
        <v>129794</v>
      </c>
      <c r="C33" s="33">
        <v>128000</v>
      </c>
      <c r="D33" s="6">
        <f t="shared" si="4"/>
        <v>27000</v>
      </c>
      <c r="E33" s="6">
        <f t="shared" si="4"/>
        <v>54000</v>
      </c>
      <c r="F33" s="6">
        <f t="shared" si="4"/>
        <v>0</v>
      </c>
      <c r="G33" s="6">
        <f t="shared" si="4"/>
        <v>0</v>
      </c>
      <c r="H33" s="6">
        <f t="shared" si="4"/>
        <v>0</v>
      </c>
    </row>
    <row r="34" spans="1:8" x14ac:dyDescent="0.3">
      <c r="A34" t="s">
        <v>9</v>
      </c>
      <c r="B34" s="15">
        <f>B19</f>
        <v>0</v>
      </c>
      <c r="C34" s="33">
        <v>16010</v>
      </c>
      <c r="D34" s="6">
        <f t="shared" si="4"/>
        <v>0</v>
      </c>
      <c r="E34" s="6">
        <f t="shared" si="4"/>
        <v>0</v>
      </c>
      <c r="F34" s="6">
        <f t="shared" si="4"/>
        <v>0</v>
      </c>
      <c r="G34" s="6">
        <f t="shared" si="4"/>
        <v>0</v>
      </c>
      <c r="H34" s="6">
        <f t="shared" si="4"/>
        <v>0</v>
      </c>
    </row>
    <row r="35" spans="1:8" x14ac:dyDescent="0.3">
      <c r="A35" s="7" t="s">
        <v>10</v>
      </c>
      <c r="B35" s="39">
        <f>B32-(B33+B34)</f>
        <v>2503949.75</v>
      </c>
      <c r="C35" s="6">
        <f>C32-(C33+C34)</f>
        <v>2237514</v>
      </c>
      <c r="D35" s="6">
        <f>D32-(D33+D34)</f>
        <v>585482.4</v>
      </c>
      <c r="E35" s="6">
        <f t="shared" ref="E35:G35" si="5">E32-(E33+E34)</f>
        <v>1133258.04</v>
      </c>
      <c r="F35" s="6">
        <f t="shared" si="5"/>
        <v>0</v>
      </c>
      <c r="G35" s="6">
        <f t="shared" si="5"/>
        <v>0</v>
      </c>
      <c r="H35" s="6">
        <f>H32-(H33+H34)</f>
        <v>0</v>
      </c>
    </row>
    <row r="36" spans="1:8" ht="6.9" customHeight="1" x14ac:dyDescent="0.3">
      <c r="B36" s="15"/>
      <c r="C36" s="10"/>
      <c r="D36" s="6"/>
      <c r="E36" s="6"/>
      <c r="F36" s="6"/>
      <c r="G36" s="6"/>
      <c r="H36" s="6"/>
    </row>
    <row r="37" spans="1:8" x14ac:dyDescent="0.3">
      <c r="A37" s="8" t="s">
        <v>13</v>
      </c>
      <c r="B37" s="92">
        <f>B31-B35</f>
        <v>326499.83000000007</v>
      </c>
      <c r="C37" s="12">
        <f t="shared" ref="C37:H37" si="6">C31-C35</f>
        <v>-47141</v>
      </c>
      <c r="D37" s="12">
        <f t="shared" si="6"/>
        <v>-90007.650000000023</v>
      </c>
      <c r="E37" s="12">
        <f t="shared" si="6"/>
        <v>-55818</v>
      </c>
      <c r="F37" s="12">
        <f t="shared" si="6"/>
        <v>0</v>
      </c>
      <c r="G37" s="12">
        <f t="shared" si="6"/>
        <v>0</v>
      </c>
      <c r="H37" s="12">
        <f t="shared" si="6"/>
        <v>0</v>
      </c>
    </row>
    <row r="38" spans="1:8" x14ac:dyDescent="0.3">
      <c r="A38" s="8" t="s">
        <v>144</v>
      </c>
      <c r="B38" s="16">
        <f>B37/B31</f>
        <v>0.11535263949128537</v>
      </c>
      <c r="C38" s="16">
        <f t="shared" ref="C38:H38" si="7">C37/C31</f>
        <v>-2.1521905173228488E-2</v>
      </c>
      <c r="D38" s="16">
        <f t="shared" si="7"/>
        <v>-0.18165940847641585</v>
      </c>
      <c r="E38" s="16">
        <f t="shared" si="7"/>
        <v>-5.180613113282851E-2</v>
      </c>
      <c r="F38" s="16" t="e">
        <f t="shared" si="7"/>
        <v>#DIV/0!</v>
      </c>
      <c r="G38" s="16" t="e">
        <f t="shared" si="7"/>
        <v>#DIV/0!</v>
      </c>
      <c r="H38" s="16" t="e">
        <f t="shared" si="7"/>
        <v>#DIV/0!</v>
      </c>
    </row>
    <row r="39" spans="1:8" ht="6.75" customHeight="1" x14ac:dyDescent="0.3"/>
    <row r="40" spans="1:8" x14ac:dyDescent="0.3">
      <c r="A40" t="s">
        <v>209</v>
      </c>
      <c r="B40" s="38">
        <f>279845-8342+16010</f>
        <v>287513</v>
      </c>
    </row>
    <row r="41" spans="1:8" x14ac:dyDescent="0.3">
      <c r="A41" t="s">
        <v>210</v>
      </c>
      <c r="B41" s="38">
        <f>2581422-8342</f>
        <v>2573080</v>
      </c>
    </row>
    <row r="42" spans="1:8" x14ac:dyDescent="0.3">
      <c r="A42" s="8" t="s">
        <v>145</v>
      </c>
      <c r="B42" s="93"/>
      <c r="C42" s="16">
        <f>(C37+B37+B40)/(C31+B31+B41)</f>
        <v>7.4648288416678643E-2</v>
      </c>
      <c r="D42" s="16">
        <f>(D37+B37+B40)/(D31+B31+B41)</f>
        <v>8.8829427931611651E-2</v>
      </c>
      <c r="E42" s="16">
        <f>(E37+B37+B40)/(E31+B31+B41)</f>
        <v>8.6128289859195489E-2</v>
      </c>
      <c r="F42" s="16">
        <f>(F37+B37+B40)/(F31+B31+B41)</f>
        <v>0.11363180693460738</v>
      </c>
      <c r="G42" s="16">
        <f>(G37+B37+B40)/(G31+B31+B41)</f>
        <v>0.11363180693460738</v>
      </c>
      <c r="H42" s="16">
        <f>(H37+B37+B40)/(H31+B31+B41)</f>
        <v>0.11363180693460738</v>
      </c>
    </row>
    <row r="43" spans="1:8" x14ac:dyDescent="0.3">
      <c r="A43" s="8"/>
      <c r="C43" s="16"/>
      <c r="D43" s="8"/>
      <c r="E43" s="8"/>
      <c r="F43" s="8"/>
      <c r="G43" s="8"/>
      <c r="H43" s="16"/>
    </row>
    <row r="45" spans="1:8" ht="18" x14ac:dyDescent="0.35">
      <c r="A45" s="20" t="s">
        <v>23</v>
      </c>
      <c r="B45" s="19"/>
      <c r="C45" s="19"/>
      <c r="D45" s="19"/>
      <c r="E45" s="19"/>
      <c r="F45" s="19"/>
      <c r="G45" s="19"/>
      <c r="H45" s="19"/>
    </row>
    <row r="46" spans="1:8" x14ac:dyDescent="0.3">
      <c r="A46" s="77" t="s">
        <v>84</v>
      </c>
      <c r="C46" s="4" t="s">
        <v>29</v>
      </c>
    </row>
    <row r="47" spans="1:8" x14ac:dyDescent="0.3">
      <c r="A47" s="8" t="s">
        <v>94</v>
      </c>
      <c r="B47" s="34">
        <v>152.33320000000001</v>
      </c>
      <c r="D47" s="5" t="s">
        <v>28</v>
      </c>
      <c r="E47" s="5" t="s">
        <v>27</v>
      </c>
      <c r="F47" s="5" t="s">
        <v>24</v>
      </c>
      <c r="G47" s="5" t="s">
        <v>25</v>
      </c>
      <c r="H47" s="5" t="s">
        <v>80</v>
      </c>
    </row>
    <row r="48" spans="1:8" x14ac:dyDescent="0.3">
      <c r="A48" s="8" t="s">
        <v>211</v>
      </c>
      <c r="B48" s="34">
        <v>145.0993</v>
      </c>
      <c r="C48" s="9" t="s">
        <v>219</v>
      </c>
      <c r="D48" s="18">
        <f>(B47-B52)/B52</f>
        <v>-9.6790183187712833E-2</v>
      </c>
      <c r="E48" s="18">
        <f>(B48-B52)/B52</f>
        <v>-0.13968122397093283</v>
      </c>
      <c r="F48" s="18">
        <f>(B49-B52)/B52</f>
        <v>-0.14309168397985028</v>
      </c>
      <c r="G48" s="18">
        <f>(B50-B52)/B52</f>
        <v>-0.14309168397985028</v>
      </c>
      <c r="H48" s="18">
        <f>(B51-B52)/B52</f>
        <v>-1</v>
      </c>
    </row>
    <row r="49" spans="1:8" x14ac:dyDescent="0.3">
      <c r="A49" s="8" t="s">
        <v>212</v>
      </c>
      <c r="B49" s="34">
        <v>144.5241</v>
      </c>
      <c r="C49" s="9" t="s">
        <v>92</v>
      </c>
      <c r="D49" s="18">
        <f>(B52-B53)/B53</f>
        <v>8.1274313952265795E-2</v>
      </c>
      <c r="E49" s="18">
        <f>D49</f>
        <v>8.1274313952265795E-2</v>
      </c>
      <c r="F49" s="18">
        <f>D49</f>
        <v>8.1274313952265795E-2</v>
      </c>
      <c r="G49" s="18">
        <f>D49</f>
        <v>8.1274313952265795E-2</v>
      </c>
      <c r="H49" s="18">
        <f>D49</f>
        <v>8.1274313952265795E-2</v>
      </c>
    </row>
    <row r="50" spans="1:8" x14ac:dyDescent="0.3">
      <c r="A50" s="8" t="s">
        <v>213</v>
      </c>
      <c r="B50" s="34">
        <v>144.5241</v>
      </c>
      <c r="C50" s="9" t="s">
        <v>83</v>
      </c>
      <c r="D50" s="18">
        <f>(B53-B54)/B54</f>
        <v>2.6848889415544343E-2</v>
      </c>
      <c r="E50" s="18">
        <f>D50</f>
        <v>2.6848889415544343E-2</v>
      </c>
      <c r="F50" s="18">
        <f>D50</f>
        <v>2.6848889415544343E-2</v>
      </c>
      <c r="G50" s="18">
        <f>D50</f>
        <v>2.6848889415544343E-2</v>
      </c>
      <c r="H50" s="18">
        <f>D50</f>
        <v>2.6848889415544343E-2</v>
      </c>
    </row>
    <row r="51" spans="1:8" x14ac:dyDescent="0.3">
      <c r="A51" s="8" t="s">
        <v>214</v>
      </c>
      <c r="B51" s="34"/>
      <c r="C51" s="8" t="s">
        <v>26</v>
      </c>
      <c r="D51" s="16">
        <f>(D48+D49+D50)/3</f>
        <v>3.777673393365768E-3</v>
      </c>
      <c r="E51" s="16">
        <f>(E48+E49+E50)/3</f>
        <v>-1.0519340201040896E-2</v>
      </c>
      <c r="F51" s="16">
        <f>(F48+F49+F50)/3</f>
        <v>-1.1656160204013381E-2</v>
      </c>
      <c r="G51" s="16">
        <f>(G48+G49+G50)/3</f>
        <v>-1.1656160204013381E-2</v>
      </c>
      <c r="H51" s="16">
        <f>(H48+H49+H50)/3</f>
        <v>-0.29729226554406329</v>
      </c>
    </row>
    <row r="52" spans="1:8" x14ac:dyDescent="0.3">
      <c r="A52" s="8" t="s">
        <v>215</v>
      </c>
      <c r="B52" s="34">
        <v>168.6576</v>
      </c>
      <c r="C52" s="8" t="s">
        <v>138</v>
      </c>
      <c r="D52" s="16">
        <f>(B47-B53)/B53</f>
        <v>-2.338242497134254E-2</v>
      </c>
      <c r="E52" s="16">
        <f>(B48-B53)/B53</f>
        <v>-6.9759405668917404E-2</v>
      </c>
      <c r="F52" s="16">
        <f>(B49-B53)/B53</f>
        <v>-7.3447048475321255E-2</v>
      </c>
      <c r="G52" s="16">
        <f>(B50-B53)/B53</f>
        <v>-7.3447048475321255E-2</v>
      </c>
      <c r="H52" s="16">
        <f>(B51-B53)/B53</f>
        <v>-1</v>
      </c>
    </row>
    <row r="53" spans="1:8" x14ac:dyDescent="0.3">
      <c r="A53" s="8" t="s">
        <v>216</v>
      </c>
      <c r="B53" s="34">
        <v>155.9804</v>
      </c>
    </row>
    <row r="54" spans="1:8" x14ac:dyDescent="0.3">
      <c r="A54" s="8" t="s">
        <v>217</v>
      </c>
      <c r="B54" s="34">
        <v>151.90199999999999</v>
      </c>
      <c r="C54" s="45" t="s">
        <v>85</v>
      </c>
      <c r="D54" s="36">
        <v>45580</v>
      </c>
      <c r="E54" s="36">
        <v>45672</v>
      </c>
      <c r="F54" s="36">
        <v>45762</v>
      </c>
      <c r="G54" s="36">
        <v>45853</v>
      </c>
      <c r="H54" s="36"/>
    </row>
    <row r="55" spans="1:8" x14ac:dyDescent="0.3">
      <c r="A55" s="7"/>
      <c r="B55" s="10"/>
      <c r="C55" s="12"/>
      <c r="D55" s="6"/>
    </row>
    <row r="56" spans="1:8" x14ac:dyDescent="0.3">
      <c r="A56" s="44" t="s">
        <v>218</v>
      </c>
      <c r="B56" s="91">
        <v>-5.7000000000000002E-2</v>
      </c>
    </row>
    <row r="57" spans="1:8" x14ac:dyDescent="0.3">
      <c r="A57" s="44" t="s">
        <v>220</v>
      </c>
      <c r="B57" s="91">
        <f>+(B52-B53)/B53</f>
        <v>8.1274313952265795E-2</v>
      </c>
    </row>
    <row r="60" spans="1:8" ht="18" x14ac:dyDescent="0.35">
      <c r="A60" s="20" t="s">
        <v>22</v>
      </c>
      <c r="B60" s="19"/>
      <c r="C60" s="19"/>
      <c r="D60" s="19"/>
      <c r="E60" s="19"/>
      <c r="F60" s="19"/>
      <c r="G60" s="19"/>
    </row>
    <row r="61" spans="1:8" x14ac:dyDescent="0.3">
      <c r="B61" s="4"/>
      <c r="C61" s="4" t="s">
        <v>93</v>
      </c>
    </row>
    <row r="62" spans="1:8" x14ac:dyDescent="0.3">
      <c r="B62" s="43" t="s">
        <v>203</v>
      </c>
      <c r="C62" s="8" t="s">
        <v>206</v>
      </c>
    </row>
    <row r="63" spans="1:8" x14ac:dyDescent="0.3">
      <c r="A63" t="s">
        <v>14</v>
      </c>
      <c r="B63" s="15">
        <f>B37</f>
        <v>326499.83000000007</v>
      </c>
      <c r="C63" s="6">
        <f>G37</f>
        <v>0</v>
      </c>
    </row>
    <row r="64" spans="1:8" x14ac:dyDescent="0.3">
      <c r="A64" t="s">
        <v>15</v>
      </c>
      <c r="B64" s="38">
        <v>191046.98</v>
      </c>
      <c r="C64" s="32">
        <f>42556+42006+41556+41006</f>
        <v>167124</v>
      </c>
    </row>
    <row r="65" spans="1:3" x14ac:dyDescent="0.3">
      <c r="A65" t="s">
        <v>16</v>
      </c>
      <c r="B65" s="38">
        <v>76889.600000000006</v>
      </c>
      <c r="C65" s="32">
        <f>76890*1.02</f>
        <v>78427.8</v>
      </c>
    </row>
    <row r="66" spans="1:3" x14ac:dyDescent="0.3">
      <c r="A66" s="7" t="s">
        <v>17</v>
      </c>
      <c r="B66" s="39">
        <f>SUM(B63:B65)</f>
        <v>594436.41</v>
      </c>
      <c r="C66" s="6">
        <f t="shared" ref="C66" si="8">SUM(C63:C65)</f>
        <v>245551.8</v>
      </c>
    </row>
    <row r="67" spans="1:3" x14ac:dyDescent="0.3">
      <c r="A67" t="s">
        <v>18</v>
      </c>
      <c r="B67" s="38">
        <v>145000</v>
      </c>
      <c r="C67" s="32">
        <v>155000</v>
      </c>
    </row>
    <row r="68" spans="1:3" x14ac:dyDescent="0.3">
      <c r="A68" t="s">
        <v>19</v>
      </c>
      <c r="B68" s="15">
        <f>B64</f>
        <v>191046.98</v>
      </c>
      <c r="C68" s="6">
        <f t="shared" ref="C68:C69" si="9">C64</f>
        <v>167124</v>
      </c>
    </row>
    <row r="69" spans="1:3" x14ac:dyDescent="0.3">
      <c r="A69" t="s">
        <v>16</v>
      </c>
      <c r="B69" s="15">
        <f>B65</f>
        <v>76889.600000000006</v>
      </c>
      <c r="C69" s="6">
        <f t="shared" si="9"/>
        <v>78427.8</v>
      </c>
    </row>
    <row r="70" spans="1:3" x14ac:dyDescent="0.3">
      <c r="A70" s="7" t="s">
        <v>20</v>
      </c>
      <c r="B70" s="39">
        <f>SUM(B67:B69)</f>
        <v>412936.57999999996</v>
      </c>
      <c r="C70" s="6">
        <f t="shared" ref="C70" si="10">SUM(C67:C69)</f>
        <v>400551.8</v>
      </c>
    </row>
    <row r="71" spans="1:3" ht="6" customHeight="1" x14ac:dyDescent="0.3">
      <c r="C71" s="7"/>
    </row>
    <row r="72" spans="1:3" x14ac:dyDescent="0.3">
      <c r="A72" s="8" t="s">
        <v>21</v>
      </c>
      <c r="B72" s="17">
        <f>B66/B70</f>
        <v>1.43953439533015</v>
      </c>
      <c r="C72" s="17">
        <f>C66/C70</f>
        <v>0.61303381984552308</v>
      </c>
    </row>
  </sheetData>
  <sheetProtection algorithmName="SHA-512" hashValue="det0J2vKLnw9Ifa/ZmRjh2q7L0EctHtRSlMwuvM02FQRLFQCfVOF6IULTs36GnfsfbHvjYbH67XAtQtPc5sSiA==" saltValue="AFHdJwatWDqB8k6KjOq43w==" spinCount="100000" sheet="1" objects="1" scenarios="1"/>
  <hyperlinks>
    <hyperlink ref="C54" r:id="rId1" xr:uid="{00000000-0004-0000-0100-000000000000}"/>
    <hyperlink ref="A26" location="'FY25 Measure Formulas &amp; Ratings'!D4" display="ADJUSTED NET INCOME" xr:uid="{00000000-0004-0000-0100-000001000000}"/>
    <hyperlink ref="A45" location="'FY25 Measure Formulas &amp; Ratings'!D30" display="AVERAGE DAILY MEMBERSHIP" xr:uid="{00000000-0004-0000-0100-000002000000}"/>
    <hyperlink ref="A60" location="'FY25 Measure Formulas &amp; Ratings'!A44" display="LEASE ADJUSTED DEBT SERVICE COVERAGE RATIO" xr:uid="{00000000-0004-0000-0100-000003000000}"/>
    <hyperlink ref="A8" location="'FY25 Measure Formulas &amp; Ratings'!A4" display="UNRESTRICTED DAYS LIQUIDITY" xr:uid="{00000000-0004-0000-0100-000004000000}"/>
  </hyperlinks>
  <pageMargins left="0.7" right="0.7" top="0.75" bottom="0.75" header="0.3" footer="0.3"/>
  <pageSetup scale="77" fitToHeight="0" orientation="landscape" horizontalDpi="1200" verticalDpi="1200"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36"/>
  <sheetViews>
    <sheetView showGridLines="0" topLeftCell="A13" zoomScaleNormal="100" workbookViewId="0">
      <selection activeCell="C4" sqref="C4"/>
    </sheetView>
  </sheetViews>
  <sheetFormatPr defaultRowHeight="14.4" x14ac:dyDescent="0.3"/>
  <cols>
    <col min="1" max="1" width="35.88671875" customWidth="1"/>
    <col min="2" max="6" width="30.5546875" customWidth="1"/>
  </cols>
  <sheetData>
    <row r="1" spans="1:8" ht="15.6" x14ac:dyDescent="0.3">
      <c r="A1" s="1" t="s">
        <v>95</v>
      </c>
    </row>
    <row r="2" spans="1:8" ht="6.9" customHeight="1" x14ac:dyDescent="0.3">
      <c r="A2" s="1"/>
    </row>
    <row r="3" spans="1:8" ht="18" x14ac:dyDescent="0.35">
      <c r="A3" s="2" t="s">
        <v>0</v>
      </c>
      <c r="B3" s="29" t="str">
        <f>'Calculations-Data Entry'!B3</f>
        <v>The Edge School, Inc.</v>
      </c>
      <c r="H3" s="13"/>
    </row>
    <row r="4" spans="1:8" ht="18" x14ac:dyDescent="0.35">
      <c r="A4" s="3" t="s">
        <v>1</v>
      </c>
      <c r="B4" s="29" t="str">
        <f>'Calculations-Data Entry'!B4</f>
        <v>10-86-53-000</v>
      </c>
    </row>
    <row r="5" spans="1:8" ht="18" x14ac:dyDescent="0.35">
      <c r="A5" s="3" t="s">
        <v>2</v>
      </c>
      <c r="B5" s="29">
        <f>'Calculations-Data Entry'!B5</f>
        <v>4421</v>
      </c>
    </row>
    <row r="8" spans="1:8" ht="18" x14ac:dyDescent="0.35">
      <c r="A8" s="20" t="s">
        <v>42</v>
      </c>
      <c r="B8" s="19"/>
      <c r="C8" s="19"/>
      <c r="D8" s="19"/>
      <c r="E8" s="19"/>
      <c r="F8" s="19"/>
    </row>
    <row r="9" spans="1:8" s="23" customFormat="1" x14ac:dyDescent="0.3">
      <c r="A9" s="44" t="s">
        <v>201</v>
      </c>
      <c r="B9" s="35" t="s">
        <v>78</v>
      </c>
    </row>
    <row r="10" spans="1:8" s="23" customFormat="1" ht="9" customHeight="1" x14ac:dyDescent="0.3">
      <c r="A10" s="22"/>
    </row>
    <row r="11" spans="1:8" x14ac:dyDescent="0.3">
      <c r="B11" s="5" t="s">
        <v>96</v>
      </c>
      <c r="C11" s="5" t="s">
        <v>197</v>
      </c>
      <c r="D11" s="5" t="s">
        <v>198</v>
      </c>
      <c r="E11" s="5" t="s">
        <v>199</v>
      </c>
      <c r="F11" s="5" t="s">
        <v>200</v>
      </c>
    </row>
    <row r="12" spans="1:8" x14ac:dyDescent="0.3">
      <c r="A12" s="11" t="s">
        <v>48</v>
      </c>
      <c r="B12" s="35" t="s">
        <v>78</v>
      </c>
      <c r="C12" s="35" t="s">
        <v>78</v>
      </c>
      <c r="D12" s="35" t="s">
        <v>78</v>
      </c>
      <c r="E12" s="35" t="s">
        <v>78</v>
      </c>
      <c r="F12" s="35"/>
    </row>
    <row r="13" spans="1:8" ht="189.9" customHeight="1" x14ac:dyDescent="0.3">
      <c r="A13" s="11" t="s">
        <v>49</v>
      </c>
      <c r="B13" s="37" t="s">
        <v>229</v>
      </c>
      <c r="C13" s="37" t="s">
        <v>229</v>
      </c>
      <c r="D13" s="37"/>
      <c r="E13" s="37"/>
      <c r="F13" s="37"/>
    </row>
    <row r="14" spans="1:8" x14ac:dyDescent="0.3">
      <c r="A14" s="7"/>
      <c r="C14" s="21"/>
    </row>
    <row r="16" spans="1:8" ht="18" x14ac:dyDescent="0.35">
      <c r="A16" s="20" t="s">
        <v>50</v>
      </c>
      <c r="B16" s="19"/>
      <c r="C16" s="19"/>
      <c r="D16" s="19"/>
      <c r="E16" s="19"/>
      <c r="F16" s="19"/>
    </row>
    <row r="17" spans="1:5" x14ac:dyDescent="0.3">
      <c r="A17" s="44" t="s">
        <v>201</v>
      </c>
      <c r="B17" s="35" t="s">
        <v>78</v>
      </c>
    </row>
    <row r="18" spans="1:5" ht="9" customHeight="1" x14ac:dyDescent="0.3">
      <c r="A18" s="22"/>
      <c r="B18" s="23"/>
      <c r="C18" s="23"/>
      <c r="D18" s="23"/>
      <c r="E18" s="23"/>
    </row>
    <row r="19" spans="1:5" x14ac:dyDescent="0.3">
      <c r="A19" s="11" t="s">
        <v>202</v>
      </c>
      <c r="B19" s="35" t="s">
        <v>78</v>
      </c>
    </row>
    <row r="20" spans="1:5" ht="189.9" customHeight="1" x14ac:dyDescent="0.3">
      <c r="A20" s="11" t="s">
        <v>49</v>
      </c>
      <c r="B20" s="37" t="s">
        <v>230</v>
      </c>
    </row>
    <row r="129" spans="1:1" x14ac:dyDescent="0.3">
      <c r="A129" t="s">
        <v>78</v>
      </c>
    </row>
    <row r="130" spans="1:1" x14ac:dyDescent="0.3">
      <c r="A130" t="s">
        <v>99</v>
      </c>
    </row>
    <row r="131" spans="1:1" x14ac:dyDescent="0.3">
      <c r="A131" t="s">
        <v>79</v>
      </c>
    </row>
    <row r="135" spans="1:1" x14ac:dyDescent="0.3">
      <c r="A135" t="s">
        <v>78</v>
      </c>
    </row>
    <row r="136" spans="1:1" x14ac:dyDescent="0.3">
      <c r="A136" t="s">
        <v>79</v>
      </c>
    </row>
  </sheetData>
  <sheetProtection algorithmName="SHA-512" hashValue="x7YPW6huEiQbqsR9rEQWwse73K6nqaxAjZrgmfULb9BWm7FakiIOd/f2X8HZXQcHi2LG9PGZUKqQTPSHtg/vuA==" saltValue="w66Vc8L5pcisbpB0yfuZyQ==" spinCount="100000" sheet="1" objects="1" scenarios="1"/>
  <dataValidations count="2">
    <dataValidation type="list" showInputMessage="1" showErrorMessage="1" prompt="Select rating from dropdown" sqref="B12:F12 B9" xr:uid="{00000000-0002-0000-0200-000000000000}">
      <formula1>$A$129:$A$131</formula1>
    </dataValidation>
    <dataValidation type="list" showInputMessage="1" showErrorMessage="1" prompt="Select rating from dropdown" sqref="B17 B19" xr:uid="{00000000-0002-0000-0200-000001000000}">
      <formula1>$A$135:$A$136</formula1>
    </dataValidation>
  </dataValidations>
  <hyperlinks>
    <hyperlink ref="A8" location="'FY25 Measure Formulas &amp; Ratings'!A57" display="DEFAULT" xr:uid="{00000000-0004-0000-0200-000000000000}"/>
    <hyperlink ref="A16" location="'FY25 Measure Formulas &amp; Ratings'!D57" display="GOING CONCERN" xr:uid="{00000000-0004-0000-0200-000001000000}"/>
  </hyperlinks>
  <pageMargins left="0.7" right="0.7" top="0.75" bottom="0.75" header="0.3" footer="0.3"/>
  <pageSetup scale="78" fitToHeight="0" orientation="landscape"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
  <sheetViews>
    <sheetView showGridLines="0" tabSelected="1" workbookViewId="0">
      <selection activeCell="D21" sqref="D21"/>
    </sheetView>
  </sheetViews>
  <sheetFormatPr defaultRowHeight="14.4" x14ac:dyDescent="0.3"/>
  <cols>
    <col min="1" max="1" width="42.44140625" customWidth="1"/>
    <col min="2" max="7" width="20" customWidth="1"/>
  </cols>
  <sheetData>
    <row r="1" spans="1:8" ht="15.6" x14ac:dyDescent="0.3">
      <c r="A1" s="1" t="s">
        <v>222</v>
      </c>
    </row>
    <row r="2" spans="1:8" ht="6.9" customHeight="1" x14ac:dyDescent="0.3">
      <c r="A2" s="1"/>
    </row>
    <row r="3" spans="1:8" ht="18" x14ac:dyDescent="0.35">
      <c r="A3" s="2" t="s">
        <v>0</v>
      </c>
      <c r="B3" s="29" t="str">
        <f>'Calculations-Data Entry'!B3</f>
        <v>The Edge School, Inc.</v>
      </c>
      <c r="H3" s="13"/>
    </row>
    <row r="4" spans="1:8" ht="18" x14ac:dyDescent="0.35">
      <c r="A4" s="3" t="s">
        <v>1</v>
      </c>
      <c r="B4" s="29" t="str">
        <f>'Calculations-Data Entry'!B4</f>
        <v>10-86-53-000</v>
      </c>
    </row>
    <row r="5" spans="1:8" ht="18" x14ac:dyDescent="0.35">
      <c r="A5" s="3" t="s">
        <v>2</v>
      </c>
      <c r="B5" s="29">
        <f>'Calculations-Data Entry'!B5</f>
        <v>4421</v>
      </c>
    </row>
    <row r="8" spans="1:8" x14ac:dyDescent="0.3">
      <c r="B8" s="85" t="s">
        <v>221</v>
      </c>
      <c r="C8" s="85" t="s">
        <v>97</v>
      </c>
      <c r="D8" s="85" t="s">
        <v>223</v>
      </c>
      <c r="E8" s="85" t="s">
        <v>224</v>
      </c>
      <c r="F8" s="85" t="s">
        <v>225</v>
      </c>
      <c r="G8" s="85" t="s">
        <v>226</v>
      </c>
    </row>
    <row r="9" spans="1:8" x14ac:dyDescent="0.3">
      <c r="A9" t="s">
        <v>12</v>
      </c>
      <c r="B9" s="81">
        <f>'Calculations-Data Entry'!B23</f>
        <v>64.491951845279658</v>
      </c>
      <c r="C9" s="81">
        <f>'Calculations-Data Entry'!C23</f>
        <v>34.51694705084217</v>
      </c>
      <c r="D9" s="81">
        <f>'Calculations-Data Entry'!D23</f>
        <v>35.25134748657949</v>
      </c>
      <c r="E9" s="81" t="e">
        <f>'Calculations-Data Entry'!E23</f>
        <v>#DIV/0!</v>
      </c>
      <c r="F9" s="81" t="e">
        <f>'Calculations-Data Entry'!F23</f>
        <v>#DIV/0!</v>
      </c>
      <c r="G9" s="81" t="e">
        <f>'Calculations-Data Entry'!G23</f>
        <v>#DIV/0!</v>
      </c>
    </row>
    <row r="10" spans="1:8" x14ac:dyDescent="0.3">
      <c r="A10" t="s">
        <v>146</v>
      </c>
      <c r="B10" s="82">
        <f>'Calculations-Data Entry'!B38</f>
        <v>0.11535263949128537</v>
      </c>
      <c r="C10" s="82">
        <f>'Calculations-Data Entry'!D38</f>
        <v>-0.18165940847641585</v>
      </c>
      <c r="D10" s="82">
        <f>'Calculations-Data Entry'!E38</f>
        <v>-5.180613113282851E-2</v>
      </c>
      <c r="E10" s="82" t="e">
        <f>'Calculations-Data Entry'!F38</f>
        <v>#DIV/0!</v>
      </c>
      <c r="F10" s="82" t="e">
        <f>'Calculations-Data Entry'!G38</f>
        <v>#DIV/0!</v>
      </c>
      <c r="G10" s="82" t="e">
        <f>'Calculations-Data Entry'!H38</f>
        <v>#DIV/0!</v>
      </c>
    </row>
    <row r="11" spans="1:8" x14ac:dyDescent="0.3">
      <c r="A11" t="s">
        <v>147</v>
      </c>
      <c r="B11" s="82">
        <f>'Calculations-Data Entry'!B42</f>
        <v>0</v>
      </c>
      <c r="C11" s="82">
        <f>'Calculations-Data Entry'!D42</f>
        <v>8.8829427931611651E-2</v>
      </c>
      <c r="D11" s="82">
        <f>'Calculations-Data Entry'!E42</f>
        <v>8.6128289859195489E-2</v>
      </c>
      <c r="E11" s="82">
        <f>'Calculations-Data Entry'!F42</f>
        <v>0.11363180693460738</v>
      </c>
      <c r="F11" s="82">
        <f>'Calculations-Data Entry'!G42</f>
        <v>0.11363180693460738</v>
      </c>
      <c r="G11" s="82">
        <f>'Calculations-Data Entry'!H42</f>
        <v>0.11363180693460738</v>
      </c>
    </row>
    <row r="12" spans="1:8" x14ac:dyDescent="0.3">
      <c r="A12" t="s">
        <v>139</v>
      </c>
      <c r="B12" s="82">
        <f>'Calculations-Data Entry'!B56</f>
        <v>-5.7000000000000002E-2</v>
      </c>
      <c r="C12" s="78">
        <f>'Calculations-Data Entry'!D51</f>
        <v>3.777673393365768E-3</v>
      </c>
      <c r="D12" s="78">
        <f>'Calculations-Data Entry'!E51</f>
        <v>-1.0519340201040896E-2</v>
      </c>
      <c r="E12" s="78">
        <f>'Calculations-Data Entry'!F51</f>
        <v>-1.1656160204013381E-2</v>
      </c>
      <c r="F12" s="78">
        <f>'Calculations-Data Entry'!G51</f>
        <v>-1.1656160204013381E-2</v>
      </c>
      <c r="G12" s="78">
        <f>'Calculations-Data Entry'!H51</f>
        <v>-0.29729226554406329</v>
      </c>
    </row>
    <row r="13" spans="1:8" x14ac:dyDescent="0.3">
      <c r="A13" t="s">
        <v>140</v>
      </c>
      <c r="B13" s="82">
        <f>'Calculations-Data Entry'!B57</f>
        <v>8.1274313952265795E-2</v>
      </c>
      <c r="C13" s="78">
        <f>'Calculations-Data Entry'!D52</f>
        <v>-2.338242497134254E-2</v>
      </c>
      <c r="D13" s="78">
        <f>'Calculations-Data Entry'!E52</f>
        <v>-6.9759405668917404E-2</v>
      </c>
      <c r="E13" s="78">
        <f>'Calculations-Data Entry'!F52</f>
        <v>-7.3447048475321255E-2</v>
      </c>
      <c r="F13" s="78">
        <f>'Calculations-Data Entry'!G52</f>
        <v>-7.3447048475321255E-2</v>
      </c>
      <c r="G13" s="78">
        <f>'Calculations-Data Entry'!H52</f>
        <v>-1</v>
      </c>
    </row>
    <row r="14" spans="1:8" x14ac:dyDescent="0.3">
      <c r="A14" t="s">
        <v>42</v>
      </c>
      <c r="B14" s="79" t="str">
        <f>'Default &amp; Going Concern'!B9</f>
        <v>Meets Standard</v>
      </c>
      <c r="C14" s="79" t="str">
        <f>'Default &amp; Going Concern'!B12</f>
        <v>Meets Standard</v>
      </c>
      <c r="D14" s="79" t="str">
        <f>'Default &amp; Going Concern'!C12</f>
        <v>Meets Standard</v>
      </c>
      <c r="E14" s="79" t="str">
        <f>'Default &amp; Going Concern'!D12</f>
        <v>Meets Standard</v>
      </c>
      <c r="F14" s="79" t="str">
        <f>'Default &amp; Going Concern'!E12</f>
        <v>Meets Standard</v>
      </c>
      <c r="G14" s="79">
        <f>'Default &amp; Going Concern'!F12</f>
        <v>0</v>
      </c>
    </row>
    <row r="15" spans="1:8" x14ac:dyDescent="0.3">
      <c r="A15" t="s">
        <v>50</v>
      </c>
      <c r="B15" s="79" t="str">
        <f>'Default &amp; Going Concern'!B17</f>
        <v>Meets Standard</v>
      </c>
      <c r="C15" s="83"/>
      <c r="D15" s="83"/>
      <c r="E15" s="83"/>
      <c r="F15" s="79" t="str">
        <f>'Default &amp; Going Concern'!B19</f>
        <v>Meets Standard</v>
      </c>
      <c r="G15" s="84"/>
    </row>
    <row r="16" spans="1:8" x14ac:dyDescent="0.3">
      <c r="A16" t="s">
        <v>51</v>
      </c>
      <c r="B16" s="80">
        <f>'Calculations-Data Entry'!B72</f>
        <v>1.43953439533015</v>
      </c>
      <c r="C16" s="83"/>
      <c r="D16" s="83"/>
      <c r="E16" s="83"/>
      <c r="F16" s="80">
        <f>'Calculations-Data Entry'!C72</f>
        <v>0.61303381984552308</v>
      </c>
      <c r="G16" s="84"/>
    </row>
  </sheetData>
  <sheetProtection algorithmName="SHA-512" hashValue="SJs3c7M/tftsDl+STjGdH5uVmvmad0qvCE1HdvYzxkOy6QkGskH/7q2RmhKU/LW18O0cNmcIVEUbx/ajYyPkUA==" saltValue="lcOa4UieXrS5Gq3TU7Z/6g==" spinCount="100000" sheet="1" objects="1" scenarios="1"/>
  <pageMargins left="0.7" right="0.7" top="0.75" bottom="0.75" header="0.3" footer="0.3"/>
  <pageSetup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93"/>
  <sheetViews>
    <sheetView showGridLines="0" topLeftCell="A41" workbookViewId="0">
      <selection activeCell="C1" sqref="C1"/>
    </sheetView>
  </sheetViews>
  <sheetFormatPr defaultRowHeight="14.4" x14ac:dyDescent="0.3"/>
  <cols>
    <col min="1" max="1" width="19" customWidth="1"/>
    <col min="2" max="2" width="76.109375" customWidth="1"/>
    <col min="3" max="3" width="10.6640625" customWidth="1"/>
    <col min="4" max="4" width="19.33203125" customWidth="1"/>
    <col min="5" max="5" width="138.44140625" customWidth="1"/>
  </cols>
  <sheetData>
    <row r="1" spans="1:5" ht="21" x14ac:dyDescent="0.4">
      <c r="A1" s="14" t="s">
        <v>186</v>
      </c>
    </row>
    <row r="2" spans="1:5" ht="15.6" x14ac:dyDescent="0.3">
      <c r="A2" s="76" t="s">
        <v>134</v>
      </c>
    </row>
    <row r="3" spans="1:5" ht="6.6" customHeight="1" x14ac:dyDescent="0.3"/>
    <row r="4" spans="1:5" ht="15.6" x14ac:dyDescent="0.3">
      <c r="A4" s="68" t="s">
        <v>38</v>
      </c>
      <c r="B4" s="69"/>
      <c r="D4" s="68" t="s">
        <v>39</v>
      </c>
      <c r="E4" s="69"/>
    </row>
    <row r="5" spans="1:5" x14ac:dyDescent="0.3">
      <c r="A5" s="11" t="s">
        <v>34</v>
      </c>
      <c r="B5" s="54" t="s">
        <v>100</v>
      </c>
      <c r="D5" s="11" t="s">
        <v>34</v>
      </c>
      <c r="E5" s="50" t="s">
        <v>105</v>
      </c>
    </row>
    <row r="6" spans="1:5" ht="28.8" x14ac:dyDescent="0.3">
      <c r="B6" s="53" t="s">
        <v>102</v>
      </c>
      <c r="E6" s="53" t="s">
        <v>115</v>
      </c>
    </row>
    <row r="7" spans="1:5" x14ac:dyDescent="0.3">
      <c r="B7" s="50" t="s">
        <v>31</v>
      </c>
    </row>
    <row r="8" spans="1:5" x14ac:dyDescent="0.3">
      <c r="B8" s="50" t="s">
        <v>32</v>
      </c>
      <c r="D8" s="11" t="s">
        <v>35</v>
      </c>
      <c r="E8" s="50" t="s">
        <v>106</v>
      </c>
    </row>
    <row r="9" spans="1:5" x14ac:dyDescent="0.3">
      <c r="B9" s="50"/>
      <c r="E9" s="50" t="s">
        <v>31</v>
      </c>
    </row>
    <row r="10" spans="1:5" x14ac:dyDescent="0.3">
      <c r="E10" s="50" t="s">
        <v>107</v>
      </c>
    </row>
    <row r="11" spans="1:5" x14ac:dyDescent="0.3">
      <c r="A11" s="11" t="s">
        <v>35</v>
      </c>
      <c r="B11" s="55" t="s">
        <v>101</v>
      </c>
    </row>
    <row r="12" spans="1:5" ht="28.8" x14ac:dyDescent="0.3">
      <c r="B12" s="53" t="s">
        <v>103</v>
      </c>
      <c r="D12" s="56" t="s">
        <v>108</v>
      </c>
      <c r="E12" s="65" t="s">
        <v>120</v>
      </c>
    </row>
    <row r="13" spans="1:5" x14ac:dyDescent="0.3">
      <c r="B13" s="53" t="s">
        <v>31</v>
      </c>
      <c r="E13" s="57" t="s">
        <v>119</v>
      </c>
    </row>
    <row r="14" spans="1:5" x14ac:dyDescent="0.3">
      <c r="B14" s="53" t="s">
        <v>32</v>
      </c>
      <c r="E14" s="57"/>
    </row>
    <row r="15" spans="1:5" x14ac:dyDescent="0.3">
      <c r="E15" s="50"/>
    </row>
    <row r="16" spans="1:5" x14ac:dyDescent="0.3">
      <c r="A16" s="11" t="s">
        <v>33</v>
      </c>
      <c r="B16" s="66" t="s">
        <v>104</v>
      </c>
      <c r="D16" s="11" t="s">
        <v>33</v>
      </c>
      <c r="E16" s="70" t="s">
        <v>78</v>
      </c>
    </row>
    <row r="17" spans="2:5" x14ac:dyDescent="0.3">
      <c r="B17" s="70" t="s">
        <v>78</v>
      </c>
      <c r="E17" t="s">
        <v>114</v>
      </c>
    </row>
    <row r="18" spans="2:5" x14ac:dyDescent="0.3">
      <c r="B18" s="58" t="s">
        <v>110</v>
      </c>
      <c r="E18" s="60" t="s">
        <v>111</v>
      </c>
    </row>
    <row r="19" spans="2:5" x14ac:dyDescent="0.3">
      <c r="B19" s="60" t="s">
        <v>111</v>
      </c>
      <c r="E19" t="s">
        <v>116</v>
      </c>
    </row>
    <row r="20" spans="2:5" x14ac:dyDescent="0.3">
      <c r="B20" t="s">
        <v>122</v>
      </c>
      <c r="E20" s="59" t="s">
        <v>99</v>
      </c>
    </row>
    <row r="21" spans="2:5" x14ac:dyDescent="0.3">
      <c r="B21" s="59" t="s">
        <v>99</v>
      </c>
      <c r="E21" t="s">
        <v>117</v>
      </c>
    </row>
    <row r="22" spans="2:5" x14ac:dyDescent="0.3">
      <c r="B22" t="s">
        <v>121</v>
      </c>
      <c r="E22" s="62" t="s">
        <v>111</v>
      </c>
    </row>
    <row r="23" spans="2:5" x14ac:dyDescent="0.3">
      <c r="B23" s="61" t="s">
        <v>111</v>
      </c>
      <c r="E23" t="s">
        <v>118</v>
      </c>
    </row>
    <row r="24" spans="2:5" x14ac:dyDescent="0.3">
      <c r="B24" s="58" t="s">
        <v>109</v>
      </c>
      <c r="E24" s="52" t="s">
        <v>113</v>
      </c>
    </row>
    <row r="25" spans="2:5" x14ac:dyDescent="0.3">
      <c r="B25" s="52" t="s">
        <v>113</v>
      </c>
      <c r="E25" t="s">
        <v>159</v>
      </c>
    </row>
    <row r="26" spans="2:5" x14ac:dyDescent="0.3">
      <c r="B26" s="58" t="s">
        <v>112</v>
      </c>
      <c r="E26" s="63" t="s">
        <v>111</v>
      </c>
    </row>
    <row r="27" spans="2:5" x14ac:dyDescent="0.3">
      <c r="B27" s="58"/>
      <c r="E27" s="64" t="s">
        <v>160</v>
      </c>
    </row>
    <row r="28" spans="2:5" x14ac:dyDescent="0.3">
      <c r="B28" s="67" t="s">
        <v>187</v>
      </c>
    </row>
    <row r="29" spans="2:5" x14ac:dyDescent="0.3">
      <c r="B29" s="70" t="s">
        <v>78</v>
      </c>
    </row>
    <row r="30" spans="2:5" ht="15.6" x14ac:dyDescent="0.3">
      <c r="B30" s="58" t="s">
        <v>188</v>
      </c>
      <c r="D30" s="68" t="s">
        <v>40</v>
      </c>
      <c r="E30" s="69"/>
    </row>
    <row r="31" spans="2:5" x14ac:dyDescent="0.3">
      <c r="B31" s="60" t="s">
        <v>111</v>
      </c>
      <c r="D31" s="11" t="s">
        <v>34</v>
      </c>
      <c r="E31" t="s">
        <v>123</v>
      </c>
    </row>
    <row r="32" spans="2:5" x14ac:dyDescent="0.3">
      <c r="B32" t="s">
        <v>189</v>
      </c>
      <c r="E32" s="57" t="s">
        <v>192</v>
      </c>
    </row>
    <row r="33" spans="1:5" x14ac:dyDescent="0.3">
      <c r="B33" s="59" t="s">
        <v>99</v>
      </c>
      <c r="E33" s="57" t="s">
        <v>193</v>
      </c>
    </row>
    <row r="34" spans="1:5" x14ac:dyDescent="0.3">
      <c r="B34" t="s">
        <v>190</v>
      </c>
      <c r="E34" s="57" t="s">
        <v>182</v>
      </c>
    </row>
    <row r="35" spans="1:5" x14ac:dyDescent="0.3">
      <c r="B35" s="61" t="s">
        <v>111</v>
      </c>
      <c r="E35" s="57"/>
    </row>
    <row r="36" spans="1:5" x14ac:dyDescent="0.3">
      <c r="B36" s="58" t="s">
        <v>191</v>
      </c>
      <c r="D36" s="11" t="s">
        <v>35</v>
      </c>
      <c r="E36" t="s">
        <v>124</v>
      </c>
    </row>
    <row r="37" spans="1:5" x14ac:dyDescent="0.3">
      <c r="B37" s="52" t="s">
        <v>113</v>
      </c>
      <c r="D37" s="11"/>
      <c r="E37" s="72" t="s">
        <v>194</v>
      </c>
    </row>
    <row r="38" spans="1:5" x14ac:dyDescent="0.3">
      <c r="B38" s="58" t="s">
        <v>112</v>
      </c>
      <c r="E38" s="72" t="s">
        <v>195</v>
      </c>
    </row>
    <row r="39" spans="1:5" ht="13.5" customHeight="1" x14ac:dyDescent="0.3">
      <c r="B39" s="75" t="s">
        <v>185</v>
      </c>
    </row>
    <row r="40" spans="1:5" ht="13.5" customHeight="1" x14ac:dyDescent="0.3">
      <c r="B40" s="75" t="s">
        <v>183</v>
      </c>
      <c r="D40" s="56" t="s">
        <v>108</v>
      </c>
      <c r="E40" s="9" t="s">
        <v>125</v>
      </c>
    </row>
    <row r="41" spans="1:5" ht="11.25" customHeight="1" x14ac:dyDescent="0.3">
      <c r="B41" s="90" t="s">
        <v>184</v>
      </c>
      <c r="E41" s="72" t="s">
        <v>196</v>
      </c>
    </row>
    <row r="43" spans="1:5" x14ac:dyDescent="0.3">
      <c r="D43" s="11" t="s">
        <v>33</v>
      </c>
      <c r="E43" s="70" t="s">
        <v>78</v>
      </c>
    </row>
    <row r="44" spans="1:5" ht="15.6" x14ac:dyDescent="0.3">
      <c r="A44" s="68" t="s">
        <v>41</v>
      </c>
      <c r="B44" s="69"/>
      <c r="E44" t="s">
        <v>126</v>
      </c>
    </row>
    <row r="45" spans="1:5" x14ac:dyDescent="0.3">
      <c r="A45" s="11" t="s">
        <v>30</v>
      </c>
      <c r="B45" s="50" t="s">
        <v>36</v>
      </c>
      <c r="E45" s="60" t="s">
        <v>111</v>
      </c>
    </row>
    <row r="46" spans="1:5" x14ac:dyDescent="0.3">
      <c r="B46" s="50" t="s">
        <v>31</v>
      </c>
      <c r="E46" t="s">
        <v>127</v>
      </c>
    </row>
    <row r="47" spans="1:5" x14ac:dyDescent="0.3">
      <c r="B47" s="50" t="s">
        <v>37</v>
      </c>
      <c r="E47" s="59" t="s">
        <v>99</v>
      </c>
    </row>
    <row r="48" spans="1:5" x14ac:dyDescent="0.3">
      <c r="E48" t="s">
        <v>155</v>
      </c>
    </row>
    <row r="49" spans="1:17" x14ac:dyDescent="0.3">
      <c r="A49" s="11" t="s">
        <v>33</v>
      </c>
      <c r="B49" s="70" t="s">
        <v>78</v>
      </c>
      <c r="E49" s="62" t="s">
        <v>111</v>
      </c>
    </row>
    <row r="50" spans="1:17" x14ac:dyDescent="0.3">
      <c r="B50" s="9" t="s">
        <v>131</v>
      </c>
      <c r="E50" t="s">
        <v>156</v>
      </c>
    </row>
    <row r="51" spans="1:17" x14ac:dyDescent="0.3">
      <c r="B51" s="51" t="s">
        <v>99</v>
      </c>
      <c r="E51" s="52" t="s">
        <v>113</v>
      </c>
    </row>
    <row r="52" spans="1:17" x14ac:dyDescent="0.3">
      <c r="B52" t="s">
        <v>132</v>
      </c>
      <c r="E52" t="s">
        <v>157</v>
      </c>
    </row>
    <row r="53" spans="1:17" x14ac:dyDescent="0.3">
      <c r="B53" s="52" t="s">
        <v>79</v>
      </c>
      <c r="E53" s="63" t="s">
        <v>111</v>
      </c>
    </row>
    <row r="54" spans="1:17" x14ac:dyDescent="0.3">
      <c r="B54" t="s">
        <v>133</v>
      </c>
      <c r="E54" s="64" t="s">
        <v>158</v>
      </c>
    </row>
    <row r="55" spans="1:17" x14ac:dyDescent="0.3">
      <c r="E55" s="47"/>
    </row>
    <row r="56" spans="1:17" x14ac:dyDescent="0.3">
      <c r="E56" s="13"/>
    </row>
    <row r="57" spans="1:17" ht="15.6" x14ac:dyDescent="0.3">
      <c r="A57" s="68" t="s">
        <v>43</v>
      </c>
      <c r="B57" s="69"/>
      <c r="D57" s="68" t="s">
        <v>44</v>
      </c>
      <c r="E57" s="69"/>
    </row>
    <row r="58" spans="1:17" x14ac:dyDescent="0.3">
      <c r="A58" t="s">
        <v>45</v>
      </c>
      <c r="D58" t="s">
        <v>45</v>
      </c>
    </row>
    <row r="60" spans="1:17" x14ac:dyDescent="0.3">
      <c r="A60" s="46" t="s">
        <v>33</v>
      </c>
      <c r="B60" s="70"/>
      <c r="D60" s="46" t="s">
        <v>33</v>
      </c>
      <c r="E60" s="71" t="s">
        <v>78</v>
      </c>
    </row>
    <row r="61" spans="1:17" ht="15.6" x14ac:dyDescent="0.3">
      <c r="A61" s="71" t="s">
        <v>46</v>
      </c>
      <c r="B61" s="71"/>
      <c r="E61" t="s">
        <v>128</v>
      </c>
      <c r="P61" s="26"/>
    </row>
    <row r="62" spans="1:17" ht="15" customHeight="1" x14ac:dyDescent="0.3">
      <c r="A62" s="95" t="s">
        <v>98</v>
      </c>
      <c r="B62" s="95"/>
      <c r="E62" s="73" t="s">
        <v>79</v>
      </c>
      <c r="P62" s="11"/>
      <c r="Q62" s="50"/>
    </row>
    <row r="63" spans="1:17" ht="15" customHeight="1" x14ac:dyDescent="0.3">
      <c r="A63" s="95"/>
      <c r="B63" s="95"/>
      <c r="E63" s="21" t="s">
        <v>129</v>
      </c>
      <c r="Q63" s="50"/>
    </row>
    <row r="64" spans="1:17" x14ac:dyDescent="0.3">
      <c r="A64" s="73" t="s">
        <v>47</v>
      </c>
      <c r="B64" s="73"/>
      <c r="D64" s="48"/>
      <c r="E64" s="62" t="s">
        <v>111</v>
      </c>
      <c r="Q64" s="50"/>
    </row>
    <row r="65" spans="4:17" ht="28.8" x14ac:dyDescent="0.3">
      <c r="D65" s="48"/>
      <c r="E65" s="74" t="s">
        <v>130</v>
      </c>
    </row>
    <row r="66" spans="4:17" x14ac:dyDescent="0.3">
      <c r="P66" s="11"/>
      <c r="Q66" s="70"/>
    </row>
    <row r="67" spans="4:17" x14ac:dyDescent="0.3">
      <c r="Q67" s="51"/>
    </row>
    <row r="68" spans="4:17" ht="15" customHeight="1" x14ac:dyDescent="0.3">
      <c r="Q68" s="52"/>
    </row>
    <row r="71" spans="4:17" ht="15" customHeight="1" x14ac:dyDescent="0.3"/>
    <row r="72" spans="4:17" x14ac:dyDescent="0.3">
      <c r="F72" s="48"/>
    </row>
    <row r="73" spans="4:17" ht="14.4" customHeight="1" x14ac:dyDescent="0.3">
      <c r="E73" s="48"/>
    </row>
    <row r="74" spans="4:17" x14ac:dyDescent="0.3">
      <c r="D74" s="47"/>
      <c r="E74" s="47"/>
    </row>
    <row r="76" spans="4:17" x14ac:dyDescent="0.3">
      <c r="D76" s="71"/>
      <c r="E76" s="71"/>
    </row>
    <row r="77" spans="4:17" x14ac:dyDescent="0.3">
      <c r="D77" s="71"/>
      <c r="E77" s="71"/>
    </row>
    <row r="89" spans="1:2" ht="15" customHeight="1" x14ac:dyDescent="0.3">
      <c r="A89" s="73"/>
      <c r="B89" s="73"/>
    </row>
    <row r="90" spans="1:2" x14ac:dyDescent="0.3">
      <c r="A90" s="49"/>
      <c r="B90" s="49"/>
    </row>
    <row r="93" spans="1:2" ht="15" customHeight="1" x14ac:dyDescent="0.3"/>
  </sheetData>
  <sheetProtection algorithmName="SHA-512" hashValue="Of+ILyOaVH0ZknXxQ1/l6bAQGE8K++ZfNAt5MeD/2U//dlcvegTuBkn1tKO6cvMfFNaMXTHz2EGmnZRPeVs1bg==" saltValue="iLhazrVetQHZ1MLFhyoGyg==" spinCount="100000" sheet="1" objects="1" scenarios="1"/>
  <mergeCells count="1">
    <mergeCell ref="A62:B63"/>
  </mergeCells>
  <pageMargins left="0.7" right="0.7" top="0.75" bottom="0.75" header="0.3" footer="0.3"/>
  <pageSetup paperSize="5" scale="6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Calculations-Data Entry</vt:lpstr>
      <vt:lpstr>Default &amp; Going Concern</vt:lpstr>
      <vt:lpstr>Performance Summary</vt:lpstr>
      <vt:lpstr>FY25 Measure Formulas &amp; Ratings</vt:lpstr>
      <vt:lpstr>'Default &amp; Going Concern'!Print_Area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Leder</dc:creator>
  <cp:lastModifiedBy>Anne Ortiz</cp:lastModifiedBy>
  <cp:lastPrinted>2024-01-10T14:19:43Z</cp:lastPrinted>
  <dcterms:created xsi:type="dcterms:W3CDTF">2020-12-16T15:23:11Z</dcterms:created>
  <dcterms:modified xsi:type="dcterms:W3CDTF">2025-02-16T23:31:45Z</dcterms:modified>
</cp:coreProperties>
</file>