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edgehs-my.sharepoint.com/personal/anneo_edgehighschool_org/Documents/anneo/My Documents/2025/AFR/"/>
    </mc:Choice>
  </mc:AlternateContent>
  <xr:revisionPtr revIDLastSave="1237" documentId="13_ncr:1_{DB63E8E8-B5DE-4B0A-B68D-85014850748E}" xr6:coauthVersionLast="47" xr6:coauthVersionMax="47" xr10:uidLastSave="{BE43121B-68E2-4606-A0E6-1ECADCD6A4F9}"/>
  <workbookProtection workbookAlgorithmName="SHA-512" workbookHashValue="IUsat8xBPbdzfkodKkr5l+2SCFQhGw5qRBG+Xu9ZtAaxG5uVcuuZGb4E9jBi39jZIDZXhwmQkh8eaaITjbq5XA==" workbookSaltValue="P8a/TNN3eH3L3ETFPmT9iw==" workbookSpinCount="100000" lockStructure="1"/>
  <bookViews>
    <workbookView xWindow="-108" yWindow="-108" windowWidth="23256" windowHeight="12456" tabRatio="876" firstSheet="4" activeTab="16" xr2:uid="{CA47FF2C-1399-47FC-8955-3958A5622C6E}"/>
  </bookViews>
  <sheets>
    <sheet name="Cover Page" sheetId="2" r:id="rId1"/>
    <sheet name="Page 1" sheetId="8" r:id="rId2"/>
    <sheet name="Page 2" sheetId="7" r:id="rId3"/>
    <sheet name="Page 3" sheetId="22" r:id="rId4"/>
    <sheet name="Page 4" sheetId="12" r:id="rId5"/>
    <sheet name="Page 5" sheetId="14" r:id="rId6"/>
    <sheet name="Page 6" sheetId="6" r:id="rId7"/>
    <sheet name="Page 7" sheetId="5" r:id="rId8"/>
    <sheet name="Page 8" sheetId="4" r:id="rId9"/>
    <sheet name="Page 9" sheetId="15" r:id="rId10"/>
    <sheet name="Page 10" sheetId="23" r:id="rId11"/>
    <sheet name="Food Service" sheetId="26" r:id="rId12"/>
    <sheet name="Summary" sheetId="24" r:id="rId13"/>
    <sheet name="Reserve balance" sheetId="25" r:id="rId14"/>
    <sheet name="School listing" sheetId="20" r:id="rId15"/>
    <sheet name="Alerts" sheetId="17" r:id="rId16"/>
    <sheet name="Accounting data" sheetId="21" r:id="rId17"/>
    <sheet name="Calculations" sheetId="18" r:id="rId18"/>
    <sheet name="Instructions" sheetId="16" r:id="rId19"/>
  </sheets>
  <externalReferences>
    <externalReference r:id="rId20"/>
    <externalReference r:id="rId21"/>
  </externalReferences>
  <definedNames>
    <definedName name="_xlnm._FilterDatabase" localSheetId="16" hidden="1">'Accounting data'!$A$1:$P$270</definedName>
    <definedName name="_xlnm._FilterDatabase" localSheetId="17" hidden="1">Calculations!$A$1:$E$1534</definedName>
    <definedName name="_xlnm._FilterDatabase" localSheetId="18" hidden="1">Instructions!$A$1:$D$141</definedName>
    <definedName name="_Order1" hidden="1">255</definedName>
    <definedName name="Account">'Accounting data'!$A$1</definedName>
    <definedName name="Accounting_Data_Tab">Instructions!$C$10</definedName>
    <definedName name="ActualTotalFederalAndStateProjects">'Page 8'!$K$42</definedName>
    <definedName name="ActualTotalInstImpExp">'Page 4'!$I$11</definedName>
    <definedName name="AddlInstrImprProjEndBal">'Page 4'!$F$20</definedName>
    <definedName name="AdjustedBeginningProjectBalance">Instructions!$C$127</definedName>
    <definedName name="ALaCarte">Instructions!$C$117</definedName>
    <definedName name="AllDisabilityClassifications">Instructions!$C$44</definedName>
    <definedName name="Allocation_to_Schools_2">"TextBox 1"</definedName>
    <definedName name="ArizonaIndustryCredentialsIncentive">Instructions!$C$24</definedName>
    <definedName name="AuditServices">Instructions!$C$27</definedName>
    <definedName name="AverageTeacherSalary">Instructions!$C$41</definedName>
    <definedName name="BegProjectBalances">Instructions!$C$126</definedName>
    <definedName name="Breakfasts">Instructions!$C$115</definedName>
    <definedName name="CapitalAcquisitions">Instructions!$C$28</definedName>
    <definedName name="CapitalAcquisitionsLine5">Instructions!$C$29</definedName>
    <definedName name="CashandInvestments">Instructions!$C$64</definedName>
    <definedName name="CashBal">'Page 6'!$F$6</definedName>
    <definedName name="CIP1072EndBal">'Page 5'!$P$48</definedName>
    <definedName name="ClssrmSitepg3">Instructions!$C$19</definedName>
    <definedName name="CSPEndBal">'Page 3'!$F$31</definedName>
    <definedName name="CSPlines122615">Instructions!$C$21</definedName>
    <definedName name="CSPlines4914">Instructions!$C$20</definedName>
    <definedName name="CSPPropertyPayments">Instructions!$C$22</definedName>
    <definedName name="CurrentExpensesByCategory">Instructions!$C$32</definedName>
    <definedName name="CurrentExpensesbyCategoryLines7and8">Instructions!$C$33</definedName>
    <definedName name="DebtService">Instructions!$C$53</definedName>
    <definedName name="District_Name">'School listing'!$A$1</definedName>
    <definedName name="EXPENSES">Instructions!$C$95</definedName>
    <definedName name="ExpensesPage2">Instructions!$C$17</definedName>
    <definedName name="FederalAndStateProjectsAdjustedBeginningProjectBalance">Instructions!$C$46</definedName>
    <definedName name="FederalAndStateProjectsPage2">Instructions!$C$18</definedName>
    <definedName name="FederalAndStateProjectsPage9">Instructions!$C$47</definedName>
    <definedName name="FederalAndStateProjectsPage9Line30">Instructions!$C$49</definedName>
    <definedName name="Food_Service_1600">Instructions!$C$13</definedName>
    <definedName name="FoodServiceGen">Instructions!$C$89</definedName>
    <definedName name="FP11001130EndBal">'Page 8'!$N$6</definedName>
    <definedName name="FP11401150EndBal">'Page 8'!$N$7</definedName>
    <definedName name="FP1160EndBal">'Page 8'!$N$8</definedName>
    <definedName name="FP11701180EndBal">'Page 8'!$N$9</definedName>
    <definedName name="FP1190EndBal">'Page 8'!$N$10</definedName>
    <definedName name="FP1200EndBal">'Page 8'!$N$11</definedName>
    <definedName name="FP1210EndBal">'Page 8'!$N$12</definedName>
    <definedName name="FP1220EndBal">'Page 8'!$N$13</definedName>
    <definedName name="FP1230EndBal">'Page 8'!$N$14</definedName>
    <definedName name="FP1240EndBal">'Page 8'!$N$15</definedName>
    <definedName name="FP1250EndBal">'Page 8'!$N$16</definedName>
    <definedName name="FP1260EndBal">'Page 8'!$N$17</definedName>
    <definedName name="FP1280EndBal">'Page 8'!$N$18</definedName>
    <definedName name="FP1290EndBal">'Page 8'!$N$19</definedName>
    <definedName name="FP1300EndBal">'Page 8'!$N$20</definedName>
    <definedName name="FP13101399EndBal">'Page 8'!$N$22</definedName>
    <definedName name="FP13XXImpactAidEndBal">'Page 8'!$N$21</definedName>
    <definedName name="FullTimeEquivalentTeachers">Instructions!$C$34</definedName>
    <definedName name="GeneralInstructions">Instructions!$C$2</definedName>
    <definedName name="GeneralPage1">Instructions!$C$12</definedName>
    <definedName name="GeneralPage10">Instructions!$C$50</definedName>
    <definedName name="ImpactAidandOtherFederalProjects">Instructions!$C$48</definedName>
    <definedName name="InvestmentInCapitalAssets">Instructions!$C$30</definedName>
    <definedName name="InvestmentInCapitalAssetsLine5">Instructions!$C$31</definedName>
    <definedName name="LongandShortTermDebt">Instructions!$C$65</definedName>
    <definedName name="LunchesSuppers">Instructions!$C$116</definedName>
    <definedName name="NameCountyCTDSNumber">Instructions!$C$7</definedName>
    <definedName name="Page10DebtServiceDetail">Instructions!$C$75</definedName>
    <definedName name="Page10FY20to23Exp">Instructions!$C$85</definedName>
    <definedName name="Page10FY24Exp">Instructions!$C$86</definedName>
    <definedName name="Page10General">Instructions!$C$69</definedName>
    <definedName name="Page10OtherLine">Instructions!$C$70</definedName>
    <definedName name="Page10PPP">Instructions!$A$88</definedName>
    <definedName name="Page10projects">Instructions!$A$76</definedName>
    <definedName name="Page10ProjectsLine1">Instructions!$C$78</definedName>
    <definedName name="Page10ProjectsLine2">Instructions!$C$79</definedName>
    <definedName name="Page10ProjectsLine3">Instructions!$C$80</definedName>
    <definedName name="Page10ProjectsLine4">Instructions!$C$81</definedName>
    <definedName name="Page10ProjectsLine5">Instructions!$C$82</definedName>
    <definedName name="Page10ProjectsLine6">Instructions!$C$83</definedName>
    <definedName name="Page10PropertyDisbursement">Instructions!$C$73</definedName>
    <definedName name="Page10PropertyDisbursementDetail">Instructions!$C$74</definedName>
    <definedName name="Page10Remaining">Instructions!$C$87</definedName>
    <definedName name="Page10TechDetail">Instructions!$C$71</definedName>
    <definedName name="Page10TechDetailLine7">Instructions!$C$72</definedName>
    <definedName name="Page10TotalAward">Instructions!$C$84</definedName>
    <definedName name="Page3AdjBeginProjBal">Instructions!$C$23</definedName>
    <definedName name="Page4AdjBeginProjBal">Instructions!$C$25</definedName>
    <definedName name="Page5AdjBeginProjBal">Instructions!$C$26</definedName>
    <definedName name="_xlnm.Print_Area" localSheetId="16">'Accounting data'!$A:$L</definedName>
    <definedName name="_xlnm.Print_Area" localSheetId="15">Alerts!$A$1:$A$17</definedName>
    <definedName name="_xlnm.Print_Area" localSheetId="0">'Cover Page'!$A$1:$R$35</definedName>
    <definedName name="_xlnm.Print_Area" localSheetId="11">'Food Service'!$A$1:$P$43</definedName>
    <definedName name="_xlnm.Print_Area" localSheetId="18">Instructions!$A:$D</definedName>
    <definedName name="_xlnm.Print_Area" localSheetId="1">'Page 1'!$A$1:$N$43</definedName>
    <definedName name="_xlnm.Print_Area" localSheetId="10">'Page 10'!$A$1:$P$49</definedName>
    <definedName name="_xlnm.Print_Area" localSheetId="2">'Page 2'!$A$1:$M$48</definedName>
    <definedName name="_xlnm.Print_Area" localSheetId="3">'Page 3'!$A$1:$L$31</definedName>
    <definedName name="_xlnm.Print_Area" localSheetId="4">'Page 4'!$A$1:$M$30</definedName>
    <definedName name="_xlnm.Print_Area" localSheetId="6">'Page 6'!$A$1:$U$42</definedName>
    <definedName name="_xlnm.Print_Area" localSheetId="7">'Page 7'!$A$1:$W$27</definedName>
    <definedName name="_xlnm.Print_Area" localSheetId="8">'Page 8'!$A$1:$O$42</definedName>
    <definedName name="_xlnm.Print_Area" localSheetId="9">'Page 9'!$A$1:$L$63</definedName>
    <definedName name="_xlnm.Print_Area" localSheetId="13">'Reserve balance'!$A$1:$M$46</definedName>
    <definedName name="_xlnm.Print_Area" localSheetId="12">Summary!$A$1:$V$24</definedName>
    <definedName name="PriorYearSalary">'Page 6'!$T$30</definedName>
    <definedName name="PropertyDisbursements">Instructions!$C$51</definedName>
    <definedName name="PropertyDisbursementsByType">Instructions!$C$52</definedName>
    <definedName name="ReserveBalSecA">Instructions!$C$128</definedName>
    <definedName name="ReserveBalSecAl1">Instructions!$C$129</definedName>
    <definedName name="ReserveBalSecAl2">Instructions!$C$130</definedName>
    <definedName name="ReserveBalSecAl3">Instructions!$C$131</definedName>
    <definedName name="ReserveBalSecAl3a">Instructions!$C$132</definedName>
    <definedName name="ReserveBalSecAl3b">Instructions!$C$133</definedName>
    <definedName name="ReserveBalSecAl3c">Instructions!$C$134</definedName>
    <definedName name="ReserveBalSecAl3d">Instructions!$C$135</definedName>
    <definedName name="ReserveBalSecAl3e">Instructions!$C$136</definedName>
    <definedName name="ReserveBalSecAl3f">Instructions!$C$137</definedName>
    <definedName name="ReserveBalSecAl3g">Instructions!$C$138</definedName>
    <definedName name="ReserveBalSecB">Instructions!$C$139</definedName>
    <definedName name="ReserveBalSecBl4">Instructions!$C$140</definedName>
    <definedName name="ReserveBalSecBl5">Instructions!$C$141</definedName>
    <definedName name="Restricted3200">Instructions!$C$14</definedName>
    <definedName name="Revenue_From_Selected_Federal_Sources">Instructions!$C$54</definedName>
    <definedName name="REVENUES">Instructions!$C$90</definedName>
    <definedName name="School_Listing_Tab">Instructions!$C$9</definedName>
    <definedName name="SchoolwideEndBal">Summary!$K$17</definedName>
    <definedName name="Section_C_Transportation">Instructions!$C$45</definedName>
    <definedName name="SectionA">Instructions!$C$110</definedName>
    <definedName name="SectionB">Instructions!$C$111</definedName>
    <definedName name="SectionC">Instructions!$C$119</definedName>
    <definedName name="SectionD">Instructions!$C$120</definedName>
    <definedName name="SectionE">Instructions!$C$121</definedName>
    <definedName name="SectionF">Instructions!$C$122</definedName>
    <definedName name="SectionG">Instructions!$C$123</definedName>
    <definedName name="SEIP1071EndBal">'Page 5'!$P$26</definedName>
    <definedName name="Snacks">Instructions!$C$118</definedName>
    <definedName name="SP1000ClassSiteProj">'Page 2'!$J$43</definedName>
    <definedName name="SP1000CompInstrProj">'Page 2'!$J$46</definedName>
    <definedName name="SP1000FedStProj">'Page 2'!$J$47</definedName>
    <definedName name="SP1000InstrImpProj">'Page 2'!$J$44</definedName>
    <definedName name="SP1000P100F1000">'Page 2'!$J$7</definedName>
    <definedName name="SP1000P100F2100">'Page 2'!$J$9</definedName>
    <definedName name="SP1000P100F2200">'Page 2'!$J$10</definedName>
    <definedName name="SP1000P100F2300">'Page 2'!$J$11</definedName>
    <definedName name="SP1000P100F2400">'Page 2'!$J$12</definedName>
    <definedName name="SP1000P100F2500">'Page 2'!$J$13</definedName>
    <definedName name="SP1000P100F2600">'Page 2'!$J$14</definedName>
    <definedName name="SP1000P100F2900">'Page 2'!$J$15</definedName>
    <definedName name="SP1000P100F3000">'Page 2'!$J$16</definedName>
    <definedName name="SP1000P100F4000">'Page 2'!$J$17</definedName>
    <definedName name="SP1000P100F5000">'Page 2'!$J$18</definedName>
    <definedName name="SP1000P200F1000">'Page 2'!$J$25</definedName>
    <definedName name="SP1000P200F2100">'Page 2'!$J$27</definedName>
    <definedName name="SP1000P200F2200">'Page 2'!$J$28</definedName>
    <definedName name="SP1000P200F2300">'Page 2'!$J$29</definedName>
    <definedName name="SP1000P200F2400">'Page 2'!$J$30</definedName>
    <definedName name="SP1000P200F2500">'Page 2'!$J$31</definedName>
    <definedName name="SP1000P200F2600">'Page 2'!$J$32</definedName>
    <definedName name="SP1000P200F2900">'Page 2'!$J$33</definedName>
    <definedName name="SP1000P200F3000">'Page 2'!$J$34</definedName>
    <definedName name="SP1000P200F4000">'Page 2'!$J$35</definedName>
    <definedName name="SP1000P200F5000">'Page 2'!$J$36</definedName>
    <definedName name="SP1000P400">'Page 2'!$J$38</definedName>
    <definedName name="SP1000P530">'Page 2'!$J$39</definedName>
    <definedName name="SP1000P540">'Page 2'!$J$40</definedName>
    <definedName name="SP1000P550">'Page 2'!$J$41</definedName>
    <definedName name="SP1000P610">'Page 2'!$J$19</definedName>
    <definedName name="SP1000P620">'Page 2'!$J$20</definedName>
    <definedName name="SP1000P630700800900">'Page 2'!$J$22</definedName>
    <definedName name="SP1000StruEngImmProj">'Page 2'!$J$45</definedName>
    <definedName name="SpecialEdProgramsByType">Instructions!$C$43</definedName>
    <definedName name="StP1400EndBal">'Page 8'!$N$28</definedName>
    <definedName name="StP1410EndBal">'Page 8'!$N$29</definedName>
    <definedName name="StP1420EndBal">'Page 8'!$N$30</definedName>
    <definedName name="StP1425EndBal">'Page 8'!$N$31</definedName>
    <definedName name="StP1430EndBal">'Page 8'!$N$32</definedName>
    <definedName name="StP1435EndBal">'Page 8'!$N$33</definedName>
    <definedName name="StP1450EndBal">'Page 8'!$N$34</definedName>
    <definedName name="StP1456EndBal">'Page 8'!$N$35</definedName>
    <definedName name="StP1460EndBal">'Page 8'!$N$36</definedName>
    <definedName name="StP1465EndBal">'Page 8'!$N$37</definedName>
    <definedName name="StP14701499EndBal">'Page 8'!$N$39</definedName>
    <definedName name="StP14XXEndBal">'Page 8'!$N$38</definedName>
    <definedName name="SumADM">Instructions!$C$125</definedName>
    <definedName name="SumGen">Instructions!$C$124</definedName>
    <definedName name="SupportServicesInstructionDetail">Instructions!$C$68</definedName>
    <definedName name="TeacherSalaries">Instructions!$C$35</definedName>
    <definedName name="TeacherSalariesLine1">Instructions!$C$36</definedName>
    <definedName name="TeacherSalariesLine2">Instructions!$C$37</definedName>
    <definedName name="TeacherSalariesLine3">Instructions!$C$38</definedName>
    <definedName name="TeacherSalariesLine4">Instructions!$C$39</definedName>
    <definedName name="TeacherSalariesLine5">Instructions!$C$40</definedName>
    <definedName name="TechnologyDetail">Instructions!$C$67</definedName>
    <definedName name="TotalActualGiftedExpenses">Instructions!$C$42</definedName>
    <definedName name="TotalCIP6100">'Page 5'!$I$48</definedName>
    <definedName name="TotalCIP6200">'Page 5'!$J$48</definedName>
    <definedName name="TotalCIP630064006500">'Page 5'!$K$48</definedName>
    <definedName name="TotalCIP6600">'Page 5'!$L$48</definedName>
    <definedName name="TotalCIP6800">'Page 5'!$M$48</definedName>
    <definedName name="TotalSEIP6100">'Page 5'!$I$26</definedName>
    <definedName name="TotalSEIP6200">'Page 5'!$J$26</definedName>
    <definedName name="TotalSEIP630064006500">'Page 5'!$K$26</definedName>
    <definedName name="TotalSEIP6600">'Page 5'!$L$26</definedName>
    <definedName name="TotalSEIP6800">'Page 5'!$M$26</definedName>
    <definedName name="TotExpSchoolwide">'Page 2'!$J$42</definedName>
    <definedName name="Unrestricted_Restricted_4100_4300">Instructions!$C$15</definedName>
    <definedName name="Unrestricted_Restricted_4200_4500">Instructions!$C$16</definedName>
    <definedName name="UtilitiesandEnergyServices">Instructions!$C$66</definedName>
    <definedName name="websitelink">Instructions!$C$8</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6" l="1"/>
  <c r="K32" i="15"/>
  <c r="K30" i="15"/>
  <c r="M19" i="6"/>
  <c r="G196" i="21" l="1"/>
  <c r="G197" i="21"/>
  <c r="G216" i="21"/>
  <c r="G224" i="21"/>
  <c r="G225" i="21"/>
  <c r="G259" i="21"/>
  <c r="G261" i="21"/>
  <c r="G60" i="21"/>
  <c r="G138" i="21"/>
  <c r="G129" i="21"/>
  <c r="G130" i="21"/>
  <c r="G79" i="21" l="1"/>
  <c r="J38" i="4" l="1"/>
  <c r="F29" i="12"/>
  <c r="AC10" i="4" l="1"/>
  <c r="AC9" i="4"/>
  <c r="H19" i="8" l="1"/>
  <c r="H18" i="8"/>
  <c r="H16" i="8"/>
  <c r="M15" i="23" l="1" a="1"/>
  <c r="M15" i="23" s="1"/>
  <c r="M14" i="23" a="1"/>
  <c r="M14" i="23" s="1"/>
  <c r="M13" i="23" a="1"/>
  <c r="M13" i="23" s="1"/>
  <c r="N12" i="24" l="1"/>
  <c r="T20" i="2"/>
  <c r="E25" i="4" l="1"/>
  <c r="E21" i="4"/>
  <c r="E39" i="4" l="1"/>
  <c r="E35" i="4" a="1"/>
  <c r="E35" i="4" s="1"/>
  <c r="J35" i="4"/>
  <c r="S25" i="5"/>
  <c r="S16" i="5"/>
  <c r="F19" i="22"/>
  <c r="F18" i="22"/>
  <c r="F17" i="22"/>
  <c r="J39" i="4"/>
  <c r="J37" i="4"/>
  <c r="J36" i="4"/>
  <c r="J34" i="4"/>
  <c r="J33" i="4"/>
  <c r="J32" i="4"/>
  <c r="J31" i="4"/>
  <c r="J30" i="4"/>
  <c r="J29" i="4"/>
  <c r="J28" i="4"/>
  <c r="J22" i="4"/>
  <c r="J21" i="4"/>
  <c r="J20" i="4"/>
  <c r="J19" i="4"/>
  <c r="J18" i="4"/>
  <c r="J17" i="4"/>
  <c r="J16" i="4"/>
  <c r="J15" i="4"/>
  <c r="J14" i="4"/>
  <c r="J13" i="4"/>
  <c r="J12" i="4"/>
  <c r="J11" i="4"/>
  <c r="J10" i="4"/>
  <c r="J9" i="4"/>
  <c r="J8" i="4"/>
  <c r="J7" i="4"/>
  <c r="J6" i="4"/>
  <c r="S22" i="5"/>
  <c r="S21" i="5"/>
  <c r="S20" i="5"/>
  <c r="S19" i="5"/>
  <c r="S18" i="5"/>
  <c r="S17" i="5"/>
  <c r="F19" i="6"/>
  <c r="F18" i="6"/>
  <c r="F17" i="6"/>
  <c r="F16" i="6"/>
  <c r="F15" i="6"/>
  <c r="F14" i="6"/>
  <c r="N47" i="14"/>
  <c r="N43" i="14"/>
  <c r="N42" i="14"/>
  <c r="N41" i="14"/>
  <c r="N40" i="14"/>
  <c r="N39" i="14"/>
  <c r="N38" i="14"/>
  <c r="N37" i="14"/>
  <c r="N35" i="14"/>
  <c r="N25" i="14"/>
  <c r="N21" i="14"/>
  <c r="N20" i="14"/>
  <c r="N19" i="14"/>
  <c r="N18" i="14"/>
  <c r="N17" i="14"/>
  <c r="N16" i="14"/>
  <c r="N14" i="14"/>
  <c r="N13" i="14"/>
  <c r="H10" i="12"/>
  <c r="H9" i="12"/>
  <c r="H8" i="12"/>
  <c r="H7" i="12"/>
  <c r="J12" i="22" a="1"/>
  <c r="J12" i="22" s="1"/>
  <c r="J11" i="22" a="1"/>
  <c r="J11" i="22" s="1"/>
  <c r="J10" i="22" a="1"/>
  <c r="J10" i="22" s="1"/>
  <c r="J9" i="22" a="1"/>
  <c r="J9" i="22" s="1"/>
  <c r="J8" i="22" a="1"/>
  <c r="J8" i="22" s="1"/>
  <c r="I47" i="7"/>
  <c r="I46" i="7"/>
  <c r="I45" i="7"/>
  <c r="I44" i="7"/>
  <c r="I43" i="7"/>
  <c r="I41" i="7"/>
  <c r="I40" i="7"/>
  <c r="I39" i="7"/>
  <c r="I38" i="7"/>
  <c r="I36" i="7"/>
  <c r="I35" i="7"/>
  <c r="I34" i="7"/>
  <c r="I33" i="7"/>
  <c r="I32" i="7"/>
  <c r="I31" i="7"/>
  <c r="I30" i="7"/>
  <c r="I29" i="7"/>
  <c r="I28" i="7"/>
  <c r="I27" i="7"/>
  <c r="I25" i="7"/>
  <c r="I21" i="7"/>
  <c r="I20" i="7"/>
  <c r="I19" i="7"/>
  <c r="I18" i="7"/>
  <c r="I17" i="7"/>
  <c r="I16" i="7"/>
  <c r="I15" i="7"/>
  <c r="I14" i="7"/>
  <c r="I13" i="7"/>
  <c r="I12" i="7"/>
  <c r="I11" i="7"/>
  <c r="I10" i="7"/>
  <c r="I9" i="7"/>
  <c r="I7" i="7"/>
  <c r="B17" i="24" l="1"/>
  <c r="T30" i="6"/>
  <c r="F24" i="22"/>
  <c r="E38" i="4" a="1"/>
  <c r="E38" i="4" s="1"/>
  <c r="E37" i="4"/>
  <c r="E36" i="4"/>
  <c r="E34" i="4"/>
  <c r="E33" i="4"/>
  <c r="E32" i="4"/>
  <c r="E31" i="4"/>
  <c r="E30" i="4"/>
  <c r="E29" i="4"/>
  <c r="E28" i="4"/>
  <c r="E22" i="4"/>
  <c r="E20" i="4"/>
  <c r="E19" i="4"/>
  <c r="E18" i="4"/>
  <c r="E17" i="4"/>
  <c r="E16" i="4"/>
  <c r="E15" i="4"/>
  <c r="E14" i="4"/>
  <c r="E13" i="4"/>
  <c r="E12" i="4"/>
  <c r="E11" i="4"/>
  <c r="E10" i="4"/>
  <c r="E9" i="4"/>
  <c r="E8" i="4"/>
  <c r="E7" i="4"/>
  <c r="E6" i="4"/>
  <c r="D6" i="6"/>
  <c r="F48" i="14"/>
  <c r="F26" i="14"/>
  <c r="F15" i="12"/>
  <c r="K47" i="7"/>
  <c r="K46" i="7"/>
  <c r="K45" i="7"/>
  <c r="K44" i="7"/>
  <c r="K43" i="7"/>
  <c r="K41" i="7"/>
  <c r="K40" i="7"/>
  <c r="K39" i="7"/>
  <c r="K38" i="7"/>
  <c r="K36" i="7"/>
  <c r="K35" i="7"/>
  <c r="K34" i="7"/>
  <c r="K33" i="7"/>
  <c r="K32" i="7"/>
  <c r="K31" i="7"/>
  <c r="K30" i="7"/>
  <c r="K29" i="7"/>
  <c r="K28" i="7"/>
  <c r="K27" i="7"/>
  <c r="K25" i="7"/>
  <c r="K22" i="7"/>
  <c r="K20" i="7"/>
  <c r="K19" i="7"/>
  <c r="K18" i="7"/>
  <c r="K17" i="7"/>
  <c r="K16" i="7"/>
  <c r="K15" i="7"/>
  <c r="K14" i="7"/>
  <c r="K13" i="7"/>
  <c r="K12" i="7"/>
  <c r="K11" i="7"/>
  <c r="K10" i="7"/>
  <c r="K9" i="7"/>
  <c r="K7" i="7"/>
  <c r="K21" i="7"/>
  <c r="F40" i="4" l="1" a="1"/>
  <c r="F40" i="4" s="1"/>
  <c r="F23" i="4" a="1"/>
  <c r="F23" i="4" s="1"/>
  <c r="B20" i="24"/>
  <c r="B21" i="24"/>
  <c r="B18" i="24"/>
  <c r="B19" i="24"/>
  <c r="O1" i="26"/>
  <c r="I1" i="26"/>
  <c r="C1" i="26"/>
  <c r="E12" i="26"/>
  <c r="O20" i="26"/>
  <c r="O35" i="26"/>
  <c r="E1538" i="18" l="1"/>
  <c r="E1537" i="18"/>
  <c r="E1536" i="18"/>
  <c r="E1535" i="18"/>
  <c r="E1532" i="18" a="1"/>
  <c r="E1532" i="18" s="1"/>
  <c r="E1531" i="18" a="1"/>
  <c r="E1531" i="18" s="1"/>
  <c r="E1530" i="18" a="1"/>
  <c r="E1530" i="18" s="1"/>
  <c r="E1529" i="18" a="1"/>
  <c r="E1529" i="18" s="1"/>
  <c r="E1527" i="18"/>
  <c r="E1526" i="18"/>
  <c r="E1525" i="18"/>
  <c r="E1524" i="18"/>
  <c r="E1522" i="18" a="1"/>
  <c r="E1522" i="18" s="1"/>
  <c r="E1521" i="18" a="1"/>
  <c r="E1521" i="18" s="1"/>
  <c r="E1520" i="18" a="1"/>
  <c r="E1520" i="18" s="1"/>
  <c r="E1519" i="18"/>
  <c r="E1517" i="18"/>
  <c r="E1516" i="18"/>
  <c r="E1515" i="18"/>
  <c r="E1514" i="18"/>
  <c r="E1513" i="18"/>
  <c r="E1512" i="18"/>
  <c r="E1511" i="18"/>
  <c r="E1510" i="18"/>
  <c r="E1509" i="18"/>
  <c r="E1508" i="18"/>
  <c r="E1507" i="18"/>
  <c r="E1506" i="18"/>
  <c r="E1503" i="18" a="1"/>
  <c r="E1503" i="18" s="1"/>
  <c r="E1502" i="18" a="1"/>
  <c r="E1502" i="18" s="1"/>
  <c r="E1501" i="18" a="1"/>
  <c r="E1501" i="18" s="1"/>
  <c r="E1500" i="18" a="1"/>
  <c r="E1500" i="18" s="1"/>
  <c r="E1498" i="18" a="1"/>
  <c r="E1498" i="18" s="1"/>
  <c r="E1497" i="18" a="1"/>
  <c r="E1497" i="18" s="1"/>
  <c r="E1496" i="18" a="1"/>
  <c r="E1496" i="18" s="1"/>
  <c r="E1495" i="18" a="1"/>
  <c r="E1495" i="18" s="1"/>
  <c r="E1493" i="18" a="1"/>
  <c r="E1493" i="18" s="1"/>
  <c r="E1492" i="18" a="1"/>
  <c r="E1492" i="18" s="1"/>
  <c r="E1491" i="18" a="1"/>
  <c r="E1491" i="18" s="1"/>
  <c r="E1490" i="18" a="1"/>
  <c r="E1490" i="18" s="1"/>
  <c r="E1488" i="18" a="1"/>
  <c r="E1488" i="18" s="1"/>
  <c r="E1487" i="18" a="1"/>
  <c r="E1487" i="18" s="1"/>
  <c r="E1486" i="18" a="1"/>
  <c r="E1486" i="18" s="1"/>
  <c r="E1485" i="18" a="1"/>
  <c r="E1485" i="18"/>
  <c r="E1483" i="18" a="1"/>
  <c r="E1483" i="18" s="1"/>
  <c r="E1482" i="18" a="1"/>
  <c r="E1482" i="18" s="1"/>
  <c r="E1481" i="18" a="1"/>
  <c r="E1481" i="18" s="1"/>
  <c r="E1480" i="18" a="1"/>
  <c r="E1480" i="18" s="1"/>
  <c r="E1478" i="18" a="1"/>
  <c r="E1478" i="18" s="1"/>
  <c r="E1477" i="18" a="1"/>
  <c r="E1477" i="18" s="1"/>
  <c r="E1476" i="18" a="1"/>
  <c r="E1476" i="18" s="1"/>
  <c r="E1475" i="18" a="1"/>
  <c r="E1475" i="18" s="1"/>
  <c r="E1473" i="18" a="1"/>
  <c r="E1473" i="18" s="1"/>
  <c r="E1472" i="18" a="1"/>
  <c r="E1472" i="18" s="1"/>
  <c r="E1471" i="18" a="1"/>
  <c r="E1471" i="18" s="1"/>
  <c r="E1470" i="18" a="1"/>
  <c r="E1470" i="18" s="1"/>
  <c r="E1468" i="18" a="1"/>
  <c r="E1468" i="18" s="1"/>
  <c r="E1467" i="18" a="1"/>
  <c r="E1467" i="18" s="1"/>
  <c r="E1466" i="18" a="1"/>
  <c r="E1466" i="18" s="1"/>
  <c r="E1465" i="18" a="1"/>
  <c r="E1465" i="18" s="1"/>
  <c r="E1463" i="18" a="1"/>
  <c r="E1463" i="18" s="1"/>
  <c r="E1462" i="18" a="1"/>
  <c r="E1462" i="18" s="1"/>
  <c r="E1461" i="18" a="1"/>
  <c r="E1461" i="18" s="1"/>
  <c r="E1460" i="18" a="1"/>
  <c r="E1460" i="18" s="1"/>
  <c r="E1458" i="18" a="1"/>
  <c r="E1458" i="18" s="1"/>
  <c r="E1457" i="18" a="1"/>
  <c r="E1457" i="18" s="1"/>
  <c r="E1456" i="18" a="1"/>
  <c r="E1456" i="18" s="1"/>
  <c r="E1455" i="18" a="1"/>
  <c r="E1455" i="18" s="1"/>
  <c r="E1453" i="18" a="1"/>
  <c r="E1453" i="18" s="1"/>
  <c r="E1452" i="18" a="1"/>
  <c r="E1452" i="18" s="1"/>
  <c r="E1451" i="18" a="1"/>
  <c r="E1451" i="18" s="1"/>
  <c r="E1450" i="18" a="1"/>
  <c r="E1450" i="18" s="1"/>
  <c r="E1448" i="18"/>
  <c r="E1447" i="18"/>
  <c r="E1446" i="18"/>
  <c r="E1445" i="18"/>
  <c r="E1437" i="18"/>
  <c r="E1438" i="18" s="1"/>
  <c r="E1387" i="18"/>
  <c r="E1386" i="18"/>
  <c r="E1385" i="18"/>
  <c r="E1384" i="18"/>
  <c r="E1383" i="18"/>
  <c r="E1382" i="18"/>
  <c r="E1381" i="18"/>
  <c r="E1380" i="18"/>
  <c r="E1379" i="18"/>
  <c r="E1378" i="18"/>
  <c r="E1377" i="18"/>
  <c r="E1376" i="18"/>
  <c r="E1375" i="18"/>
  <c r="E1374" i="18"/>
  <c r="E1373" i="18"/>
  <c r="E1372" i="18"/>
  <c r="E1371" i="18"/>
  <c r="E1370" i="18"/>
  <c r="E1365" i="18"/>
  <c r="E1363" i="18"/>
  <c r="E1361" i="18"/>
  <c r="E1360" i="18"/>
  <c r="E1359" i="18"/>
  <c r="E1358" i="18"/>
  <c r="E1354" i="18"/>
  <c r="E1352" i="18"/>
  <c r="E1350" i="18"/>
  <c r="E1349" i="18"/>
  <c r="E1348" i="18"/>
  <c r="E1347" i="18"/>
  <c r="E1343" i="18"/>
  <c r="E1341" i="18"/>
  <c r="E1339" i="18"/>
  <c r="E1338" i="18"/>
  <c r="E1337" i="18"/>
  <c r="E1336" i="18"/>
  <c r="E1332" i="18"/>
  <c r="E1330" i="18"/>
  <c r="E1328" i="18"/>
  <c r="E1327" i="18"/>
  <c r="E1326" i="18"/>
  <c r="E1325" i="18"/>
  <c r="E1310" i="18"/>
  <c r="E1308" i="18"/>
  <c r="E1306" i="18"/>
  <c r="E1305" i="18"/>
  <c r="E1304" i="18"/>
  <c r="E1303" i="18"/>
  <c r="E1299" i="18"/>
  <c r="E1297" i="18"/>
  <c r="E1295" i="18"/>
  <c r="E1294" i="18"/>
  <c r="E1293" i="18"/>
  <c r="E1292" i="18"/>
  <c r="E1288" i="18"/>
  <c r="E1286" i="18"/>
  <c r="E1284" i="18"/>
  <c r="E1283" i="18"/>
  <c r="E1282" i="18"/>
  <c r="E1281" i="18"/>
  <c r="E1277" i="18"/>
  <c r="E1275" i="18"/>
  <c r="E1273" i="18"/>
  <c r="E1272" i="18"/>
  <c r="E1271" i="18"/>
  <c r="E1270" i="18"/>
  <c r="E1266" i="18"/>
  <c r="E1264" i="18"/>
  <c r="E1262" i="18"/>
  <c r="E1261" i="18"/>
  <c r="E1260" i="18"/>
  <c r="E1259" i="18"/>
  <c r="E1255" i="18"/>
  <c r="E1253" i="18"/>
  <c r="E1251" i="18"/>
  <c r="E1250" i="18"/>
  <c r="E1249" i="18"/>
  <c r="E1248" i="18"/>
  <c r="E1244" i="18"/>
  <c r="E1242" i="18"/>
  <c r="E1240" i="18"/>
  <c r="E1239" i="18"/>
  <c r="E1238" i="18"/>
  <c r="E1237" i="18"/>
  <c r="E1233" i="18"/>
  <c r="E1231" i="18"/>
  <c r="E1229" i="18"/>
  <c r="E1228" i="18"/>
  <c r="E1227" i="18"/>
  <c r="E1226" i="18"/>
  <c r="E1222" i="18"/>
  <c r="E1220" i="18"/>
  <c r="E1218" i="18"/>
  <c r="E1217" i="18"/>
  <c r="E1216" i="18"/>
  <c r="E1215" i="18"/>
  <c r="E1213" i="18"/>
  <c r="E1212" i="18"/>
  <c r="E1211" i="18"/>
  <c r="E1210" i="18"/>
  <c r="E1209" i="18"/>
  <c r="E1208" i="18"/>
  <c r="E1207" i="18"/>
  <c r="E1206" i="18"/>
  <c r="E1205" i="18"/>
  <c r="E1204" i="18"/>
  <c r="E1203" i="18"/>
  <c r="E1202" i="18"/>
  <c r="E1197" i="18"/>
  <c r="E1196" i="18"/>
  <c r="E1195" i="18"/>
  <c r="E1194" i="18"/>
  <c r="E1190" i="18"/>
  <c r="E1189" i="18"/>
  <c r="E1188" i="18"/>
  <c r="E1187" i="18"/>
  <c r="E1186" i="18"/>
  <c r="E1176" i="18"/>
  <c r="E1175" i="18"/>
  <c r="E1174" i="18"/>
  <c r="E1173" i="18"/>
  <c r="E1169" i="18"/>
  <c r="E1168" i="18"/>
  <c r="E1167" i="18"/>
  <c r="E1166" i="18"/>
  <c r="E1162" i="18"/>
  <c r="E1161" i="18"/>
  <c r="E1160" i="18"/>
  <c r="E1159" i="18"/>
  <c r="E1155" i="18"/>
  <c r="E1154" i="18"/>
  <c r="E1153" i="18"/>
  <c r="E1152" i="18"/>
  <c r="E1148" i="18"/>
  <c r="E1147" i="18"/>
  <c r="E1146" i="18"/>
  <c r="E1145" i="18"/>
  <c r="E1141" i="18"/>
  <c r="E1140" i="18"/>
  <c r="E1139" i="18"/>
  <c r="E1138" i="18"/>
  <c r="E1134" i="18"/>
  <c r="E1133" i="18"/>
  <c r="E1132" i="18"/>
  <c r="E1131" i="18"/>
  <c r="E1127" i="18"/>
  <c r="E1126" i="18"/>
  <c r="E1125" i="18"/>
  <c r="E1124" i="18"/>
  <c r="E1120" i="18"/>
  <c r="E1119" i="18"/>
  <c r="E1118" i="18"/>
  <c r="E1117" i="18"/>
  <c r="E1113" i="18"/>
  <c r="E1112" i="18"/>
  <c r="E1111" i="18"/>
  <c r="E1110" i="18"/>
  <c r="E1108" i="18"/>
  <c r="E1107" i="18"/>
  <c r="E1106" i="18"/>
  <c r="E1105" i="18"/>
  <c r="E1079" i="18"/>
  <c r="E1078" i="18"/>
  <c r="E1077" i="18"/>
  <c r="E1076" i="18"/>
  <c r="E1060" i="18"/>
  <c r="E1059" i="18"/>
  <c r="E1058" i="18"/>
  <c r="E1057" i="18"/>
  <c r="E1053" i="18"/>
  <c r="E1052" i="18"/>
  <c r="E1051" i="18"/>
  <c r="E1050" i="18"/>
  <c r="E1048" i="18"/>
  <c r="E1047" i="18"/>
  <c r="E1046" i="18"/>
  <c r="E1045" i="18"/>
  <c r="E1044" i="18"/>
  <c r="E1043" i="18"/>
  <c r="E1042" i="18"/>
  <c r="E1041" i="18"/>
  <c r="E1040" i="18"/>
  <c r="E1039" i="18"/>
  <c r="E1038" i="18"/>
  <c r="E1037" i="18"/>
  <c r="E1032" i="18"/>
  <c r="E1031" i="18"/>
  <c r="E1030" i="18"/>
  <c r="E1029" i="18"/>
  <c r="E1025" i="18"/>
  <c r="E1024" i="18"/>
  <c r="E1023" i="18"/>
  <c r="E1022" i="18"/>
  <c r="E1011" i="18"/>
  <c r="E1010" i="18"/>
  <c r="E1009" i="18"/>
  <c r="E1008" i="18"/>
  <c r="E1004" i="18"/>
  <c r="E1003" i="18"/>
  <c r="E1002" i="18"/>
  <c r="E1001" i="18"/>
  <c r="E997" i="18"/>
  <c r="E996" i="18"/>
  <c r="E995" i="18"/>
  <c r="E994" i="18"/>
  <c r="E990" i="18"/>
  <c r="E989" i="18"/>
  <c r="E988" i="18"/>
  <c r="E987" i="18"/>
  <c r="E983" i="18"/>
  <c r="E982" i="18"/>
  <c r="E981" i="18"/>
  <c r="E980" i="18"/>
  <c r="E976" i="18"/>
  <c r="E975" i="18"/>
  <c r="E974" i="18"/>
  <c r="E973" i="18"/>
  <c r="E969" i="18"/>
  <c r="E968" i="18"/>
  <c r="E967" i="18"/>
  <c r="E966" i="18"/>
  <c r="E962" i="18"/>
  <c r="E961" i="18"/>
  <c r="E960" i="18"/>
  <c r="E959" i="18"/>
  <c r="E955" i="18"/>
  <c r="E954" i="18"/>
  <c r="E953" i="18"/>
  <c r="E952" i="18"/>
  <c r="E948" i="18"/>
  <c r="E947" i="18"/>
  <c r="E946" i="18"/>
  <c r="E945" i="18"/>
  <c r="E733" i="18"/>
  <c r="E732" i="18"/>
  <c r="E731" i="18"/>
  <c r="E730" i="18"/>
  <c r="E729" i="18"/>
  <c r="E728" i="18"/>
  <c r="E727" i="18"/>
  <c r="E726" i="18"/>
  <c r="E725" i="18"/>
  <c r="E724" i="18"/>
  <c r="E723" i="18"/>
  <c r="E722" i="18"/>
  <c r="E717" i="18"/>
  <c r="E716" i="18"/>
  <c r="E715" i="18"/>
  <c r="E714" i="18"/>
  <c r="E710" i="18"/>
  <c r="E709" i="18"/>
  <c r="E708" i="18"/>
  <c r="E707" i="18"/>
  <c r="E696" i="18"/>
  <c r="E695" i="18"/>
  <c r="E694" i="18"/>
  <c r="E693" i="18"/>
  <c r="E689" i="18"/>
  <c r="E688" i="18"/>
  <c r="E687" i="18"/>
  <c r="E686" i="18"/>
  <c r="E682" i="18"/>
  <c r="E681" i="18"/>
  <c r="E680" i="18"/>
  <c r="E679" i="18"/>
  <c r="E675" i="18"/>
  <c r="E674" i="18"/>
  <c r="E673" i="18"/>
  <c r="E672" i="18"/>
  <c r="E668" i="18"/>
  <c r="E667" i="18"/>
  <c r="E666" i="18"/>
  <c r="E665" i="18"/>
  <c r="E661" i="18"/>
  <c r="E660" i="18"/>
  <c r="E659" i="18"/>
  <c r="E658" i="18"/>
  <c r="E654" i="18"/>
  <c r="E653" i="18"/>
  <c r="E652" i="18"/>
  <c r="E651" i="18"/>
  <c r="E647" i="18"/>
  <c r="E646" i="18"/>
  <c r="E645" i="18"/>
  <c r="E644" i="18"/>
  <c r="E640" i="18"/>
  <c r="E639" i="18"/>
  <c r="E638" i="18"/>
  <c r="E637" i="18"/>
  <c r="E633" i="18"/>
  <c r="E632" i="18"/>
  <c r="E631" i="18"/>
  <c r="E630" i="18"/>
  <c r="E601" i="18"/>
  <c r="E600" i="18"/>
  <c r="E599" i="18"/>
  <c r="E598" i="18"/>
  <c r="E597" i="18"/>
  <c r="E596" i="18"/>
  <c r="E595" i="18"/>
  <c r="E594" i="18"/>
  <c r="E593" i="18"/>
  <c r="E592" i="18"/>
  <c r="E591" i="18"/>
  <c r="E590" i="18"/>
  <c r="E588" i="18"/>
  <c r="E587" i="18"/>
  <c r="E586" i="18"/>
  <c r="E585" i="18"/>
  <c r="E584" i="18"/>
  <c r="E583" i="18"/>
  <c r="E582" i="18"/>
  <c r="E581" i="18"/>
  <c r="E580" i="18"/>
  <c r="E579" i="18"/>
  <c r="E578" i="18"/>
  <c r="E577" i="18"/>
  <c r="E575" i="18"/>
  <c r="E574" i="18"/>
  <c r="E573" i="18"/>
  <c r="E572" i="18"/>
  <c r="E571" i="18"/>
  <c r="E570" i="18"/>
  <c r="E569" i="18"/>
  <c r="E568" i="18"/>
  <c r="E567" i="18"/>
  <c r="E566" i="18"/>
  <c r="E565" i="18"/>
  <c r="E564" i="18"/>
  <c r="E543" i="18"/>
  <c r="E542" i="18"/>
  <c r="E541" i="18"/>
  <c r="E540" i="18"/>
  <c r="E539" i="18"/>
  <c r="E538" i="18"/>
  <c r="E537" i="18"/>
  <c r="E536" i="18"/>
  <c r="E516" i="18"/>
  <c r="E515" i="18"/>
  <c r="E514" i="18"/>
  <c r="E513" i="18"/>
  <c r="E512" i="18"/>
  <c r="E511" i="18"/>
  <c r="E510" i="18"/>
  <c r="E509" i="18"/>
  <c r="E462" i="18"/>
  <c r="E461" i="18"/>
  <c r="E460" i="18"/>
  <c r="E459" i="18"/>
  <c r="E458" i="18"/>
  <c r="E457" i="18"/>
  <c r="E456" i="18"/>
  <c r="E455" i="18"/>
  <c r="E435" i="18"/>
  <c r="E434" i="18"/>
  <c r="E433" i="18"/>
  <c r="E432" i="18"/>
  <c r="E431" i="18"/>
  <c r="E430" i="18"/>
  <c r="E429" i="18"/>
  <c r="E428" i="18"/>
  <c r="E408" i="18"/>
  <c r="E407" i="18"/>
  <c r="E406" i="18"/>
  <c r="E405" i="18"/>
  <c r="E404" i="18"/>
  <c r="E403" i="18"/>
  <c r="E402" i="18"/>
  <c r="E401" i="18"/>
  <c r="E381" i="18"/>
  <c r="E380" i="18"/>
  <c r="E379" i="18"/>
  <c r="E378" i="18"/>
  <c r="E377" i="18"/>
  <c r="E376" i="18"/>
  <c r="E375" i="18"/>
  <c r="E374" i="18"/>
  <c r="E354" i="18"/>
  <c r="E353" i="18"/>
  <c r="E352" i="18"/>
  <c r="E351" i="18"/>
  <c r="E350" i="18"/>
  <c r="E349" i="18"/>
  <c r="E348" i="18"/>
  <c r="E347" i="18"/>
  <c r="E327" i="18"/>
  <c r="E326" i="18"/>
  <c r="E325" i="18"/>
  <c r="E324" i="18"/>
  <c r="E323" i="18"/>
  <c r="E322" i="18"/>
  <c r="E321" i="18"/>
  <c r="E320" i="18"/>
  <c r="E300" i="18"/>
  <c r="E299" i="18"/>
  <c r="E298" i="18"/>
  <c r="E297" i="18"/>
  <c r="E296" i="18"/>
  <c r="E295" i="18"/>
  <c r="E294" i="18"/>
  <c r="E293" i="18"/>
  <c r="E273" i="18"/>
  <c r="E272" i="18"/>
  <c r="E271" i="18"/>
  <c r="E270" i="18"/>
  <c r="E269" i="18"/>
  <c r="E268" i="18"/>
  <c r="E267" i="18"/>
  <c r="E266" i="18"/>
  <c r="E246" i="18"/>
  <c r="E245" i="18"/>
  <c r="E244" i="18"/>
  <c r="E243" i="18"/>
  <c r="E242" i="18"/>
  <c r="E241" i="18"/>
  <c r="E240" i="18"/>
  <c r="E239" i="18"/>
  <c r="E219" i="18"/>
  <c r="E218" i="18"/>
  <c r="E217" i="18"/>
  <c r="E216" i="18"/>
  <c r="E215" i="18"/>
  <c r="E214" i="18"/>
  <c r="E213" i="18"/>
  <c r="E212" i="18"/>
  <c r="E210" i="18"/>
  <c r="E209" i="18"/>
  <c r="E208" i="18"/>
  <c r="E207" i="18"/>
  <c r="E206" i="18"/>
  <c r="E205" i="18"/>
  <c r="E204" i="18"/>
  <c r="E203" i="18"/>
  <c r="E202" i="18"/>
  <c r="E201" i="18"/>
  <c r="E200" i="18"/>
  <c r="E199" i="18"/>
  <c r="E194" i="18"/>
  <c r="E193" i="18"/>
  <c r="E192" i="18"/>
  <c r="E191" i="18"/>
  <c r="E187" i="18"/>
  <c r="E186" i="18"/>
  <c r="E185" i="18"/>
  <c r="E184" i="18"/>
  <c r="E173" i="18"/>
  <c r="E172" i="18"/>
  <c r="E171" i="18"/>
  <c r="E170" i="18"/>
  <c r="E166" i="18"/>
  <c r="E165" i="18"/>
  <c r="E164" i="18"/>
  <c r="E163" i="18"/>
  <c r="E159" i="18"/>
  <c r="E158" i="18"/>
  <c r="E157" i="18"/>
  <c r="E156" i="18"/>
  <c r="E152" i="18"/>
  <c r="E151" i="18"/>
  <c r="E150" i="18"/>
  <c r="E149" i="18"/>
  <c r="E145" i="18"/>
  <c r="E144" i="18"/>
  <c r="E143" i="18"/>
  <c r="E142" i="18"/>
  <c r="E138" i="18"/>
  <c r="E137" i="18"/>
  <c r="E136" i="18"/>
  <c r="E135" i="18"/>
  <c r="E131" i="18"/>
  <c r="E130" i="18"/>
  <c r="E129" i="18"/>
  <c r="E128" i="18"/>
  <c r="E124" i="18"/>
  <c r="E123" i="18"/>
  <c r="E122" i="18"/>
  <c r="E121" i="18"/>
  <c r="E117" i="18"/>
  <c r="E116" i="18"/>
  <c r="E115" i="18"/>
  <c r="E114" i="18"/>
  <c r="E110" i="18"/>
  <c r="E109" i="18"/>
  <c r="E108" i="18"/>
  <c r="E107" i="18"/>
  <c r="E105" i="18"/>
  <c r="E104" i="18"/>
  <c r="E103" i="18"/>
  <c r="E102" i="18"/>
  <c r="E101" i="18"/>
  <c r="E100" i="18"/>
  <c r="E99" i="18"/>
  <c r="E98" i="18"/>
  <c r="E97" i="18"/>
  <c r="E96" i="18"/>
  <c r="E95" i="18"/>
  <c r="E94" i="18"/>
  <c r="E89" i="18"/>
  <c r="E88" i="18"/>
  <c r="E87" i="18"/>
  <c r="E86" i="18"/>
  <c r="E82" i="18"/>
  <c r="E81" i="18"/>
  <c r="E80" i="18"/>
  <c r="E79" i="18"/>
  <c r="E68" i="18"/>
  <c r="E67" i="18"/>
  <c r="E66" i="18"/>
  <c r="E65" i="18"/>
  <c r="E61" i="18"/>
  <c r="E60" i="18"/>
  <c r="E59" i="18"/>
  <c r="E58" i="18"/>
  <c r="E54" i="18"/>
  <c r="E53" i="18"/>
  <c r="E52" i="18"/>
  <c r="E51" i="18"/>
  <c r="E47" i="18"/>
  <c r="E46" i="18"/>
  <c r="E45" i="18"/>
  <c r="E44" i="18"/>
  <c r="E40" i="18"/>
  <c r="E39" i="18"/>
  <c r="E38" i="18"/>
  <c r="E37" i="18"/>
  <c r="E33" i="18"/>
  <c r="E32" i="18"/>
  <c r="E31" i="18"/>
  <c r="E30" i="18"/>
  <c r="E26" i="18"/>
  <c r="E25" i="18"/>
  <c r="E24" i="18"/>
  <c r="E23" i="18"/>
  <c r="E19" i="18"/>
  <c r="E18" i="18"/>
  <c r="E17" i="18"/>
  <c r="E16" i="18"/>
  <c r="E12" i="18"/>
  <c r="E11" i="18"/>
  <c r="E10" i="18"/>
  <c r="E9" i="18"/>
  <c r="E5" i="18"/>
  <c r="E4" i="18"/>
  <c r="E3" i="18"/>
  <c r="E2" i="18"/>
  <c r="Y21" i="21"/>
  <c r="Y20" i="21"/>
  <c r="Y19" i="21"/>
  <c r="Y18" i="21"/>
  <c r="Y17" i="21"/>
  <c r="Y16" i="21"/>
  <c r="Y15" i="21"/>
  <c r="Y14" i="21"/>
  <c r="Y13" i="21"/>
  <c r="Y12" i="21"/>
  <c r="Y11" i="21"/>
  <c r="Y10" i="21"/>
  <c r="Y9" i="21"/>
  <c r="Y8" i="21"/>
  <c r="Y7" i="21"/>
  <c r="Y6" i="21"/>
  <c r="Y5" i="21"/>
  <c r="Y4" i="21"/>
  <c r="A11" i="17"/>
  <c r="B11" i="17" s="1"/>
  <c r="B3" i="20"/>
  <c r="B2" i="20"/>
  <c r="C7" i="20" s="1"/>
  <c r="B1" i="20"/>
  <c r="D39" i="25"/>
  <c r="C39" i="25"/>
  <c r="L1" i="25"/>
  <c r="H1" i="25"/>
  <c r="C1" i="25"/>
  <c r="J23" i="24"/>
  <c r="I23" i="24"/>
  <c r="F23" i="24"/>
  <c r="J22" i="24"/>
  <c r="I22" i="24"/>
  <c r="F22" i="24"/>
  <c r="J18" i="24"/>
  <c r="I18" i="24"/>
  <c r="N15" i="24"/>
  <c r="I1" i="24"/>
  <c r="F1" i="24"/>
  <c r="B1" i="24"/>
  <c r="F43" i="23"/>
  <c r="E43" i="23"/>
  <c r="D43" i="23"/>
  <c r="G42" i="23"/>
  <c r="G41" i="23"/>
  <c r="N40" i="23"/>
  <c r="G40" i="23"/>
  <c r="G39" i="23"/>
  <c r="G38" i="23"/>
  <c r="P32" i="23"/>
  <c r="O32" i="23"/>
  <c r="N32" i="23"/>
  <c r="M32" i="23"/>
  <c r="L32" i="23"/>
  <c r="P31" i="23"/>
  <c r="O31" i="23"/>
  <c r="N31" i="23"/>
  <c r="M31" i="23"/>
  <c r="L31" i="23"/>
  <c r="J31" i="23"/>
  <c r="E28" i="23"/>
  <c r="O22" i="23"/>
  <c r="L19" i="23"/>
  <c r="M17" i="23" a="1"/>
  <c r="M17" i="23" s="1"/>
  <c r="K17" i="23" a="1"/>
  <c r="K17" i="23" s="1"/>
  <c r="J17" i="23" a="1"/>
  <c r="J17" i="23" s="1"/>
  <c r="H17" i="23" a="1"/>
  <c r="H17" i="23" s="1"/>
  <c r="G17" i="23" a="1"/>
  <c r="G17" i="23" s="1"/>
  <c r="F17" i="23" a="1"/>
  <c r="F17" i="23" s="1"/>
  <c r="E17" i="23" a="1"/>
  <c r="E17" i="23" s="1"/>
  <c r="D17" i="23" a="1"/>
  <c r="D17" i="23" s="1"/>
  <c r="M16" i="23" a="1"/>
  <c r="M16" i="23" s="1"/>
  <c r="K16" i="23" a="1"/>
  <c r="K16" i="23" s="1"/>
  <c r="J16" i="23" a="1"/>
  <c r="J16" i="23" s="1"/>
  <c r="H16" i="23" a="1"/>
  <c r="H16" i="23" s="1"/>
  <c r="G16" i="23" a="1"/>
  <c r="G16" i="23" s="1"/>
  <c r="F16" i="23" a="1"/>
  <c r="F16" i="23" s="1"/>
  <c r="E16" i="23" a="1"/>
  <c r="E16" i="23" s="1"/>
  <c r="D16" i="23" a="1"/>
  <c r="D16" i="23" s="1"/>
  <c r="K15" i="23" a="1"/>
  <c r="K15" i="23" s="1"/>
  <c r="J15" i="23" a="1"/>
  <c r="J15" i="23" s="1"/>
  <c r="H15" i="23" a="1"/>
  <c r="H15" i="23" s="1"/>
  <c r="G15" i="23" a="1"/>
  <c r="G15" i="23" s="1"/>
  <c r="F15" i="23" a="1"/>
  <c r="F15" i="23" s="1"/>
  <c r="E15" i="23" a="1"/>
  <c r="E15" i="23" s="1"/>
  <c r="D15" i="23" a="1"/>
  <c r="D15" i="23" s="1"/>
  <c r="K14" i="23" a="1"/>
  <c r="K14" i="23" s="1"/>
  <c r="J14" i="23" a="1"/>
  <c r="J14" i="23" s="1"/>
  <c r="H14" i="23" a="1"/>
  <c r="H14" i="23" s="1"/>
  <c r="G14" i="23" a="1"/>
  <c r="G14" i="23" s="1"/>
  <c r="F14" i="23" a="1"/>
  <c r="F14" i="23" s="1"/>
  <c r="E14" i="23" a="1"/>
  <c r="E14" i="23" s="1"/>
  <c r="D14" i="23" a="1"/>
  <c r="D14" i="23" s="1"/>
  <c r="K13" i="23" a="1"/>
  <c r="K13" i="23" s="1"/>
  <c r="J13" i="23" a="1"/>
  <c r="J13" i="23" s="1"/>
  <c r="H13" i="23" a="1"/>
  <c r="H13" i="23" s="1"/>
  <c r="G13" i="23" a="1"/>
  <c r="G13" i="23" s="1"/>
  <c r="F13" i="23" a="1"/>
  <c r="F13" i="23" s="1"/>
  <c r="E13" i="23" a="1"/>
  <c r="E13" i="23" s="1"/>
  <c r="D13" i="23" a="1"/>
  <c r="D13" i="23" s="1"/>
  <c r="AA12" i="23" a="1"/>
  <c r="AA12" i="23" s="1"/>
  <c r="M12" i="23" s="1" a="1"/>
  <c r="M12" i="23" s="1"/>
  <c r="K12" i="23" a="1"/>
  <c r="K12" i="23" s="1"/>
  <c r="J12" i="23" a="1"/>
  <c r="J12" i="23" s="1"/>
  <c r="I12" i="23" a="1"/>
  <c r="I12" i="23" s="1"/>
  <c r="I19" i="23" s="1"/>
  <c r="H12" i="23" a="1"/>
  <c r="H12" i="23" s="1"/>
  <c r="G12" i="23" a="1"/>
  <c r="G12" i="23" s="1"/>
  <c r="F12" i="23" a="1"/>
  <c r="F12" i="23" s="1"/>
  <c r="E12" i="23" a="1"/>
  <c r="E12" i="23" s="1"/>
  <c r="D12" i="23" a="1"/>
  <c r="D12" i="23" s="1"/>
  <c r="M11" i="23" a="1"/>
  <c r="M11" i="23" s="1"/>
  <c r="K11" i="23" a="1"/>
  <c r="K11" i="23" s="1"/>
  <c r="J11" i="23" a="1"/>
  <c r="J11" i="23" s="1"/>
  <c r="H11" i="23" a="1"/>
  <c r="H11" i="23" s="1"/>
  <c r="G11" i="23" a="1"/>
  <c r="G11" i="23" s="1"/>
  <c r="F11" i="23" a="1"/>
  <c r="F11" i="23" s="1"/>
  <c r="E11" i="23" a="1"/>
  <c r="E11" i="23" s="1"/>
  <c r="D11" i="23" a="1"/>
  <c r="D11" i="23" s="1"/>
  <c r="M10" i="23" a="1"/>
  <c r="M10" i="23" s="1"/>
  <c r="K10" i="23" a="1"/>
  <c r="K10" i="23" s="1"/>
  <c r="J10" i="23" a="1"/>
  <c r="J10" i="23" s="1"/>
  <c r="H10" i="23" a="1"/>
  <c r="H10" i="23" s="1"/>
  <c r="G10" i="23" a="1"/>
  <c r="G10" i="23" s="1"/>
  <c r="F10" i="23" a="1"/>
  <c r="F10" i="23" s="1"/>
  <c r="E10" i="23" a="1"/>
  <c r="E10" i="23" s="1"/>
  <c r="D10" i="23" a="1"/>
  <c r="D10" i="23" s="1"/>
  <c r="L1" i="23"/>
  <c r="H1" i="23"/>
  <c r="B1" i="23"/>
  <c r="K39" i="15"/>
  <c r="D35" i="15" a="1"/>
  <c r="D35" i="15" s="1"/>
  <c r="D34" i="15" a="1"/>
  <c r="D34" i="15" s="1"/>
  <c r="D33" i="15" a="1"/>
  <c r="D33" i="15" s="1"/>
  <c r="K23" i="15"/>
  <c r="AA12" i="15"/>
  <c r="AA11" i="15"/>
  <c r="K1" i="15"/>
  <c r="F1" i="15"/>
  <c r="B1" i="15"/>
  <c r="M42" i="4"/>
  <c r="L42" i="4"/>
  <c r="M40" i="4"/>
  <c r="L40" i="4"/>
  <c r="I40" i="4"/>
  <c r="K39" i="4"/>
  <c r="G39" i="4"/>
  <c r="K38" i="4"/>
  <c r="G38" i="4"/>
  <c r="K37" i="4"/>
  <c r="G37" i="4"/>
  <c r="K36" i="4"/>
  <c r="G36" i="4"/>
  <c r="K35" i="4"/>
  <c r="G35" i="4"/>
  <c r="K34" i="4"/>
  <c r="G34" i="4"/>
  <c r="K33" i="4"/>
  <c r="G33" i="4"/>
  <c r="K32" i="4"/>
  <c r="G32" i="4"/>
  <c r="K31" i="4"/>
  <c r="G31" i="4"/>
  <c r="K30" i="4"/>
  <c r="G30" i="4"/>
  <c r="K29" i="4"/>
  <c r="G29" i="4"/>
  <c r="K28" i="4"/>
  <c r="J40" i="4"/>
  <c r="G23" i="24" s="1"/>
  <c r="G28" i="4"/>
  <c r="Z25" i="4" a="1"/>
  <c r="Z25" i="4" s="1"/>
  <c r="Q25" i="4" a="1"/>
  <c r="Q25" i="4" s="1"/>
  <c r="K25" i="4" a="1"/>
  <c r="K25" i="4" s="1"/>
  <c r="H25" i="4" a="1"/>
  <c r="H25" i="4" s="1"/>
  <c r="M23" i="4"/>
  <c r="L23" i="4"/>
  <c r="I23" i="4"/>
  <c r="I42" i="4" s="1"/>
  <c r="B22" i="24"/>
  <c r="K22" i="4"/>
  <c r="H22" i="4"/>
  <c r="G22" i="4"/>
  <c r="K21" i="4"/>
  <c r="H21" i="4"/>
  <c r="G21" i="4"/>
  <c r="K20" i="4"/>
  <c r="H20" i="4"/>
  <c r="G20" i="4"/>
  <c r="K19" i="4"/>
  <c r="H19" i="4"/>
  <c r="G19" i="4"/>
  <c r="K18" i="4"/>
  <c r="H18" i="4"/>
  <c r="G18" i="4"/>
  <c r="K17" i="4"/>
  <c r="H17" i="4"/>
  <c r="G17" i="4"/>
  <c r="K16" i="4"/>
  <c r="H16" i="4"/>
  <c r="G16" i="4"/>
  <c r="K15" i="4"/>
  <c r="H15" i="4"/>
  <c r="G15" i="4"/>
  <c r="K14" i="4"/>
  <c r="H14" i="4"/>
  <c r="G14" i="4"/>
  <c r="K13" i="4"/>
  <c r="H13" i="4"/>
  <c r="G13" i="4"/>
  <c r="K12" i="4"/>
  <c r="H12" i="4"/>
  <c r="G12" i="4"/>
  <c r="K11" i="4"/>
  <c r="H11" i="4"/>
  <c r="G11" i="4"/>
  <c r="K10" i="4"/>
  <c r="H10" i="4"/>
  <c r="G10" i="4"/>
  <c r="K9" i="4"/>
  <c r="H9" i="4"/>
  <c r="G9" i="4"/>
  <c r="AC8" i="4"/>
  <c r="K8" i="4"/>
  <c r="H8" i="4"/>
  <c r="G8" i="4"/>
  <c r="AC7" i="4"/>
  <c r="K7" i="4"/>
  <c r="H7" i="4"/>
  <c r="G7" i="4"/>
  <c r="AC6" i="4"/>
  <c r="K6" i="4"/>
  <c r="H6" i="4"/>
  <c r="G6" i="4"/>
  <c r="N1" i="4"/>
  <c r="H1" i="4"/>
  <c r="B1" i="4"/>
  <c r="T23" i="5"/>
  <c r="D19" i="5"/>
  <c r="AA11" i="5"/>
  <c r="Q11" i="5"/>
  <c r="P11" i="5"/>
  <c r="O11" i="5"/>
  <c r="N11" i="5"/>
  <c r="M11" i="5"/>
  <c r="L11" i="5"/>
  <c r="K11" i="5"/>
  <c r="J11" i="5"/>
  <c r="I11" i="5"/>
  <c r="H11" i="5"/>
  <c r="G11" i="5"/>
  <c r="F11" i="5"/>
  <c r="E11" i="5"/>
  <c r="R10" i="5"/>
  <c r="AA9" i="5"/>
  <c r="R9" i="5"/>
  <c r="AA8" i="5"/>
  <c r="R8" i="5"/>
  <c r="V1" i="5"/>
  <c r="L1" i="5"/>
  <c r="D1" i="5"/>
  <c r="G39" i="6"/>
  <c r="G41" i="6" s="1"/>
  <c r="F29" i="6"/>
  <c r="G20" i="6"/>
  <c r="G11" i="6"/>
  <c r="F11" i="6"/>
  <c r="AA9" i="6"/>
  <c r="AA8" i="6"/>
  <c r="AA7" i="6"/>
  <c r="U1" i="6"/>
  <c r="L1" i="6"/>
  <c r="C1" i="6"/>
  <c r="M47" i="14"/>
  <c r="L47" i="14"/>
  <c r="K47" i="14"/>
  <c r="J47" i="14"/>
  <c r="I47" i="14"/>
  <c r="M43" i="14"/>
  <c r="L43" i="14"/>
  <c r="K43" i="14"/>
  <c r="J43" i="14"/>
  <c r="I43" i="14"/>
  <c r="M42" i="14"/>
  <c r="L42" i="14"/>
  <c r="K42" i="14"/>
  <c r="J42" i="14"/>
  <c r="I42" i="14"/>
  <c r="M41" i="14"/>
  <c r="L41" i="14"/>
  <c r="K41" i="14"/>
  <c r="J41" i="14"/>
  <c r="I41" i="14"/>
  <c r="M40" i="14"/>
  <c r="L40" i="14"/>
  <c r="K40" i="14"/>
  <c r="J40" i="14"/>
  <c r="I40" i="14"/>
  <c r="M39" i="14"/>
  <c r="L39" i="14"/>
  <c r="K39" i="14"/>
  <c r="J39" i="14"/>
  <c r="I39" i="14"/>
  <c r="M38" i="14"/>
  <c r="L38" i="14"/>
  <c r="K38" i="14"/>
  <c r="J38" i="14"/>
  <c r="I38" i="14"/>
  <c r="M37" i="14"/>
  <c r="L37" i="14"/>
  <c r="K37" i="14"/>
  <c r="J37" i="14"/>
  <c r="I37" i="14"/>
  <c r="M35" i="14"/>
  <c r="L35" i="14"/>
  <c r="K35" i="14"/>
  <c r="J35" i="14"/>
  <c r="I35" i="14"/>
  <c r="H31" i="14"/>
  <c r="H30" i="14"/>
  <c r="M25" i="14"/>
  <c r="L25" i="14"/>
  <c r="K25" i="14"/>
  <c r="J25" i="14"/>
  <c r="I25" i="14"/>
  <c r="M21" i="14"/>
  <c r="L21" i="14"/>
  <c r="K21" i="14"/>
  <c r="J21" i="14"/>
  <c r="I21" i="14"/>
  <c r="M20" i="14"/>
  <c r="L20" i="14"/>
  <c r="K20" i="14"/>
  <c r="J20" i="14"/>
  <c r="I20" i="14"/>
  <c r="M19" i="14"/>
  <c r="L19" i="14"/>
  <c r="K19" i="14"/>
  <c r="J19" i="14"/>
  <c r="I19" i="14"/>
  <c r="M18" i="14"/>
  <c r="L18" i="14"/>
  <c r="K18" i="14"/>
  <c r="J18" i="14"/>
  <c r="I18" i="14"/>
  <c r="M17" i="14"/>
  <c r="L17" i="14"/>
  <c r="K17" i="14"/>
  <c r="J17" i="14"/>
  <c r="I17" i="14"/>
  <c r="M16" i="14"/>
  <c r="L16" i="14"/>
  <c r="K16" i="14"/>
  <c r="J16" i="14"/>
  <c r="I16" i="14"/>
  <c r="M15" i="14"/>
  <c r="L15" i="14"/>
  <c r="K15" i="14"/>
  <c r="J15" i="14"/>
  <c r="I15" i="14"/>
  <c r="M13" i="14"/>
  <c r="L13" i="14"/>
  <c r="K13" i="14"/>
  <c r="J13" i="14"/>
  <c r="I13" i="14"/>
  <c r="H9" i="14"/>
  <c r="H8" i="14"/>
  <c r="P1" i="14"/>
  <c r="K1" i="14"/>
  <c r="D1" i="14"/>
  <c r="G29" i="12"/>
  <c r="F17" i="12"/>
  <c r="G11" i="12"/>
  <c r="F11" i="12"/>
  <c r="I10" i="12"/>
  <c r="I9" i="12"/>
  <c r="I8" i="12"/>
  <c r="AA7" i="12"/>
  <c r="I7" i="12"/>
  <c r="M1" i="12"/>
  <c r="H1" i="12"/>
  <c r="C1" i="12"/>
  <c r="F27" i="22"/>
  <c r="F26" i="22"/>
  <c r="G18" i="22"/>
  <c r="H43" i="7" s="1"/>
  <c r="AA18" i="22"/>
  <c r="H12" i="22"/>
  <c r="G12" i="22"/>
  <c r="F12" i="22"/>
  <c r="H11" i="22"/>
  <c r="K11" i="22" s="1"/>
  <c r="I10" i="22"/>
  <c r="H10" i="22"/>
  <c r="G10" i="22"/>
  <c r="F10" i="22"/>
  <c r="I9" i="22"/>
  <c r="H9" i="22"/>
  <c r="G9" i="22"/>
  <c r="F9" i="22"/>
  <c r="I8" i="22"/>
  <c r="H8" i="22"/>
  <c r="G8" i="22"/>
  <c r="F8" i="22"/>
  <c r="J1" i="22"/>
  <c r="G1" i="22"/>
  <c r="D1" i="22"/>
  <c r="J44" i="7"/>
  <c r="G16" i="24"/>
  <c r="H41" i="7"/>
  <c r="G41" i="7"/>
  <c r="F41" i="7"/>
  <c r="E41" i="7"/>
  <c r="D41" i="7"/>
  <c r="G15" i="24"/>
  <c r="H40" i="7"/>
  <c r="G40" i="7"/>
  <c r="F40" i="7"/>
  <c r="E40" i="7"/>
  <c r="D40" i="7"/>
  <c r="G14" i="24"/>
  <c r="H39" i="7"/>
  <c r="G39" i="7"/>
  <c r="F39" i="7"/>
  <c r="E39" i="7"/>
  <c r="D39" i="7"/>
  <c r="G13" i="24"/>
  <c r="H38" i="7"/>
  <c r="G38" i="7"/>
  <c r="F38" i="7"/>
  <c r="E38" i="7"/>
  <c r="D38" i="7"/>
  <c r="H36" i="7"/>
  <c r="G36" i="7"/>
  <c r="F36" i="7"/>
  <c r="E36" i="7"/>
  <c r="D36" i="7"/>
  <c r="H35" i="7"/>
  <c r="G35" i="7"/>
  <c r="F35" i="7"/>
  <c r="E35" i="7"/>
  <c r="D35" i="7"/>
  <c r="H34" i="7"/>
  <c r="G34" i="7"/>
  <c r="F34" i="7"/>
  <c r="E34" i="7"/>
  <c r="D34" i="7"/>
  <c r="H33" i="7"/>
  <c r="G33" i="7"/>
  <c r="F33" i="7"/>
  <c r="E33" i="7"/>
  <c r="D33" i="7"/>
  <c r="H32" i="7"/>
  <c r="G32" i="7"/>
  <c r="F32" i="7"/>
  <c r="E32" i="7"/>
  <c r="D32" i="7"/>
  <c r="H31" i="7"/>
  <c r="G31" i="7"/>
  <c r="F31" i="7"/>
  <c r="E31" i="7"/>
  <c r="D31" i="7"/>
  <c r="H30" i="7"/>
  <c r="G30" i="7"/>
  <c r="F30" i="7"/>
  <c r="E30" i="7"/>
  <c r="D30" i="7"/>
  <c r="H29" i="7"/>
  <c r="G29" i="7"/>
  <c r="F29" i="7"/>
  <c r="E29" i="7"/>
  <c r="D29" i="7"/>
  <c r="H28" i="7"/>
  <c r="G28" i="7"/>
  <c r="F28" i="7"/>
  <c r="E28" i="7"/>
  <c r="D28" i="7"/>
  <c r="H27" i="7"/>
  <c r="G27" i="7"/>
  <c r="F27" i="7"/>
  <c r="E27" i="7"/>
  <c r="D27" i="7"/>
  <c r="K37" i="7"/>
  <c r="H25" i="7"/>
  <c r="G25" i="7"/>
  <c r="F25" i="7"/>
  <c r="E25" i="7"/>
  <c r="D25" i="7"/>
  <c r="H22" i="7"/>
  <c r="G22" i="7"/>
  <c r="F22" i="7"/>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H13" i="7"/>
  <c r="G13" i="7"/>
  <c r="F13" i="7"/>
  <c r="E13" i="7"/>
  <c r="D13" i="7"/>
  <c r="H12" i="7"/>
  <c r="G12" i="7"/>
  <c r="F12" i="7"/>
  <c r="E12" i="7"/>
  <c r="D12" i="7"/>
  <c r="H11" i="7"/>
  <c r="G11" i="7"/>
  <c r="F11" i="7"/>
  <c r="E11" i="7"/>
  <c r="D11" i="7"/>
  <c r="H10" i="7"/>
  <c r="G10" i="7"/>
  <c r="F10" i="7"/>
  <c r="E10" i="7"/>
  <c r="D10" i="7"/>
  <c r="K23" i="7"/>
  <c r="H9" i="7"/>
  <c r="G9" i="7"/>
  <c r="F9" i="7"/>
  <c r="E9" i="7"/>
  <c r="D9" i="7"/>
  <c r="H7" i="7"/>
  <c r="G7" i="7"/>
  <c r="F7" i="7"/>
  <c r="E7" i="7"/>
  <c r="D7" i="7"/>
  <c r="L1" i="7"/>
  <c r="G1" i="7"/>
  <c r="B1" i="7"/>
  <c r="H40" i="8"/>
  <c r="H41" i="8" s="1"/>
  <c r="H39" i="8"/>
  <c r="H38" i="8"/>
  <c r="H37" i="8"/>
  <c r="H36" i="8"/>
  <c r="H35" i="8"/>
  <c r="H32" i="8"/>
  <c r="H33" i="8" s="1"/>
  <c r="H31" i="8"/>
  <c r="H30" i="8"/>
  <c r="H29" i="8"/>
  <c r="H28" i="8"/>
  <c r="H25" i="8"/>
  <c r="H26" i="8" s="1"/>
  <c r="H24" i="8"/>
  <c r="H23" i="8"/>
  <c r="H20" i="8"/>
  <c r="H21" i="8" s="1"/>
  <c r="H17" i="8"/>
  <c r="H15" i="8"/>
  <c r="H14" i="8"/>
  <c r="H13" i="8"/>
  <c r="H12" i="8"/>
  <c r="H11" i="8"/>
  <c r="J10" i="8"/>
  <c r="H9" i="8"/>
  <c r="H8" i="8"/>
  <c r="H7" i="8"/>
  <c r="H6" i="8"/>
  <c r="H5" i="8"/>
  <c r="M1" i="8"/>
  <c r="H1" i="8"/>
  <c r="C1" i="8"/>
  <c r="AC11" i="4" l="1"/>
  <c r="G43" i="23"/>
  <c r="H45" i="23" s="1"/>
  <c r="AA12" i="5"/>
  <c r="R11" i="5"/>
  <c r="I11" i="12"/>
  <c r="G18" i="23" a="1"/>
  <c r="G18" i="23" s="1"/>
  <c r="G19" i="23" s="1"/>
  <c r="E481" i="18"/>
  <c r="F21" i="15" s="1"/>
  <c r="H43" i="8"/>
  <c r="AA13" i="15"/>
  <c r="AA14" i="15" s="1"/>
  <c r="D18" i="23" a="1"/>
  <c r="D18" i="23" s="1"/>
  <c r="D19" i="23" s="1"/>
  <c r="E1449" i="18"/>
  <c r="F18" i="23" a="1"/>
  <c r="F18" i="23" s="1"/>
  <c r="F19" i="23" s="1"/>
  <c r="AA10" i="6"/>
  <c r="D19" i="24"/>
  <c r="F18" i="12"/>
  <c r="E636" i="18"/>
  <c r="G11" i="15" s="1"/>
  <c r="E692" i="18"/>
  <c r="G19" i="15" s="1"/>
  <c r="E1014" i="18"/>
  <c r="H21" i="15" s="1"/>
  <c r="E64" i="18"/>
  <c r="D19" i="15" s="1"/>
  <c r="E1109" i="18"/>
  <c r="H10" i="8"/>
  <c r="L10" i="8" s="1"/>
  <c r="F42" i="4"/>
  <c r="H19" i="24"/>
  <c r="F19" i="12"/>
  <c r="H32" i="14"/>
  <c r="H48" i="14" s="1"/>
  <c r="I37" i="7"/>
  <c r="H11" i="12"/>
  <c r="G19" i="24" s="1"/>
  <c r="N22" i="14"/>
  <c r="N26" i="14" s="1"/>
  <c r="G20" i="24" s="1"/>
  <c r="N44" i="14"/>
  <c r="N48" i="14" s="1"/>
  <c r="G21" i="24" s="1"/>
  <c r="F20" i="6"/>
  <c r="I23" i="7"/>
  <c r="G11" i="24" s="1"/>
  <c r="J23" i="4"/>
  <c r="G22" i="24" s="1"/>
  <c r="S23" i="5"/>
  <c r="F28" i="22"/>
  <c r="N33" i="4"/>
  <c r="E643" i="18"/>
  <c r="G13" i="15" s="1"/>
  <c r="E671" i="18"/>
  <c r="N38" i="4"/>
  <c r="N39" i="4"/>
  <c r="N7" i="4"/>
  <c r="N22" i="4"/>
  <c r="N28" i="4"/>
  <c r="N34" i="4"/>
  <c r="N36" i="4"/>
  <c r="N6" i="4"/>
  <c r="H23" i="7"/>
  <c r="J14" i="7"/>
  <c r="L14" i="7" s="1"/>
  <c r="G23" i="7"/>
  <c r="J21" i="7"/>
  <c r="H37" i="7"/>
  <c r="J31" i="7"/>
  <c r="L31" i="7" s="1"/>
  <c r="H23" i="4"/>
  <c r="E22" i="24" s="1"/>
  <c r="N21" i="4"/>
  <c r="K40" i="4"/>
  <c r="H23" i="24" s="1"/>
  <c r="E454" i="18"/>
  <c r="F19" i="15" s="1"/>
  <c r="E1489" i="18"/>
  <c r="E1504" i="18"/>
  <c r="J36" i="7"/>
  <c r="L36" i="7" s="1"/>
  <c r="F13" i="22"/>
  <c r="D43" i="7" s="1"/>
  <c r="H10" i="14"/>
  <c r="H26" i="14" s="1"/>
  <c r="N13" i="4"/>
  <c r="N18" i="4"/>
  <c r="N9" i="4"/>
  <c r="G25" i="4"/>
  <c r="N25" i="4" s="1"/>
  <c r="G40" i="4"/>
  <c r="D23" i="24" s="1"/>
  <c r="N31" i="4"/>
  <c r="N35" i="4"/>
  <c r="E162" i="18"/>
  <c r="E18" i="15" s="1"/>
  <c r="E176" i="18"/>
  <c r="E21" i="15" s="1"/>
  <c r="N8" i="4"/>
  <c r="E15" i="18"/>
  <c r="D13" i="15" s="1"/>
  <c r="E120" i="18"/>
  <c r="E13" i="15" s="1"/>
  <c r="N11" i="4"/>
  <c r="N17" i="4"/>
  <c r="E155" i="18"/>
  <c r="H13" i="22"/>
  <c r="F43" i="7" s="1"/>
  <c r="N14" i="4"/>
  <c r="N19" i="4"/>
  <c r="E113" i="18"/>
  <c r="E11" i="15" s="1"/>
  <c r="G23" i="4"/>
  <c r="D22" i="24" s="1"/>
  <c r="K23" i="4"/>
  <c r="H22" i="24" s="1"/>
  <c r="E1158" i="18"/>
  <c r="O17" i="14"/>
  <c r="K10" i="22"/>
  <c r="K12" i="22"/>
  <c r="E1056" i="18"/>
  <c r="E1082" i="18"/>
  <c r="E1144" i="18"/>
  <c r="I16" i="15" s="1"/>
  <c r="E197" i="18"/>
  <c r="E26" i="15" s="1"/>
  <c r="E657" i="18"/>
  <c r="G15" i="15" s="1"/>
  <c r="E979" i="18"/>
  <c r="H16" i="15" s="1"/>
  <c r="E1123" i="18"/>
  <c r="I13" i="15" s="1"/>
  <c r="E1151" i="18"/>
  <c r="E1165" i="18"/>
  <c r="I18" i="15" s="1"/>
  <c r="E1179" i="18"/>
  <c r="I21" i="15" s="1"/>
  <c r="E720" i="18"/>
  <c r="G26" i="15" s="1"/>
  <c r="E965" i="18"/>
  <c r="H14" i="15" s="1"/>
  <c r="E1137" i="18"/>
  <c r="I15" i="15" s="1"/>
  <c r="E1454" i="18"/>
  <c r="E1484" i="18"/>
  <c r="E1523" i="18"/>
  <c r="J11" i="7"/>
  <c r="L11" i="7" s="1"/>
  <c r="J35" i="7"/>
  <c r="L35" i="7" s="1"/>
  <c r="O43" i="14"/>
  <c r="E29" i="18"/>
  <c r="D15" i="15" s="1"/>
  <c r="E71" i="18"/>
  <c r="D21" i="15" s="1"/>
  <c r="E92" i="18"/>
  <c r="D26" i="15" s="1"/>
  <c r="E190" i="18"/>
  <c r="E22" i="15" s="1"/>
  <c r="E238" i="18"/>
  <c r="F11" i="15" s="1"/>
  <c r="E1028" i="18"/>
  <c r="H22" i="15" s="1"/>
  <c r="E1302" i="18"/>
  <c r="O37" i="14"/>
  <c r="E713" i="18"/>
  <c r="G22" i="15" s="1"/>
  <c r="E972" i="18"/>
  <c r="H15" i="15" s="1"/>
  <c r="E986" i="18"/>
  <c r="E1000" i="18"/>
  <c r="H18" i="15" s="1"/>
  <c r="E1200" i="18"/>
  <c r="I26" i="15" s="1"/>
  <c r="E1313" i="18"/>
  <c r="E1368" i="18"/>
  <c r="E1469" i="18"/>
  <c r="G13" i="22"/>
  <c r="E43" i="7" s="1"/>
  <c r="I13" i="22"/>
  <c r="G43" i="7" s="1"/>
  <c r="O41" i="14"/>
  <c r="E8" i="18"/>
  <c r="D11" i="15" s="1"/>
  <c r="E22" i="18"/>
  <c r="D14" i="15" s="1"/>
  <c r="E678" i="18"/>
  <c r="E958" i="18"/>
  <c r="H13" i="15" s="1"/>
  <c r="E1291" i="18"/>
  <c r="E1464" i="18"/>
  <c r="K22" i="14"/>
  <c r="K26" i="14" s="1"/>
  <c r="F45" i="7" s="1"/>
  <c r="J44" i="14"/>
  <c r="J48" i="14" s="1"/>
  <c r="E46" i="7" s="1"/>
  <c r="E1193" i="18"/>
  <c r="I22" i="15" s="1"/>
  <c r="E1258" i="18"/>
  <c r="J7" i="7"/>
  <c r="L6" i="7" s="1"/>
  <c r="J15" i="7"/>
  <c r="L15" i="7" s="1"/>
  <c r="G37" i="7"/>
  <c r="J33" i="7"/>
  <c r="L33" i="7" s="1"/>
  <c r="O13" i="14"/>
  <c r="O19" i="14"/>
  <c r="J22" i="7"/>
  <c r="J32" i="7"/>
  <c r="L32" i="7" s="1"/>
  <c r="J22" i="14"/>
  <c r="J26" i="14" s="1"/>
  <c r="E45" i="7" s="1"/>
  <c r="O18" i="14"/>
  <c r="O25" i="14"/>
  <c r="O35" i="14"/>
  <c r="E43" i="18"/>
  <c r="E134" i="18"/>
  <c r="E15" i="15" s="1"/>
  <c r="E1007" i="18"/>
  <c r="H19" i="15" s="1"/>
  <c r="E1061" i="18"/>
  <c r="E1116" i="18"/>
  <c r="I11" i="15" s="1"/>
  <c r="E1214" i="18"/>
  <c r="I24" i="15" s="1"/>
  <c r="E1533" i="18"/>
  <c r="J13" i="7"/>
  <c r="J20" i="7"/>
  <c r="L20" i="7" s="1"/>
  <c r="J29" i="7"/>
  <c r="L29" i="7" s="1"/>
  <c r="J30" i="7"/>
  <c r="L30" i="7" s="1"/>
  <c r="J41" i="7"/>
  <c r="H16" i="24" s="1"/>
  <c r="L22" i="14"/>
  <c r="L26" i="14" s="1"/>
  <c r="G45" i="7" s="1"/>
  <c r="O21" i="14"/>
  <c r="K44" i="14"/>
  <c r="K48" i="14" s="1"/>
  <c r="F46" i="7" s="1"/>
  <c r="O40" i="14"/>
  <c r="O47" i="14"/>
  <c r="N13" i="23"/>
  <c r="N17" i="23"/>
  <c r="E36" i="18"/>
  <c r="D16" i="15" s="1"/>
  <c r="E50" i="18"/>
  <c r="E127" i="18"/>
  <c r="E14" i="15" s="1"/>
  <c r="E141" i="18"/>
  <c r="E16" i="15" s="1"/>
  <c r="E292" i="18"/>
  <c r="F14" i="15" s="1"/>
  <c r="E346" i="18"/>
  <c r="F16" i="15" s="1"/>
  <c r="E400" i="18"/>
  <c r="E427" i="18"/>
  <c r="F18" i="15" s="1"/>
  <c r="E576" i="18"/>
  <c r="E664" i="18"/>
  <c r="G16" i="15" s="1"/>
  <c r="E734" i="18"/>
  <c r="G24" i="15" s="1"/>
  <c r="E993" i="18"/>
  <c r="E1172" i="18"/>
  <c r="I19" i="15" s="1"/>
  <c r="E1499" i="18"/>
  <c r="J12" i="7"/>
  <c r="L12" i="7" s="1"/>
  <c r="J19" i="7"/>
  <c r="L19" i="7" s="1"/>
  <c r="J40" i="7"/>
  <c r="H15" i="24" s="1"/>
  <c r="M22" i="14"/>
  <c r="M26" i="14" s="1"/>
  <c r="H45" i="7" s="1"/>
  <c r="O20" i="14"/>
  <c r="L44" i="14"/>
  <c r="L48" i="14" s="1"/>
  <c r="G46" i="7" s="1"/>
  <c r="O39" i="14"/>
  <c r="N11" i="23"/>
  <c r="N15" i="23"/>
  <c r="E265" i="18"/>
  <c r="F13" i="15" s="1"/>
  <c r="E373" i="18"/>
  <c r="E535" i="18"/>
  <c r="F22" i="15" s="1"/>
  <c r="E602" i="18"/>
  <c r="E1247" i="18"/>
  <c r="E1357" i="18"/>
  <c r="D37" i="7"/>
  <c r="J28" i="7"/>
  <c r="L28" i="7" s="1"/>
  <c r="J39" i="7"/>
  <c r="H14" i="24" s="1"/>
  <c r="O16" i="14"/>
  <c r="M44" i="14"/>
  <c r="M48" i="14" s="1"/>
  <c r="H46" i="7" s="1"/>
  <c r="E85" i="18"/>
  <c r="D22" i="15" s="1"/>
  <c r="E106" i="18"/>
  <c r="D24" i="15" s="1"/>
  <c r="E169" i="18"/>
  <c r="E19" i="15" s="1"/>
  <c r="E211" i="18"/>
  <c r="E24" i="15" s="1"/>
  <c r="E1049" i="18"/>
  <c r="H24" i="15" s="1"/>
  <c r="E1459" i="18"/>
  <c r="E1479" i="18"/>
  <c r="E1518" i="18"/>
  <c r="J17" i="7"/>
  <c r="L17" i="7" s="1"/>
  <c r="J10" i="7"/>
  <c r="L10" i="7" s="1"/>
  <c r="J27" i="7"/>
  <c r="L26" i="7" s="1"/>
  <c r="J38" i="7"/>
  <c r="H13" i="24" s="1"/>
  <c r="O42" i="14"/>
  <c r="N12" i="23"/>
  <c r="E685" i="18"/>
  <c r="G18" i="15" s="1"/>
  <c r="E699" i="18"/>
  <c r="G21" i="15" s="1"/>
  <c r="E1035" i="18"/>
  <c r="H26" i="15" s="1"/>
  <c r="E1236" i="18"/>
  <c r="E1346" i="18"/>
  <c r="E1494" i="18"/>
  <c r="E1528" i="18"/>
  <c r="E1539" i="18"/>
  <c r="J18" i="7"/>
  <c r="L18" i="7" s="1"/>
  <c r="E23" i="7"/>
  <c r="J9" i="7"/>
  <c r="L8" i="7" s="1"/>
  <c r="J16" i="7"/>
  <c r="L16" i="7" s="1"/>
  <c r="J34" i="7"/>
  <c r="L34" i="7" s="1"/>
  <c r="O14" i="14"/>
  <c r="O38" i="14"/>
  <c r="N14" i="23"/>
  <c r="E57" i="18"/>
  <c r="D18" i="15" s="1"/>
  <c r="E148" i="18"/>
  <c r="E319" i="18"/>
  <c r="F15" i="15" s="1"/>
  <c r="E589" i="18"/>
  <c r="E951" i="18"/>
  <c r="H11" i="15" s="1"/>
  <c r="E1130" i="18"/>
  <c r="I14" i="15" s="1"/>
  <c r="E1280" i="18"/>
  <c r="E1388" i="18"/>
  <c r="E1474" i="18"/>
  <c r="F37" i="7"/>
  <c r="N16" i="23"/>
  <c r="E562" i="18"/>
  <c r="F26" i="15" s="1"/>
  <c r="E650" i="18"/>
  <c r="G14" i="15" s="1"/>
  <c r="E1225" i="18"/>
  <c r="E1269" i="18"/>
  <c r="E1335" i="18"/>
  <c r="D36" i="15" s="1"/>
  <c r="F23" i="7"/>
  <c r="K9" i="22"/>
  <c r="I22" i="14"/>
  <c r="I26" i="14" s="1"/>
  <c r="D45" i="7" s="1"/>
  <c r="I44" i="14"/>
  <c r="I48" i="14" s="1"/>
  <c r="D46" i="7" s="1"/>
  <c r="N12" i="4"/>
  <c r="N30" i="4"/>
  <c r="N37" i="4"/>
  <c r="D23" i="7"/>
  <c r="J25" i="7"/>
  <c r="E37" i="7"/>
  <c r="K8" i="22"/>
  <c r="N15" i="4"/>
  <c r="N32" i="4"/>
  <c r="AA20" i="8"/>
  <c r="N10" i="23"/>
  <c r="N10" i="4"/>
  <c r="N20" i="4"/>
  <c r="N29" i="4"/>
  <c r="L44" i="7"/>
  <c r="N16" i="4"/>
  <c r="J13" i="22"/>
  <c r="G18" i="24" s="1"/>
  <c r="K42" i="7"/>
  <c r="E23" i="4"/>
  <c r="T31" i="6"/>
  <c r="T32" i="6" s="1"/>
  <c r="E40" i="4"/>
  <c r="B23" i="24" s="1"/>
  <c r="C9" i="25" s="1"/>
  <c r="H18" i="23" a="1"/>
  <c r="H18" i="23" s="1"/>
  <c r="H19" i="23" s="1"/>
  <c r="J18" i="23" a="1"/>
  <c r="J18" i="23" s="1"/>
  <c r="J19" i="23" s="1"/>
  <c r="E18" i="23" a="1"/>
  <c r="E18" i="23" s="1"/>
  <c r="E19" i="23" s="1"/>
  <c r="K18" i="23" a="1"/>
  <c r="K18" i="23" s="1"/>
  <c r="K19" i="23" s="1"/>
  <c r="M18" i="23" a="1"/>
  <c r="M18" i="23" s="1"/>
  <c r="M19" i="23" s="1"/>
  <c r="I17" i="15" l="1"/>
  <c r="I23" i="15" s="1"/>
  <c r="E17" i="15"/>
  <c r="E23" i="15" s="1"/>
  <c r="E48" i="15"/>
  <c r="E50" i="15"/>
  <c r="F20" i="12"/>
  <c r="K19" i="24"/>
  <c r="I42" i="7"/>
  <c r="I48" i="7" s="1"/>
  <c r="L21" i="7"/>
  <c r="H42" i="7"/>
  <c r="G42" i="4"/>
  <c r="J14" i="15"/>
  <c r="G17" i="15"/>
  <c r="G23" i="15" s="1"/>
  <c r="H42" i="4"/>
  <c r="K42" i="4"/>
  <c r="J47" i="7" s="1"/>
  <c r="L47" i="7" s="1"/>
  <c r="K23" i="24"/>
  <c r="J26" i="15"/>
  <c r="K22" i="24"/>
  <c r="J15" i="15"/>
  <c r="F17" i="15"/>
  <c r="F23" i="15" s="1"/>
  <c r="H17" i="15"/>
  <c r="N23" i="4"/>
  <c r="J19" i="15"/>
  <c r="L41" i="7"/>
  <c r="L40" i="7"/>
  <c r="J16" i="15"/>
  <c r="D21" i="24"/>
  <c r="D18" i="24"/>
  <c r="F29" i="22"/>
  <c r="E1534" i="18"/>
  <c r="J24" i="15"/>
  <c r="G42" i="7"/>
  <c r="D20" i="24"/>
  <c r="G12" i="24"/>
  <c r="N40" i="4"/>
  <c r="J42" i="4"/>
  <c r="J45" i="7"/>
  <c r="L45" i="7" s="1"/>
  <c r="J37" i="7"/>
  <c r="H12" i="24" s="1"/>
  <c r="F42" i="7"/>
  <c r="J21" i="15"/>
  <c r="O22" i="14"/>
  <c r="O26" i="14" s="1"/>
  <c r="H20" i="24" s="1"/>
  <c r="J22" i="15"/>
  <c r="J18" i="15"/>
  <c r="L39" i="7"/>
  <c r="J43" i="7"/>
  <c r="E1036" i="18"/>
  <c r="H25" i="15" s="1"/>
  <c r="E42" i="7"/>
  <c r="D42" i="7"/>
  <c r="K13" i="22"/>
  <c r="F30" i="22" s="1"/>
  <c r="J13" i="15"/>
  <c r="E629" i="18"/>
  <c r="F24" i="15" s="1"/>
  <c r="E1369" i="18"/>
  <c r="J46" i="7"/>
  <c r="L46" i="7" s="1"/>
  <c r="J23" i="7"/>
  <c r="L23" i="7" s="1"/>
  <c r="D17" i="15"/>
  <c r="D23" i="15" s="1"/>
  <c r="L13" i="7"/>
  <c r="O44" i="14"/>
  <c r="O48" i="14" s="1"/>
  <c r="P48" i="14" s="1"/>
  <c r="E721" i="18"/>
  <c r="G25" i="15" s="1"/>
  <c r="L24" i="7"/>
  <c r="E1505" i="18"/>
  <c r="E198" i="18"/>
  <c r="E25" i="15" s="1"/>
  <c r="L38" i="7"/>
  <c r="E93" i="18"/>
  <c r="D25" i="15" s="1"/>
  <c r="E1201" i="18"/>
  <c r="I25" i="15" s="1"/>
  <c r="E563" i="18"/>
  <c r="N19" i="23"/>
  <c r="F45" i="23" s="1"/>
  <c r="F46" i="23" s="1"/>
  <c r="J11" i="15"/>
  <c r="N18" i="23"/>
  <c r="E42" i="4"/>
  <c r="K48" i="7"/>
  <c r="J17" i="15" l="1"/>
  <c r="J23" i="15" s="1"/>
  <c r="N42" i="4"/>
  <c r="H23" i="15"/>
  <c r="L37" i="7"/>
  <c r="D17" i="24"/>
  <c r="K17" i="24" s="1"/>
  <c r="P26" i="14"/>
  <c r="F31" i="22"/>
  <c r="K20" i="24"/>
  <c r="O30" i="23"/>
  <c r="H18" i="24"/>
  <c r="K18" i="24" s="1"/>
  <c r="F25" i="15"/>
  <c r="N30" i="23"/>
  <c r="H11" i="24"/>
  <c r="Q34" i="2"/>
  <c r="L43" i="7"/>
  <c r="J25" i="15"/>
  <c r="J42" i="7"/>
  <c r="L42" i="7" s="1"/>
  <c r="H21" i="24"/>
  <c r="K21" i="24" s="1"/>
  <c r="M30" i="23"/>
  <c r="L30" i="23"/>
  <c r="P30" i="23"/>
  <c r="Q33" i="2" l="1"/>
  <c r="C11" i="25"/>
  <c r="C21" i="25" s="1"/>
  <c r="J48" i="7"/>
  <c r="A16" i="17" s="1"/>
  <c r="B16" i="17" s="1"/>
  <c r="A4" i="17" l="1"/>
  <c r="B4" i="17" s="1"/>
  <c r="M12" i="22"/>
  <c r="B14" i="2" s="1"/>
  <c r="A13" i="17"/>
  <c r="B13" i="17" s="1"/>
  <c r="A14" i="17"/>
  <c r="B14" i="17" s="1"/>
  <c r="A15" i="17"/>
  <c r="B15" i="17" s="1"/>
  <c r="A12" i="17"/>
  <c r="B12" i="17" s="1"/>
  <c r="N10" i="7"/>
  <c r="B12" i="2" s="1"/>
  <c r="A10" i="17"/>
  <c r="B10" i="17" s="1"/>
  <c r="A7" i="17"/>
  <c r="B7" i="17" s="1"/>
  <c r="N9" i="7"/>
  <c r="B10" i="2" s="1"/>
  <c r="K11" i="12"/>
  <c r="K10" i="12"/>
  <c r="B18" i="2" s="1"/>
  <c r="H33" i="6"/>
  <c r="B16" i="2" s="1"/>
  <c r="A5" i="17"/>
  <c r="B5" i="17" s="1"/>
  <c r="L48" i="7"/>
  <c r="A8" i="17"/>
  <c r="B8" i="17" s="1"/>
  <c r="A6" i="17"/>
  <c r="B6" i="17" s="1"/>
  <c r="A3" i="17"/>
  <c r="B3" i="17" s="1"/>
  <c r="A9" i="17"/>
  <c r="B9" i="17" s="1"/>
  <c r="A1" i="17" l="1"/>
  <c r="L2" i="2"/>
  <c r="L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<sst xmlns="http://schemas.openxmlformats.org/spreadsheetml/2006/main" count="4864" uniqueCount="1576">
  <si>
    <t>Charter school</t>
  </si>
  <si>
    <t>County</t>
  </si>
  <si>
    <t>CTDS number</t>
  </si>
  <si>
    <t>File origination date:</t>
  </si>
  <si>
    <t>Charter name</t>
  </si>
  <si>
    <t>d.b.a. (as applicable)</t>
  </si>
  <si>
    <t>State of Arizona</t>
  </si>
  <si>
    <t>Charter School Annual Financial Report</t>
  </si>
  <si>
    <t>Education's website on</t>
  </si>
  <si>
    <t xml:space="preserve">contain(s) the data for the annual financial report </t>
  </si>
  <si>
    <t>described at left.</t>
  </si>
  <si>
    <t>Charter school official signature</t>
  </si>
  <si>
    <t>Email</t>
  </si>
  <si>
    <t>Charter school official (typed name)</t>
  </si>
  <si>
    <t>Total expenses by project</t>
  </si>
  <si>
    <t>1. Schoolwide and Other Special Projects (from page 2, line 33)</t>
  </si>
  <si>
    <t>$</t>
  </si>
  <si>
    <t>Signed</t>
  </si>
  <si>
    <t>Title</t>
  </si>
  <si>
    <t>2. Classroom Site Project (from page 2, line 34)</t>
  </si>
  <si>
    <t xml:space="preserve"> </t>
  </si>
  <si>
    <t>Revenue</t>
  </si>
  <si>
    <t>1000 Local sources</t>
  </si>
  <si>
    <t>Actual</t>
  </si>
  <si>
    <t>1.</t>
  </si>
  <si>
    <t xml:space="preserve">    1310  Tuition from individuals</t>
  </si>
  <si>
    <t>2.</t>
  </si>
  <si>
    <t xml:space="preserve">    1320  Tuition from other Arizona schools or districts</t>
  </si>
  <si>
    <t>3.</t>
  </si>
  <si>
    <t xml:space="preserve">    1410  Transportation fees from individuals</t>
  </si>
  <si>
    <t>1600 Food service revenues (from accounting data)</t>
  </si>
  <si>
    <t>4.</t>
  </si>
  <si>
    <t xml:space="preserve">    1420  Transportation fees from other Arizona schools or districts</t>
  </si>
  <si>
    <t>5.</t>
  </si>
  <si>
    <t xml:space="preserve">    1500  Earnings on investments</t>
  </si>
  <si>
    <t>6.</t>
  </si>
  <si>
    <t>7.</t>
  </si>
  <si>
    <t xml:space="preserve">    1700  School activities </t>
  </si>
  <si>
    <t>8.</t>
  </si>
  <si>
    <t xml:space="preserve">    1750  Revenue from enterprise activities</t>
  </si>
  <si>
    <t>9.</t>
  </si>
  <si>
    <t xml:space="preserve">    1790  Extracurricular activities fees tax credit</t>
  </si>
  <si>
    <t>10.</t>
  </si>
  <si>
    <t xml:space="preserve">    1800  Revenue from community services activities</t>
  </si>
  <si>
    <t>11.</t>
  </si>
  <si>
    <t>12.</t>
  </si>
  <si>
    <t xml:space="preserve">    1920  Contributions and donations from private sources</t>
  </si>
  <si>
    <t>13.</t>
  </si>
  <si>
    <t xml:space="preserve">    Other revenue from local sources (specify)</t>
  </si>
  <si>
    <t>14.</t>
  </si>
  <si>
    <t>2000 Intermediate sources</t>
  </si>
  <si>
    <t>15.</t>
  </si>
  <si>
    <t xml:space="preserve">    2100  Unrestricted</t>
  </si>
  <si>
    <t>16.</t>
  </si>
  <si>
    <t xml:space="preserve">    2200  Restricted</t>
  </si>
  <si>
    <t>17.</t>
  </si>
  <si>
    <t xml:space="preserve">    Other revenue from intermediate sources (specify)</t>
  </si>
  <si>
    <t>18.</t>
  </si>
  <si>
    <t>3000 State sources</t>
  </si>
  <si>
    <t>19.</t>
  </si>
  <si>
    <t xml:space="preserve">    3110  State Equalization Assistance</t>
  </si>
  <si>
    <t>20.</t>
  </si>
  <si>
    <t xml:space="preserve">    3130-3150  Other unrestricted</t>
  </si>
  <si>
    <t>21.</t>
  </si>
  <si>
    <t xml:space="preserve">    3200  Restricted</t>
  </si>
  <si>
    <t>22.</t>
  </si>
  <si>
    <t xml:space="preserve">    3900  Revenue for/on behalf of the school</t>
  </si>
  <si>
    <t>23.</t>
  </si>
  <si>
    <t xml:space="preserve">    Other revenue from State sources (specify)</t>
  </si>
  <si>
    <t>24.</t>
  </si>
  <si>
    <t>4000 Federal sources</t>
  </si>
  <si>
    <t>25.</t>
  </si>
  <si>
    <t xml:space="preserve">    4100, 4300  Unrestricted/restricted received directly from the federal government</t>
  </si>
  <si>
    <t>26.</t>
  </si>
  <si>
    <t xml:space="preserve">    4200, 4500  Unrestricted/restricted received from the federal government through the State</t>
  </si>
  <si>
    <t>27.</t>
  </si>
  <si>
    <t xml:space="preserve">    4700 Revenue received from the federal government through other intermediate agencies</t>
  </si>
  <si>
    <t>28.</t>
  </si>
  <si>
    <t xml:space="preserve">    4800 Federal impact aid</t>
  </si>
  <si>
    <t>29.</t>
  </si>
  <si>
    <t xml:space="preserve">    4900 Revenue for/on behalf of the school</t>
  </si>
  <si>
    <t>30.</t>
  </si>
  <si>
    <t xml:space="preserve">    Other revenue from federal sources (specify)</t>
  </si>
  <si>
    <t>31.</t>
  </si>
  <si>
    <t>32.</t>
  </si>
  <si>
    <t>Employee</t>
  </si>
  <si>
    <t>Purchased</t>
  </si>
  <si>
    <t>Totals</t>
  </si>
  <si>
    <t>% Increase/ decrease in actual</t>
  </si>
  <si>
    <t>Expenses</t>
  </si>
  <si>
    <t>Salaries</t>
  </si>
  <si>
    <t>benefits</t>
  </si>
  <si>
    <t>services</t>
  </si>
  <si>
    <t>Supplies</t>
  </si>
  <si>
    <t>Other</t>
  </si>
  <si>
    <t>Prior year</t>
  </si>
  <si>
    <t>1000 Schoolwide Project and 1500-1999 Other Special Projects</t>
  </si>
  <si>
    <t>6300, 6400, 6500</t>
  </si>
  <si>
    <t>Budget</t>
  </si>
  <si>
    <t>actual</t>
  </si>
  <si>
    <t>100 Regular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</si>
  <si>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</si>
  <si>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</si>
  <si>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</si>
  <si>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</si>
  <si>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</si>
  <si>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</si>
  <si>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</si>
  <si>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</si>
  <si>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</si>
  <si>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</si>
  <si>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t>
  </si>
  <si>
    <t xml:space="preserve">    5000 Debt service</t>
  </si>
  <si>
    <t>610 School-sponsored cocurricular activities</t>
  </si>
  <si>
    <t>620 School-sponsored athletics</t>
  </si>
  <si>
    <t>630 Other instructional programs</t>
  </si>
  <si>
    <t>700, 800, 900 Other programs</t>
  </si>
  <si>
    <t xml:space="preserve">    Subtotal (lines 1-15)</t>
  </si>
  <si>
    <t>200 Special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</si>
  <si>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</si>
  <si>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</si>
  <si>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</si>
  <si>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</si>
  <si>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</si>
  <si>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</si>
  <si>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</si>
  <si>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</si>
  <si>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</si>
  <si>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</si>
  <si>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 </t>
  </si>
  <si>
    <t xml:space="preserve">     5000 Debt service</t>
  </si>
  <si>
    <t xml:space="preserve">     Subtotal (lines 17-27)</t>
  </si>
  <si>
    <t>400 Pupil transportation</t>
  </si>
  <si>
    <t>530 Dropout prevention programs</t>
  </si>
  <si>
    <t>540 Joint career &amp; technical ed. &amp; vocational ed. center</t>
  </si>
  <si>
    <t>550 K-3 Reading</t>
  </si>
  <si>
    <t xml:space="preserve">     Subtotal (lines 16 and 28-32)</t>
  </si>
  <si>
    <t>33.</t>
  </si>
  <si>
    <t>34.</t>
  </si>
  <si>
    <t xml:space="preserve">Instructional Improvement Project </t>
  </si>
  <si>
    <t>35.</t>
  </si>
  <si>
    <t>English Language Learner Project (from page 5, line 14)</t>
  </si>
  <si>
    <t>36.</t>
  </si>
  <si>
    <t>Compensatory Instruction Project (from page 5, line 28 )</t>
  </si>
  <si>
    <t>37.</t>
  </si>
  <si>
    <t>38.</t>
  </si>
  <si>
    <t xml:space="preserve">     Total (lines 33-38)</t>
  </si>
  <si>
    <t>39.</t>
  </si>
  <si>
    <t xml:space="preserve">  County</t>
  </si>
  <si>
    <t xml:space="preserve">Employee </t>
  </si>
  <si>
    <t xml:space="preserve">Purchased </t>
  </si>
  <si>
    <t>Classroom Site Project 1010</t>
  </si>
  <si>
    <t>1000 Instructions</t>
  </si>
  <si>
    <t>2100 Support services—students</t>
  </si>
  <si>
    <t>2200 Support services—instructions</t>
  </si>
  <si>
    <t>2300 Support services—general administration</t>
  </si>
  <si>
    <t>3300 Community services operation</t>
  </si>
  <si>
    <t>Total Classroom Site Project (lines 1-5)</t>
  </si>
  <si>
    <t>Classroom Site Project 1010 property payments</t>
  </si>
  <si>
    <t>Property disbursements</t>
  </si>
  <si>
    <t>Interest 6850</t>
  </si>
  <si>
    <t>Redemption of principal</t>
  </si>
  <si>
    <t>Classroom Site Project</t>
  </si>
  <si>
    <t>Additional Classroom Site Project information</t>
  </si>
  <si>
    <t>Beginning project balance</t>
  </si>
  <si>
    <t>Revenues</t>
  </si>
  <si>
    <t>Interest earned</t>
  </si>
  <si>
    <t>Support</t>
  </si>
  <si>
    <t>Instruction</t>
  </si>
  <si>
    <t>Instructional Improvement Project 1020</t>
  </si>
  <si>
    <t>Teacher compensation increases</t>
  </si>
  <si>
    <t>Class size reduction</t>
  </si>
  <si>
    <t>Dropout prevention programs</t>
  </si>
  <si>
    <t>Instructional improvement programs</t>
  </si>
  <si>
    <t>Total Inst. Imp. expenses (lines 1-4, should equal line 9 below)</t>
  </si>
  <si>
    <t>Additional Instructional Improvement Project information</t>
  </si>
  <si>
    <t>Expenses (line 5 above)</t>
  </si>
  <si>
    <t>Arizona Industry Credentials Incentive Project—detailed expenses</t>
  </si>
  <si>
    <t>Teacher instructional costs and professional development</t>
  </si>
  <si>
    <t>Student cost of certification, credentialing or licensure</t>
  </si>
  <si>
    <t>Developmental costs</t>
  </si>
  <si>
    <t>Instructional hardware, software or supplies</t>
  </si>
  <si>
    <t>Career exploration</t>
  </si>
  <si>
    <t>Total Arizona Industry Credentials Incentives expenses</t>
  </si>
  <si>
    <t>Beginning</t>
  </si>
  <si>
    <t xml:space="preserve">Employee  </t>
  </si>
  <si>
    <t>Total  expenses</t>
  </si>
  <si>
    <t>Ending</t>
  </si>
  <si>
    <t>Revenues and expenses</t>
  </si>
  <si>
    <t>project</t>
  </si>
  <si>
    <t>balance</t>
  </si>
  <si>
    <t>revenues</t>
  </si>
  <si>
    <t>English Language Learner Project—1071</t>
  </si>
  <si>
    <t>3200 Restricted revenue from State sources</t>
  </si>
  <si>
    <t>1500 Earnings on investments</t>
  </si>
  <si>
    <t>Total revenues (lines 1 and 2)</t>
  </si>
  <si>
    <t>260 Special education—ELL incremental costs</t>
  </si>
  <si>
    <t>1000 Instruction</t>
  </si>
  <si>
    <t>2000 Support services</t>
  </si>
  <si>
    <t>2100 Students</t>
  </si>
  <si>
    <t>2200 Instruction</t>
  </si>
  <si>
    <t>2300 General administration</t>
  </si>
  <si>
    <t>2400 School administration</t>
  </si>
  <si>
    <t>2500 Central services</t>
  </si>
  <si>
    <t xml:space="preserve">2600 Operation &amp; maintenance of plant </t>
  </si>
  <si>
    <t>2900 Other support services</t>
  </si>
  <si>
    <t>Program 260 subtotal (lines 4-11)</t>
  </si>
  <si>
    <t>430 Pupil transportation—ELL incremental costs</t>
  </si>
  <si>
    <t>2700 Student transportation</t>
  </si>
  <si>
    <t>Total (lines 12 and 13)</t>
  </si>
  <si>
    <t>Compensatory Instruction Project—1072</t>
  </si>
  <si>
    <t>Total revenues (lines 15 and 16)</t>
  </si>
  <si>
    <t>265 Special education—ELL compensatory instruction</t>
  </si>
  <si>
    <t>Program 265 subtotal (lines 18-25)</t>
  </si>
  <si>
    <t>435 Pupil Trans.—ELL compensatory instruction</t>
  </si>
  <si>
    <t>Total (lines 26 and 27)</t>
  </si>
  <si>
    <t>Supplementary information</t>
  </si>
  <si>
    <t>A.</t>
  </si>
  <si>
    <t>Cash balance</t>
  </si>
  <si>
    <t>F.</t>
  </si>
  <si>
    <t>Number of full-time equivalent certified teachers</t>
  </si>
  <si>
    <t>Number of full-time equivalent noncertified teachers</t>
  </si>
  <si>
    <t>B.</t>
  </si>
  <si>
    <t>Audit services</t>
  </si>
  <si>
    <t>Number of full-time equivalent contract teachers</t>
  </si>
  <si>
    <t>1.  Nonfederal</t>
  </si>
  <si>
    <t>Number of schools</t>
  </si>
  <si>
    <t>2.  Federal</t>
  </si>
  <si>
    <t>Actual days in session</t>
  </si>
  <si>
    <t>3.     Total (lines 1 and 2)</t>
  </si>
  <si>
    <t>Tuition expense (except payments to other Arizona schools or districts)</t>
  </si>
  <si>
    <t>Tuition expense (paid to other Arizona schools or districts)</t>
  </si>
  <si>
    <t>C.</t>
  </si>
  <si>
    <t>Capital acquisitions</t>
  </si>
  <si>
    <t>Textbooks (function 1000, object code 6642)</t>
  </si>
  <si>
    <t>1.  0181  Intangible assets</t>
  </si>
  <si>
    <t>2.  0191  Land and land improvements</t>
  </si>
  <si>
    <t>3.  0192  Site improvements</t>
  </si>
  <si>
    <t>Certified</t>
  </si>
  <si>
    <t>Noncertified</t>
  </si>
  <si>
    <t>Contract</t>
  </si>
  <si>
    <t>4.  0194  Buildings and building improvements</t>
  </si>
  <si>
    <t>G.</t>
  </si>
  <si>
    <t>Teacher salaries</t>
  </si>
  <si>
    <t>teachers</t>
  </si>
  <si>
    <t>substitutes</t>
  </si>
  <si>
    <t>5.  0196  Equipment</t>
  </si>
  <si>
    <t xml:space="preserve"> (function 1000)</t>
  </si>
  <si>
    <t>(object 6112)</t>
  </si>
  <si>
    <t>(object 6152)</t>
  </si>
  <si>
    <t>(object 6113)</t>
  </si>
  <si>
    <t>(object 6153)</t>
  </si>
  <si>
    <t>(object 6325)</t>
  </si>
  <si>
    <t>6.  0198  Construction in progress</t>
  </si>
  <si>
    <t xml:space="preserve">Regular education </t>
  </si>
  <si>
    <t>7.     Total capital acquisitions (lines 1-6)</t>
  </si>
  <si>
    <t>Special education</t>
  </si>
  <si>
    <t xml:space="preserve">Vocational education </t>
  </si>
  <si>
    <t>D.</t>
  </si>
  <si>
    <t>Other programs</t>
  </si>
  <si>
    <t>Cocurr. act., athletics, &amp; other (program 600)</t>
  </si>
  <si>
    <t xml:space="preserve">H. </t>
  </si>
  <si>
    <t>Average teacher salary (A.R.S. §15-189.05, as added by Laws 2018, Ch. 285, §3)</t>
  </si>
  <si>
    <t>7.     Total (lines 1-6)</t>
  </si>
  <si>
    <t>E.</t>
  </si>
  <si>
    <t>Current expenses by category</t>
  </si>
  <si>
    <t>1.  Classroom instruction excluding classroom supplies (function 1000,</t>
  </si>
  <si>
    <t>Percentage increase</t>
  </si>
  <si>
    <t xml:space="preserve">     except line 2 amount)</t>
  </si>
  <si>
    <t>2.  Classroom supplies (function 1000, object code 6600)</t>
  </si>
  <si>
    <t>3.  Administration (functions 2300, 2400, 2500, and 2900)</t>
  </si>
  <si>
    <t>Comments on average salary calculation (optional):</t>
  </si>
  <si>
    <t>4.  Support services—students (function 2100)</t>
  </si>
  <si>
    <t>5.  All other support services and operations (functions 2200, 2600,</t>
  </si>
  <si>
    <t xml:space="preserve">    2700, 3100, and 3400)</t>
  </si>
  <si>
    <t>6.     Total (lines 1-5)</t>
  </si>
  <si>
    <t>7. Current expenses from federal sources</t>
  </si>
  <si>
    <t>8. Current expenses from State and local sources</t>
  </si>
  <si>
    <t>Supplementary information (Cont’d)</t>
  </si>
  <si>
    <t>A. Enrollment of gifted pupils by grade</t>
  </si>
  <si>
    <t>Grade</t>
  </si>
  <si>
    <t>Areas of identification</t>
  </si>
  <si>
    <t>K</t>
  </si>
  <si>
    <t>Total</t>
  </si>
  <si>
    <t xml:space="preserve"> 1. Quantitative reasoning</t>
  </si>
  <si>
    <t xml:space="preserve"> 2. Verbal reasoning</t>
  </si>
  <si>
    <t xml:space="preserve"> 3. Nonverbal reasoning</t>
  </si>
  <si>
    <t xml:space="preserve"> 4. Total duplicated enrollment</t>
  </si>
  <si>
    <t xml:space="preserve">        (lines 1-3)</t>
  </si>
  <si>
    <t>B. Expenses for gifted pupils</t>
  </si>
  <si>
    <t>(elementary &amp; secondary)</t>
  </si>
  <si>
    <t>C. Special education programs by type</t>
  </si>
  <si>
    <t>Program 200 budget</t>
  </si>
  <si>
    <t>Program 200 actual</t>
  </si>
  <si>
    <t>Actual expenses for all gifted programs:</t>
  </si>
  <si>
    <t>Total all disability classifications</t>
  </si>
  <si>
    <t>K-8</t>
  </si>
  <si>
    <t>Gifted education</t>
  </si>
  <si>
    <t>9-12</t>
  </si>
  <si>
    <t>ELL incremental costs</t>
  </si>
  <si>
    <t xml:space="preserve">   Total</t>
  </si>
  <si>
    <t>ELL compensatory instruction</t>
  </si>
  <si>
    <t>Remedial education</t>
  </si>
  <si>
    <t>Vocational and technical education</t>
  </si>
  <si>
    <t>Career education</t>
  </si>
  <si>
    <t>Total (lines 1-7)</t>
  </si>
  <si>
    <t>Expenses incurred for transporting students with disabilities (as defined in A.R.S. §15-761) unique to the IEP</t>
  </si>
  <si>
    <t>Federal and State projects</t>
  </si>
  <si>
    <t>Adjusted</t>
  </si>
  <si>
    <t>Indirect</t>
  </si>
  <si>
    <t>Redemption</t>
  </si>
  <si>
    <t>Capital</t>
  </si>
  <si>
    <t>costs</t>
  </si>
  <si>
    <t>Reversions</t>
  </si>
  <si>
    <t xml:space="preserve">of </t>
  </si>
  <si>
    <t>acquisitions</t>
  </si>
  <si>
    <t>Federal projects</t>
  </si>
  <si>
    <t>principal</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</si>
  <si>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</si>
  <si>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</si>
  <si>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</si>
  <si>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</si>
  <si>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</si>
  <si>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</si>
  <si>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</si>
  <si>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1220 IDEA, Part B, including ARP—IDEA Grants</t>
  </si>
  <si>
    <t>1230 Johnson-O'Malley</t>
  </si>
  <si>
    <t>1240 Workforce Investment Act</t>
  </si>
  <si>
    <t>1250 AEA—Adult Education</t>
  </si>
  <si>
    <t>1260-1270 Vocational Education—Basic Grants</t>
  </si>
  <si>
    <t>1280 ESEA Title X—Homeless Education</t>
  </si>
  <si>
    <t>1290 Medicaid Reimbursement</t>
  </si>
  <si>
    <t>1300 Charter School Implementation Project (Stimulus)</t>
  </si>
  <si>
    <t>13__ Impact Aid</t>
  </si>
  <si>
    <t>1310-1399 Other Federal Projects</t>
  </si>
  <si>
    <t xml:space="preserve">     Total federal projects (lines 1-17)</t>
  </si>
  <si>
    <t>Total COVID-19 federal relief projects included above</t>
  </si>
  <si>
    <t>State projects</t>
  </si>
  <si>
    <t>1400 Vocational Education</t>
  </si>
  <si>
    <t>1410 Early Childhood Block Grant</t>
  </si>
  <si>
    <t>1420 Extended School Year—Pupils with Disabilities</t>
  </si>
  <si>
    <t>1425 Adult Basic Education</t>
  </si>
  <si>
    <t>1430 Chemical Abuse Prevention Programs</t>
  </si>
  <si>
    <t>1435 Academic Contests</t>
  </si>
  <si>
    <t>1450 Gifted Education</t>
  </si>
  <si>
    <t>1456 College Credit Exam Incentives</t>
  </si>
  <si>
    <t>1460 Environmental Special Plate</t>
  </si>
  <si>
    <t>1465 Charter School Stimulus Fund</t>
  </si>
  <si>
    <t>14_ Arizona Industry Credentials Incentive</t>
  </si>
  <si>
    <t>1470-1499 Other State Projects</t>
  </si>
  <si>
    <t>Additional information for National Public Education Financial Survey Reporting</t>
  </si>
  <si>
    <t>Programs 100-630</t>
  </si>
  <si>
    <t>Dues and</t>
  </si>
  <si>
    <t>6800</t>
  </si>
  <si>
    <t>6300, 6400,</t>
  </si>
  <si>
    <t>fees</t>
  </si>
  <si>
    <t>Miscellaneous</t>
  </si>
  <si>
    <t xml:space="preserve">(excluding 6810,   </t>
  </si>
  <si>
    <t>Property</t>
  </si>
  <si>
    <t>Projects (1000-1999)</t>
  </si>
  <si>
    <t>6850 and 6890)</t>
  </si>
  <si>
    <t>disbursements</t>
  </si>
  <si>
    <t xml:space="preserve">      2100 Students</t>
  </si>
  <si>
    <t xml:space="preserve">      2200 Instruction</t>
  </si>
  <si>
    <t xml:space="preserve">      2300 General administration</t>
  </si>
  <si>
    <t xml:space="preserve">      2400 School administration</t>
  </si>
  <si>
    <t xml:space="preserve">      2500, 2900 Central services, other support services </t>
  </si>
  <si>
    <t xml:space="preserve">      2600 Operation &amp; maintenance of plant</t>
  </si>
  <si>
    <t xml:space="preserve">      2700 Student transportation</t>
  </si>
  <si>
    <t>3000 Operation of noninstructional services</t>
  </si>
  <si>
    <t xml:space="preserve">      3100 Food service operations</t>
  </si>
  <si>
    <t xml:space="preserve">      3400 Bookstore operations</t>
  </si>
  <si>
    <t>Total (lines 1-10)</t>
  </si>
  <si>
    <t>From federal sources (from line 11 above)</t>
  </si>
  <si>
    <t>From State &amp; local sources (from line 11 above)</t>
  </si>
  <si>
    <t>4000 Facilities acquisition &amp; construction</t>
  </si>
  <si>
    <t>All expense</t>
  </si>
  <si>
    <t>object codes</t>
  </si>
  <si>
    <t xml:space="preserve">     1. Sinking funds</t>
  </si>
  <si>
    <t>(excluding</t>
  </si>
  <si>
    <t xml:space="preserve">Property </t>
  </si>
  <si>
    <t xml:space="preserve">     2. Bond funds</t>
  </si>
  <si>
    <t>6700 and 6900)</t>
  </si>
  <si>
    <t xml:space="preserve">     3. Other funds, except for any employee retirement funds</t>
  </si>
  <si>
    <t>1. Program 700—Adult/continuing education programs</t>
  </si>
  <si>
    <t>2. Program 800—Community college education programs</t>
  </si>
  <si>
    <t>3. Program 900—Community services program</t>
  </si>
  <si>
    <t>Long-term and short-term debt</t>
  </si>
  <si>
    <t>4. Function 3300—Community services operations (programs 700-900)</t>
  </si>
  <si>
    <t>Property disbursements by type</t>
  </si>
  <si>
    <t>All programs</t>
  </si>
  <si>
    <t xml:space="preserve">     1. Intangible assets</t>
  </si>
  <si>
    <t xml:space="preserve">     2. Land and land improvements</t>
  </si>
  <si>
    <t xml:space="preserve">     3. Buildings</t>
  </si>
  <si>
    <t xml:space="preserve">     4. Equipment</t>
  </si>
  <si>
    <t xml:space="preserve">     5. Construction</t>
  </si>
  <si>
    <t>Utilities and energy detail (only function 2600)</t>
  </si>
  <si>
    <t xml:space="preserve">     1. 6410 Utility services</t>
  </si>
  <si>
    <t>Debt service</t>
  </si>
  <si>
    <t xml:space="preserve">     2. 6621-6626 Energy</t>
  </si>
  <si>
    <t xml:space="preserve">     1. 6850 Interest</t>
  </si>
  <si>
    <t xml:space="preserve">     2. Redemption of principal</t>
  </si>
  <si>
    <t xml:space="preserve">     3. 6800 Other (function 5000, excluding 6850)</t>
  </si>
  <si>
    <t>Technology (all functions)</t>
  </si>
  <si>
    <t xml:space="preserve">     1. 6330 Technical services</t>
  </si>
  <si>
    <t xml:space="preserve">Revenue from selected federal sources </t>
  </si>
  <si>
    <t xml:space="preserve">     2. 6432 Technology-related repairs and maintenance </t>
  </si>
  <si>
    <t xml:space="preserve">     1. ESEA Title IV—Student Support and Academic Enrichment Grants</t>
  </si>
  <si>
    <t xml:space="preserve">     3. 6441 Rental of computers and related equipment</t>
  </si>
  <si>
    <t xml:space="preserve">     2. ESEA Title IV—21st Century Community Learning Centers</t>
  </si>
  <si>
    <t xml:space="preserve">     4. 6531 Telecommunications</t>
  </si>
  <si>
    <t xml:space="preserve">     3. ESEA Title V—Rural Education-Rural and Low-Income School Program</t>
  </si>
  <si>
    <t xml:space="preserve">     5. 6650 Technology-related supplies </t>
  </si>
  <si>
    <t xml:space="preserve">     4. ESEA Title V—Rural Education-Small, Rural School Achievement Program</t>
  </si>
  <si>
    <t xml:space="preserve">     6. Technology-related hardware and software</t>
  </si>
  <si>
    <t>Support services-instruction detail</t>
  </si>
  <si>
    <t>Additional information for National Public Education Financial Survey (NPEFS) reporting of COVID-19 federal relief projects</t>
  </si>
  <si>
    <t>Programs 700-900</t>
  </si>
  <si>
    <t xml:space="preserve">Judgements </t>
  </si>
  <si>
    <t>All</t>
  </si>
  <si>
    <t>Current expenses from COVID-19 federal relief projects</t>
  </si>
  <si>
    <t>against the school</t>
  </si>
  <si>
    <t xml:space="preserve">(excluding 6810, </t>
  </si>
  <si>
    <t>Object Codes</t>
  </si>
  <si>
    <t>6820, 6850, and 6890)</t>
  </si>
  <si>
    <t>(excluding 6900)</t>
  </si>
  <si>
    <t>2100, 2200  Student Support Services</t>
  </si>
  <si>
    <t>2300, 2500, 2900 Other Support Services</t>
  </si>
  <si>
    <t>2600 Operation &amp; maintenance of plant</t>
  </si>
  <si>
    <t>3100 Food service operations</t>
  </si>
  <si>
    <t>3400 Bookstore operations</t>
  </si>
  <si>
    <t>Total (lines 1-9)</t>
  </si>
  <si>
    <t>Technology related expenses from COVID-19 federal relief projects</t>
  </si>
  <si>
    <t>Total spending detail</t>
  </si>
  <si>
    <t>Classroom spending detail</t>
  </si>
  <si>
    <t>Property disbursement detail for COVID-19 federal relief projects</t>
  </si>
  <si>
    <t>Indirect costs from COVID-19 federal relief projects</t>
  </si>
  <si>
    <t>1. 6330 Technical services</t>
  </si>
  <si>
    <t>1. Intangible assets</t>
  </si>
  <si>
    <t>1. 6900 Indirect costs</t>
  </si>
  <si>
    <t xml:space="preserve">2. 6432 Technology-related repairs and maintenance </t>
  </si>
  <si>
    <t>2. Land and land improvements</t>
  </si>
  <si>
    <t>3. 6441 Rental of computers and related equipment</t>
  </si>
  <si>
    <t>3. Buildings</t>
  </si>
  <si>
    <t>Property disbursements from COVID-19 federal relief projects</t>
  </si>
  <si>
    <t>4. 6531 Telecommunications</t>
  </si>
  <si>
    <t>4. Equipment</t>
  </si>
  <si>
    <t>1. Program 700 Adult/continuing education programs</t>
  </si>
  <si>
    <t>5. 6650 Technology-related supplies &amp; purchased services (less than $5,000)</t>
  </si>
  <si>
    <t>5. Construction</t>
  </si>
  <si>
    <t>2. Program 800 Community college education programs</t>
  </si>
  <si>
    <t>6. Technology-related hardware &amp; software ($5,000 or more)</t>
  </si>
  <si>
    <t>3. Program 900 Community services program</t>
  </si>
  <si>
    <t xml:space="preserve">7. 6641-43 Software reported in library books, textbooks, or instructional aids </t>
  </si>
  <si>
    <t>Debt service detail for COVID-19 federal relief projects</t>
  </si>
  <si>
    <t>1. 6850 Interest</t>
  </si>
  <si>
    <t>2. Redemption of principal</t>
  </si>
  <si>
    <t/>
  </si>
  <si>
    <t>COVID-19 federal relief projects</t>
  </si>
  <si>
    <t>Total Award
(all fiscal years)</t>
  </si>
  <si>
    <t>Amount
remaining to
spend</t>
  </si>
  <si>
    <t>Paycheck Protection Program</t>
  </si>
  <si>
    <t>1. Total loan amount received</t>
  </si>
  <si>
    <t>1. Elementary and Secondary School Emergency Relief Funds (ESSER I)</t>
  </si>
  <si>
    <t>2. Total PPP loans spent in all fiscal years</t>
  </si>
  <si>
    <t>2. Elementary and Secondary School Emergency Relief Funds (ESSER II)</t>
  </si>
  <si>
    <t xml:space="preserve">3. Total loan amount approved for forgiveness </t>
  </si>
  <si>
    <t>3. Elementary and Secondary School Emergency Relief Funds (ESSER III)</t>
  </si>
  <si>
    <t>4. Total amounts returned to Small Business Administration</t>
  </si>
  <si>
    <t>4. Governor’s Emergency Education Relief Funds (GEER) - includes Acceleration Academies Program</t>
  </si>
  <si>
    <t>5. Total loan amount remaining (line 1 minus lines 2 and 4, final amount should equal 0)</t>
  </si>
  <si>
    <t>5. Coronavirus Relief Fund (CRF)—Enrollment Stability Grant (ESG) Program</t>
  </si>
  <si>
    <t>6. Other COVID-19 federal relief projects</t>
  </si>
  <si>
    <t>7. Total</t>
  </si>
  <si>
    <t>Avg. Daily Membership</t>
  </si>
  <si>
    <t>Attending</t>
  </si>
  <si>
    <t xml:space="preserve">                                            Annual Financial Report Summary</t>
  </si>
  <si>
    <t xml:space="preserve">Adjusted </t>
  </si>
  <si>
    <t xml:space="preserve">Revenues </t>
  </si>
  <si>
    <t>Budgeted Expenses</t>
  </si>
  <si>
    <t>Actual Expenses</t>
  </si>
  <si>
    <t xml:space="preserve">Redemption of </t>
  </si>
  <si>
    <t>Project/Program</t>
  </si>
  <si>
    <t>Project Balance</t>
  </si>
  <si>
    <t>Indirect costs</t>
  </si>
  <si>
    <t xml:space="preserve">principal </t>
  </si>
  <si>
    <t>Additional reserve information</t>
  </si>
  <si>
    <t>Regular Education</t>
  </si>
  <si>
    <t>Special Education</t>
  </si>
  <si>
    <t>Pupil Transportation</t>
  </si>
  <si>
    <t>Dropout Prevention Programs</t>
  </si>
  <si>
    <t>Joint Career &amp; Tech. Ed. &amp; Voc. Ed. Center</t>
  </si>
  <si>
    <t>K-3 Reading Program</t>
  </si>
  <si>
    <t>Schoolwide and other special projects</t>
  </si>
  <si>
    <t>Classroom Site</t>
  </si>
  <si>
    <t>Instructional Improvement</t>
  </si>
  <si>
    <t>English Language Learner</t>
  </si>
  <si>
    <t>Compensatory Instruction</t>
  </si>
  <si>
    <t>Federal Projects</t>
  </si>
  <si>
    <t>State Projects</t>
  </si>
  <si>
    <t>All Projects</t>
  </si>
  <si>
    <t>x</t>
  </si>
  <si>
    <t>3.a</t>
  </si>
  <si>
    <t>Deficit balance</t>
  </si>
  <si>
    <t>3.b</t>
  </si>
  <si>
    <t>3.c</t>
  </si>
  <si>
    <t>3.d</t>
  </si>
  <si>
    <t>3.e</t>
  </si>
  <si>
    <t>3.f</t>
  </si>
  <si>
    <t>Maintained for future financial stability</t>
  </si>
  <si>
    <t>3.g</t>
  </si>
  <si>
    <t>Maintained for other purposes (Specify)</t>
  </si>
  <si>
    <t>3.h</t>
  </si>
  <si>
    <t>3.i</t>
  </si>
  <si>
    <t>Yes</t>
  </si>
  <si>
    <t>No</t>
  </si>
  <si>
    <t xml:space="preserve">3. </t>
  </si>
  <si>
    <t xml:space="preserve">Project(s) </t>
  </si>
  <si>
    <t>Method used to establish a targeted project balance reserve amount</t>
  </si>
  <si>
    <t>Total:</t>
  </si>
  <si>
    <t>See page 3. Classroom Site Project revenue information is not complete. Ensure that all revenues have been recorded for Project 1010—Classroom Site, on page 3, lines 11 and 12. Classroom Site Project YTD payment reports can be obtained from ADE at https://apps.azed.gov/SchoolFinanceReports/Reports.</t>
  </si>
  <si>
    <t>Page 4, Instructional Improvement Project revenue is not complete. Ensure revenue has been reported for the Instructional Improvement Project on page 4, line 7. Instructional Improvement Project YTD payment reports can be obtained from ADE at https://apps.azed.gov/SchoolFinanceReports/Reports.</t>
  </si>
  <si>
    <t>Page 6, section E, line 3 is not accurate based on amounts reported on page 2 for functions 2300, 2400, 2500 and 2900. The expense reported on page 6 should be greater than those amounts reported on page 2. Ensure the amount reported on page 6, section E, line 3 for current administration expense is accurate.</t>
  </si>
  <si>
    <t>Page 6, section F, lines 1-3 are not complete as the Charter did not report any FTE for teachers.</t>
  </si>
  <si>
    <t>Page 6, section G, teachers salaries table is not complete. Ensure all teacher salary information is reported on page 6, section G. The sum of all salary amounts reported must be greater than 0.</t>
  </si>
  <si>
    <t>Page 6, sections F and G do not appear appropriate. Ensure the number of FTE teachers reported in section F and the teacher salaries reported in section G are correct.</t>
  </si>
  <si>
    <t xml:space="preserve">Page 7, section C, special education programs by type table does not include all program 200 SPED expenses. Ensure all special education expenses are reported by type on page 7, section C, lines 1-7. The total on page 7 should include special education expenses reported on pages 2 and 6. </t>
  </si>
  <si>
    <t>Page 9, property disbursements by type table is not complete. Ensure all property disbursements have been reported in the property disbursements by type table on page 9. Total property disbursements in this table should equal the sum of property disbursements in the two preceding tables above on page 9. If there were no property disbursements during the fiscal year, then record a 0 for each line item in the table as applicable. This information is needed for NPEFS reporting.</t>
  </si>
  <si>
    <t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t>
  </si>
  <si>
    <t>Page 8, line 19 is not complete. Ensure all COVID-19 amounts are reported on line 19. If the Charter does not have any activity to report, enter a 0 on the line item(s) as applicable. Line 19 cannot be left blank.</t>
  </si>
  <si>
    <t>Charters must complete all required detail for each school site, including charters with only one school.</t>
  </si>
  <si>
    <t>School #</t>
  </si>
  <si>
    <t>School name</t>
  </si>
  <si>
    <t>School CTDS</t>
  </si>
  <si>
    <t>Unweighted attending student count</t>
  </si>
  <si>
    <t>Unit code(s)</t>
  </si>
  <si>
    <t>Primary unit code</t>
  </si>
  <si>
    <t>Comments</t>
  </si>
  <si>
    <t>Charterwide</t>
  </si>
  <si>
    <t>School Listing–Charterwide</t>
  </si>
  <si>
    <t>Private schools</t>
  </si>
  <si>
    <t>School Listing–Private Schools</t>
  </si>
  <si>
    <t>CTED (Member Districts)</t>
  </si>
  <si>
    <t>School Listing–CTED (Member Districts)</t>
  </si>
  <si>
    <t>School 1</t>
  </si>
  <si>
    <t>School Listing–School 1</t>
  </si>
  <si>
    <t>School 2</t>
  </si>
  <si>
    <t>School Listing–School 2</t>
  </si>
  <si>
    <t>School 3</t>
  </si>
  <si>
    <t>School Listing–School 3</t>
  </si>
  <si>
    <t>School 4</t>
  </si>
  <si>
    <t>School Listing–School 4</t>
  </si>
  <si>
    <t>School 5</t>
  </si>
  <si>
    <t>School Listing–School 5</t>
  </si>
  <si>
    <t>School 6</t>
  </si>
  <si>
    <t>School Listing–School 6</t>
  </si>
  <si>
    <t>School 7</t>
  </si>
  <si>
    <t>School Listing–School 7</t>
  </si>
  <si>
    <t>School 8</t>
  </si>
  <si>
    <t>School Listing–School 8</t>
  </si>
  <si>
    <t>School 9</t>
  </si>
  <si>
    <t>School Listing–School 9</t>
  </si>
  <si>
    <t>School 10</t>
  </si>
  <si>
    <t>School Listing–School 10</t>
  </si>
  <si>
    <t>School 11</t>
  </si>
  <si>
    <t>School Listing–School 11</t>
  </si>
  <si>
    <t>School 12</t>
  </si>
  <si>
    <t>School Listing–School 12</t>
  </si>
  <si>
    <t>School 13</t>
  </si>
  <si>
    <t>School Listing–School 13</t>
  </si>
  <si>
    <t>School 14</t>
  </si>
  <si>
    <t>School Listing–School 14</t>
  </si>
  <si>
    <t>School 15</t>
  </si>
  <si>
    <t>School Listing–School 15</t>
  </si>
  <si>
    <t>School 16</t>
  </si>
  <si>
    <t>School Listing–School 16</t>
  </si>
  <si>
    <t>School 17</t>
  </si>
  <si>
    <t>School Listing–School 17</t>
  </si>
  <si>
    <t>School 18</t>
  </si>
  <si>
    <t>School Listing–School 18</t>
  </si>
  <si>
    <t>School 19</t>
  </si>
  <si>
    <t>School Listing–School 19</t>
  </si>
  <si>
    <t>School 20</t>
  </si>
  <si>
    <t>School Listing–School 20</t>
  </si>
  <si>
    <t>School 21</t>
  </si>
  <si>
    <t>School Listing–School 21</t>
  </si>
  <si>
    <t>School 22</t>
  </si>
  <si>
    <t>School Listing–School 22</t>
  </si>
  <si>
    <t>School 23</t>
  </si>
  <si>
    <t>School Listing–School 23</t>
  </si>
  <si>
    <t>School 24</t>
  </si>
  <si>
    <t>School Listing–School 24</t>
  </si>
  <si>
    <t>School 25</t>
  </si>
  <si>
    <t>School Listing–School 25</t>
  </si>
  <si>
    <t>School 26</t>
  </si>
  <si>
    <t>School Listing–School 26</t>
  </si>
  <si>
    <t>School 27</t>
  </si>
  <si>
    <t>School Listing–School 27</t>
  </si>
  <si>
    <t>School 28</t>
  </si>
  <si>
    <t>School Listing–School 28</t>
  </si>
  <si>
    <t>School 29</t>
  </si>
  <si>
    <t>School Listing–School 29</t>
  </si>
  <si>
    <t>School 30</t>
  </si>
  <si>
    <t>School Listing–School 30</t>
  </si>
  <si>
    <t>School 31</t>
  </si>
  <si>
    <t>School Listing–School 31</t>
  </si>
  <si>
    <t>School 32</t>
  </si>
  <si>
    <t>School Listing–School 32</t>
  </si>
  <si>
    <t>School 33</t>
  </si>
  <si>
    <t>School Listing–School 33</t>
  </si>
  <si>
    <t>School 34</t>
  </si>
  <si>
    <t>School Listing–School 34</t>
  </si>
  <si>
    <t>School 35</t>
  </si>
  <si>
    <t>School Listing–School 35</t>
  </si>
  <si>
    <t>School 36</t>
  </si>
  <si>
    <t>School Listing–School 36</t>
  </si>
  <si>
    <t>School 37</t>
  </si>
  <si>
    <t>School Listing–School 37</t>
  </si>
  <si>
    <t>School 38</t>
  </si>
  <si>
    <t>School Listing–School 38</t>
  </si>
  <si>
    <t>School 39</t>
  </si>
  <si>
    <t>School Listing–School 39</t>
  </si>
  <si>
    <t>School 40</t>
  </si>
  <si>
    <t>School Listing–School 40</t>
  </si>
  <si>
    <t>School 41</t>
  </si>
  <si>
    <t>School Listing–School 41</t>
  </si>
  <si>
    <t>School 42</t>
  </si>
  <si>
    <t>School Listing–School 42</t>
  </si>
  <si>
    <t>School 43</t>
  </si>
  <si>
    <t>School Listing–School 43</t>
  </si>
  <si>
    <t>School 44</t>
  </si>
  <si>
    <t>School Listing–School 44</t>
  </si>
  <si>
    <t>School 45</t>
  </si>
  <si>
    <t>School Listing–School 45</t>
  </si>
  <si>
    <t>School 46</t>
  </si>
  <si>
    <t>School Listing–School 46</t>
  </si>
  <si>
    <t>School 47</t>
  </si>
  <si>
    <t>School Listing–School 47</t>
  </si>
  <si>
    <t>School 48</t>
  </si>
  <si>
    <t>School Listing–School 48</t>
  </si>
  <si>
    <t>School 49</t>
  </si>
  <si>
    <t>School Listing–School 49</t>
  </si>
  <si>
    <t>School 50</t>
  </si>
  <si>
    <t>School Listing–School 50</t>
  </si>
  <si>
    <t>School 51</t>
  </si>
  <si>
    <t>School Listing–School 51</t>
  </si>
  <si>
    <t>School 52</t>
  </si>
  <si>
    <t>School Listing–School 52</t>
  </si>
  <si>
    <t>School 53</t>
  </si>
  <si>
    <t>School Listing–School 53</t>
  </si>
  <si>
    <t>School 54</t>
  </si>
  <si>
    <t>School Listing–School 54</t>
  </si>
  <si>
    <t>School 55</t>
  </si>
  <si>
    <t>School Listing–School 55</t>
  </si>
  <si>
    <t>School 56</t>
  </si>
  <si>
    <t>School Listing–School 56</t>
  </si>
  <si>
    <t>School 57</t>
  </si>
  <si>
    <t>School Listing–School 57</t>
  </si>
  <si>
    <t>School 58</t>
  </si>
  <si>
    <t>School Listing–School 58</t>
  </si>
  <si>
    <t>School 59</t>
  </si>
  <si>
    <t>School Listing–School 59</t>
  </si>
  <si>
    <t>School 60</t>
  </si>
  <si>
    <t>School Listing–School 60</t>
  </si>
  <si>
    <t>School 61</t>
  </si>
  <si>
    <t>School Listing–School 61</t>
  </si>
  <si>
    <t>School 62</t>
  </si>
  <si>
    <t>School Listing–School 62</t>
  </si>
  <si>
    <t>School 63</t>
  </si>
  <si>
    <t>School Listing–School 63</t>
  </si>
  <si>
    <t>School 64</t>
  </si>
  <si>
    <t>School Listing–School 64</t>
  </si>
  <si>
    <t>School 65</t>
  </si>
  <si>
    <t>School Listing–School 65</t>
  </si>
  <si>
    <t>School 66</t>
  </si>
  <si>
    <t>School Listing–School 66</t>
  </si>
  <si>
    <t>School 67</t>
  </si>
  <si>
    <t>School Listing–School 67</t>
  </si>
  <si>
    <t>School 68</t>
  </si>
  <si>
    <t>School Listing–School 68</t>
  </si>
  <si>
    <t>School 69</t>
  </si>
  <si>
    <t>School Listing–School 69</t>
  </si>
  <si>
    <t>School 70</t>
  </si>
  <si>
    <t>School Listing–School 70</t>
  </si>
  <si>
    <t>School 71</t>
  </si>
  <si>
    <t>School Listing–School 71</t>
  </si>
  <si>
    <t>School 72</t>
  </si>
  <si>
    <t>School Listing–School 72</t>
  </si>
  <si>
    <t>School 73</t>
  </si>
  <si>
    <t>School Listing–School 73</t>
  </si>
  <si>
    <t>School 74</t>
  </si>
  <si>
    <t>School Listing–School 74</t>
  </si>
  <si>
    <t>School 75</t>
  </si>
  <si>
    <t>School Listing–School 75</t>
  </si>
  <si>
    <t>School 76</t>
  </si>
  <si>
    <t>School Listing–School 76</t>
  </si>
  <si>
    <t>School 77</t>
  </si>
  <si>
    <t>School Listing–School 77</t>
  </si>
  <si>
    <t>School 78</t>
  </si>
  <si>
    <t>School Listing–School 78</t>
  </si>
  <si>
    <t>School 79</t>
  </si>
  <si>
    <t>School Listing–School 79</t>
  </si>
  <si>
    <t>School 80</t>
  </si>
  <si>
    <t>School Listing–School 80</t>
  </si>
  <si>
    <t>School 81</t>
  </si>
  <si>
    <t>School Listing–School 81</t>
  </si>
  <si>
    <t>School 82</t>
  </si>
  <si>
    <t>School Listing–School 82</t>
  </si>
  <si>
    <t>School 83</t>
  </si>
  <si>
    <t>School Listing–School 83</t>
  </si>
  <si>
    <t>School 84</t>
  </si>
  <si>
    <t>School Listing–School 84</t>
  </si>
  <si>
    <t>School 85</t>
  </si>
  <si>
    <t>School Listing–School 85</t>
  </si>
  <si>
    <t>School 86</t>
  </si>
  <si>
    <t>School Listing–School 86</t>
  </si>
  <si>
    <t>School 87</t>
  </si>
  <si>
    <t>School Listing–School 87</t>
  </si>
  <si>
    <t>School 88</t>
  </si>
  <si>
    <t>School Listing–School 88</t>
  </si>
  <si>
    <t>School 89</t>
  </si>
  <si>
    <t>School Listing–School 89</t>
  </si>
  <si>
    <t>School 90</t>
  </si>
  <si>
    <t>School Listing–School 90</t>
  </si>
  <si>
    <t>Page</t>
  </si>
  <si>
    <t>Reference</t>
  </si>
  <si>
    <t>Instructions</t>
  </si>
  <si>
    <t>Significant Change</t>
  </si>
  <si>
    <t>General</t>
  </si>
  <si>
    <t xml:space="preserve">We provide these instructions to help charter schools (charters) prepare the Charter School Annual Financial Report (AFR). Within the forms, blue font indicates that an instruction is linked to that specific line. The instructions button links to any general instructions or to the first instruction for a page. To return to the related forms after reviewing the instructions, simply click on the form's tab at the bottom of the Excel screen or press the Alt and back arrow keys. </t>
  </si>
  <si>
    <t xml:space="preserve">The AFR presents condensed financial activity (i.e., beginning and ending balances, revenues and expenses, and budget to actual comparisons of expenses for the fiscal year) of the Charter for comparison purposes. This information assists sponsors, charter governing boards, administrators, ADE, legislators, other governmental agencies, and taxpayers in determining whether charters are meeting their stewardship responsibilities.
</t>
  </si>
  <si>
    <t>Alerts will appear on the cover page and throughout the form when areas of the AFR are not completed or do not appear to be accurately reported. The alerts will disappear as they are resolved. Detailed descriptions of the alerts, as well as guidance on how to resolve the alerts, can be found on the Alerts tab. Charters should complete all areas of the AFR that apply to their operations, whether or not the item is listed in the alert. These alerts do not replace the need for a separate employee to review the AFR for accuracy and completeness. Charters should ensure that no alerts remain on the cover page before uploading the files.</t>
  </si>
  <si>
    <t>Cover</t>
  </si>
  <si>
    <t>Name, county, CTDS number</t>
  </si>
  <si>
    <t>The charter name, county, and CTDS number should be entered on the cover page of the AFR. The CTDS number should not contain any slashes, dashes, etc., and must be exactly 9 digits. Zeros should be entered to fill the school portion of the number on the cover page. This information will be automatically transferred to other sheets in the file.</t>
  </si>
  <si>
    <t>School listing tab</t>
  </si>
  <si>
    <t>Accounting data tab</t>
  </si>
  <si>
    <r>
      <rPr>
        <b/>
        <sz val="10"/>
        <color indexed="8"/>
        <rFont val="Times New Roman"/>
        <family val="1"/>
      </rPr>
      <t xml:space="preserve">Charters must complete the Accounting data tab within this workbook. Charters will use the data from the Accounting data tab to complete the AFR and school-level reporting.
</t>
    </r>
    <r>
      <rPr>
        <sz val="10"/>
        <rFont val="Times New Roman"/>
        <family val="2"/>
      </rPr>
      <t xml:space="preserve">
Charters must copy their accounting data from their accounting records and paste the data into columns A through G in the Accounting data tab within this file. When pasting data, select "Paste Options:" and choose "Values (V)". Paste data into cell A2. Do not copy any column headers into the Accounting data tab or paste over any column headers within the tab.  
Charters should filter on the data elements in columns A through E and select the appropriate project, program, function, object, and unit for each line item from the dropdown list provided in columns H through L to report within the AFR. If a cell has not been assigned a value, the cell will be highlighted in red. When complete, the form should not have any red highlighted cells in rows with charter submitted data. Any blank rows will remain red highlighted.
</t>
    </r>
    <r>
      <rPr>
        <b/>
        <sz val="10"/>
        <rFont val="Times New Roman"/>
        <family val="1"/>
      </rPr>
      <t>Charters should select "1310-1399-COVID-19 Federal Relief Projects", "1227-ARP-IDEA Preschool", and "1228-ARP-IDEA Basic" from the dropdown list provided in column H for all expenses and revenues from COVID-19 federal relief projects.</t>
    </r>
    <r>
      <rPr>
        <sz val="10"/>
        <rFont val="Times New Roman"/>
        <family val="2"/>
      </rPr>
      <t xml:space="preserve">  </t>
    </r>
  </si>
  <si>
    <t xml:space="preserve">Report all revenues the Charter received on this page.  </t>
  </si>
  <si>
    <t xml:space="preserve">1600 Food service, line 6 </t>
  </si>
  <si>
    <t xml:space="preserve">Revenues received in the Classroom Site Project (CSP) (project code 1010), Instructional Improvement Project (project code 1020), English Language Learner Project (project code 1071), and Compensatory Instruction Project (project code 1072) should be reported as restricted. In addition, any restricted revenues received for State projects, as reported on page 9, should also be included, as applicable. Classroom Site Project and Instructional Improvement Project YTD Payment Reports can be obtained from ADE at https://apps.azed.gov/SchoolFinanceReports/Reports
If you are not following the USFRCS Chart of Accounts, please report these revenues as 3200 restricted for federal survey purposes. 
</t>
  </si>
  <si>
    <t xml:space="preserve">Report unrestricted/restricted revenues received from the federal government through the State on this line, including revenues from COVID-19 federal relief projects, such as the Elementary and Secondary School Emergency Relief (ESSER). </t>
  </si>
  <si>
    <t>Expenses, lines 1-32</t>
  </si>
  <si>
    <r>
      <t>Report expenses for 1000-Schoolwide Project and 1500-1999-Other Special Projects on lines 1 through 32. Do not include the Classroom Site Project (project code 1010), Instructional Improvement Project (project code 1020), English Language Learner Project (project code 1071), Compensatory Instruction Project (project code 1072), or Federal and State Projects (project codes 1100 through 1499) expenses as these expenses are reported on other pages and formulas will populate lines 34 through 38.</t>
    </r>
    <r>
      <rPr>
        <strike/>
        <sz val="10"/>
        <rFont val="Times New Roman"/>
        <family val="1"/>
      </rPr>
      <t xml:space="preserve"> </t>
    </r>
    <r>
      <rPr>
        <sz val="10"/>
        <rFont val="Times New Roman"/>
        <family val="2"/>
      </rPr>
      <t xml:space="preserve">
Report expenses for programs 200-special education and 270-vocational and technical education on lines 17-28. Report expenses for program 400-pupil transportation on line 29. 
Do not include payments for capital acquisitions, depreciation, impairment expense or principal payments.  </t>
    </r>
  </si>
  <si>
    <t>Federal and State projects, line 38</t>
  </si>
  <si>
    <t xml:space="preserve">Expenses made from the CSP (1010) should be made in accordance with A.R.S. §15-977. Schools may establish any CSP subprojects (1011-1019) to track monies for specific allowable purposes or separately account for carryover balances and other one-time CSP monies. </t>
  </si>
  <si>
    <r>
      <t>Line</t>
    </r>
    <r>
      <rPr>
        <strike/>
        <sz val="10"/>
        <rFont val="Times New Roman"/>
        <family val="1"/>
      </rPr>
      <t>s</t>
    </r>
    <r>
      <rPr>
        <sz val="10"/>
        <rFont val="Times New Roman"/>
        <family val="2"/>
      </rPr>
      <t xml:space="preserve"> 4</t>
    </r>
  </si>
  <si>
    <t xml:space="preserve">Report expenses for teacher liability insurance premiums made from Project 1010. </t>
  </si>
  <si>
    <t xml:space="preserve"> Line 5</t>
  </si>
  <si>
    <r>
      <t xml:space="preserve">Report </t>
    </r>
    <r>
      <rPr>
        <b/>
        <sz val="10"/>
        <rFont val="Times New Roman"/>
        <family val="1"/>
      </rPr>
      <t>allowable</t>
    </r>
    <r>
      <rPr>
        <sz val="10"/>
        <rFont val="Times New Roman"/>
        <family val="2"/>
      </rPr>
      <t xml:space="preserve"> CSP amounts for function 3300—community service operations on this line. For example, if a charter included a community school program, such as preschool for children without disabilities, as a CSP-eligible program related to its educational mission, report the teacher salaries and related expenses </t>
    </r>
    <r>
      <rPr>
        <b/>
        <sz val="10"/>
        <rFont val="Times New Roman"/>
        <family val="1"/>
      </rPr>
      <t>allowable under CSP</t>
    </r>
    <r>
      <rPr>
        <sz val="10"/>
        <rFont val="Times New Roman"/>
        <family val="2"/>
      </rPr>
      <t xml:space="preserve"> here. </t>
    </r>
  </si>
  <si>
    <t>Classroom Site Project Property Payments</t>
  </si>
  <si>
    <r>
      <t>Arizona Industry Credentials Incentive project</t>
    </r>
    <r>
      <rPr>
        <sz val="10"/>
        <rFont val="Calibri"/>
        <family val="2"/>
      </rPr>
      <t>—</t>
    </r>
    <r>
      <rPr>
        <sz val="10"/>
        <rFont val="Times New Roman"/>
        <family val="2"/>
      </rPr>
      <t>detailed expenses</t>
    </r>
  </si>
  <si>
    <t>Enter the detailed actual expense amounts for the following allowable costs in accordance with  A.R.S. §15-249.15:
• Instructional costs and professional development for a career technical education program teacher to become a certifying professional for an approved certificate, credential, or license.
• To offset the students' cost of certification, credentialing, or licensure.
• Developmental costs related to creating, expanding or improving an approved site of a certificate, credential, or license career     technical program or course.
• Instructional hardware, software, or supplies required for the certification, credentialing, or licensure.
• Career exploration in any school grade and awareness activities for parents, students, and the community for the approved sectors.</t>
  </si>
  <si>
    <t>Section B— 
Audit services</t>
  </si>
  <si>
    <t>Section C— 
Capital acquisitions</t>
  </si>
  <si>
    <t>Section C— 
Capital acquisitions,  
line 6</t>
  </si>
  <si>
    <t>Section D—Investment in capital assets</t>
  </si>
  <si>
    <t>Section D— 
Investment in capital assets,  
line 6</t>
  </si>
  <si>
    <t>Section E—Current expenses by category</t>
  </si>
  <si>
    <t>A.R.S. §15-255 requires the Superintendent of Public Instruction's Annual Report to include total current expenses per pupil and separate per pupil amounts by (1) classroom instruction excluding classroom supplies, (2) classroom supplies, (3) administration, (4) support services—students, and (5) all other support services and operations. ADE will calculate the "per pupil" amounts based on the total current expenses reported on lines 1 through 5 of this section. 
Current expenses include expenses from all projects for elementary and secondary education (e.g., all schoolwide projects including classroom site, instructional improvement, english language learner, compensatory instruction and most federal and state projects and other special projects).  Current expenses do not include tuition paid to other Arizona school charters or charters, outlays for facilities acquisition and construction, furniture, equipment, technology, vehicles, debt retirement, and expenses for nonpublic school programs appropriately recorded in program codes 700, 800, and 900.  (e.g., adult/continuing education, community college education, community services, etc.).</t>
  </si>
  <si>
    <t>Section E— 
Current expenses by category,  
lines 7 and 8</t>
  </si>
  <si>
    <t>The Every Student Succeeds Act (ESSA) requires current expenses to be reported by source. Report the portion of current expenses from line 6 that were paid from federal sources. If no expenses were paid from federal sources, enter a 0 value on line 7. Line 8 contains a formula to calculate the current expenses from State and local sources.</t>
  </si>
  <si>
    <t xml:space="preserve">Report the number of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 </t>
  </si>
  <si>
    <t>Section G—Teacher salaries</t>
  </si>
  <si>
    <t>Report base salaries, overtime, and additional compensation paid to certified and noncertified teachers, certified and noncertified substitute teachers, and contract teachers.  Do not include salaries paid to instructional aides or assistants.  Report the salaries based on the appropriate program.  If a teacher teaches in more than 1 program, calculate the salary based on the amount of time instructing in each program. If FTE amounts were reported for certified, noncertified, or contract teachers in section F, corresponding salary amounts should be reported in section G.</t>
  </si>
  <si>
    <t>Section G— 
Teachers salaries,  
line 1</t>
  </si>
  <si>
    <t xml:space="preserve">Regular education includes expenses coded to program 100,  career education programs coded to program 200, and K-3 Reading expenses coded to program 550.  </t>
  </si>
  <si>
    <t>Section G— 
Teachers salaries,  
line 2</t>
  </si>
  <si>
    <t xml:space="preserve">Special education includes expenses coded to program 200 (excluding ELL incremental costs, compensatory instruction, vocational and technological education, and career education programs).  </t>
  </si>
  <si>
    <t>Section G— 
Teachers salaries,  
line 3</t>
  </si>
  <si>
    <t>Vocational education includes expenses coded to programs 270 and 540.</t>
  </si>
  <si>
    <t>Section G— 
Teachers salaries,  
line 4</t>
  </si>
  <si>
    <t>Other programs includes expenses coded to programs 260, 265, and 530.</t>
  </si>
  <si>
    <t>Section G— 
Teachers salaries,  
line 5</t>
  </si>
  <si>
    <t>Cocurricular activities, athletics, and other includes expenses coded to program 600.</t>
  </si>
  <si>
    <t>Section H— 
Average teacher salary</t>
  </si>
  <si>
    <t xml:space="preserve">Sections B and C— 
Total gifted expenses  
</t>
  </si>
  <si>
    <t>Total actual gifted expenses in sections B and C must agree.</t>
  </si>
  <si>
    <t>Section C—Special ed. programs by type</t>
  </si>
  <si>
    <r>
      <t xml:space="preserve">Enter only the amounts of expenses for special education programs by type for 1000-Schoolwide Project and 1500-1999-Other Special Projects. Federal and state projects' special education expenses are reported on page 8 and should not be reported here.  Retain supporting documentation for the allocation of expenses to individual special education programs.
</t>
    </r>
    <r>
      <rPr>
        <b/>
        <sz val="10"/>
        <rFont val="Times New Roman"/>
        <family val="1"/>
      </rPr>
      <t>Charters should report actual total expenses in Program 200ꟷSpecial Education for disability classifications defined in A.R.S. §15-761 on line 1, Total All Disability Classifications.</t>
    </r>
    <r>
      <rPr>
        <sz val="10"/>
        <rFont val="Times New Roman"/>
        <family val="2"/>
      </rPr>
      <t xml:space="preserve"> The amounts entered on line 1 and line 8 are used by ADE in the calculation of maintenance of effort.  The total expenses for all of these programs on line 8 must agree to the total 1000-Schoolwide Project and 1500-1999 Other Special projects, programs 200 expenses reported on page 2, line 28.</t>
    </r>
  </si>
  <si>
    <t>Section C—Total all disability classifications</t>
  </si>
  <si>
    <t>Enter total expenses for the disability classifications defined in A.R.S. §15-761.</t>
  </si>
  <si>
    <t>Section C—Transportation</t>
  </si>
  <si>
    <t>Charters should report actual total transportation expenses coded within program 400 for transporting students whose IEPs require transportation as necessary for the provision of free and appropriate public education (FAPE).</t>
  </si>
  <si>
    <t>Impact aid and other federal projects, lines 16, 17, and 19</t>
  </si>
  <si>
    <r>
      <t xml:space="preserve">Enter Impact Aid amounts on line 16. Enter all Other Federal Projects (less Impact Aid), including amounts for COVID-19 federal relief projects, such as the Elementary and Secondary School Emergency Relief (ESSER) programs, on line 17. Separately report revenues and expenses for COVID-19 federal relief projects on line 19.
</t>
    </r>
    <r>
      <rPr>
        <b/>
        <sz val="10"/>
        <rFont val="Times New Roman"/>
        <family val="1"/>
      </rPr>
      <t>All COVID-19 related amounts must be identified as 1227-ARP-IDEA Preschool, 1228-ARP-IDEA Basic or 1310-1399-COVID-19 Federal Relief Projects on the Accounting data tab.</t>
    </r>
    <r>
      <rPr>
        <sz val="10"/>
        <rFont val="Times New Roman"/>
        <family val="2"/>
      </rPr>
      <t xml:space="preserve">
If the Charter does not have any amounts to report, enter a 0 value for each item as applicable.
</t>
    </r>
  </si>
  <si>
    <t>The total budget and actual expenses on line 33 should agree with the total column for federal and State projects on line 38 on page 2.</t>
  </si>
  <si>
    <t>Revenue from selected federal sources</t>
  </si>
  <si>
    <t xml:space="preserve">Report revenues received from selected federal sources listed on lines 1 through 4.
1. Student Support and Academic Enrichment Grants (subgrants from States only) (ESEA IV-A-1, section 4105)
The purpose of this grant is to improve students’ academic achievement by increasing the capacity of States, local educational agencies, schools, and local communities to provide all students with access to a well-rounded education, improve school conditions for student learning, and improve the use of technology in order to improve the academic achievement and digital literacy of all students. Additional information is available at the following link: </t>
  </si>
  <si>
    <t>https://www.azed.gov/titleiv-a/</t>
  </si>
  <si>
    <t>2. 21st Century Community Learning Centers (subgrants from States only—excludes awards under national activities) (ESEA IV-B)
This program is funded by a federal grant from the U.S. Department of Education and administered by the Arizona Department of Education. Additional information is available at the following link:</t>
  </si>
  <si>
    <t>https://www.azed.gov/21stcclc/federal-and-state-regulations/</t>
  </si>
  <si>
    <t>3. Rural education - Rural and Low-Income School program (RLIS) (ESEA V-B-2, section 5221)
The purpose of this program is to provide for equity in cases where rural or low-income schools receive allocations insufficient for their needs and are at a competitive disadvantage for other grants. Additional information is available at the following link:</t>
  </si>
  <si>
    <t xml:space="preserve"> https://www.azed.gov/titlei/sample-page/rural-low-income-schools-rlis/</t>
  </si>
  <si>
    <t xml:space="preserve">4. Rural education - Small, Rural School Achievement program (SRSA) (ESEA V-B-1, section 5211)
This program authorizes the U.S. Secretary of Education to award formula grants directly to eligible LEAs (i.e., those LEAs eligible under the alternative uses of funds program) to carry out activities authorized under other specified federal programs. Additional information is available at the following link: </t>
  </si>
  <si>
    <t>https://www.azed.gov/titlei/reap/</t>
  </si>
  <si>
    <t>For support assistance for federal and State grants, please contact the Arizona Department of Education's Grants Management Team:</t>
  </si>
  <si>
    <t>https://www.azed.gov/grants-management/contact/</t>
  </si>
  <si>
    <t>Cash and investments held at fiscal year end</t>
  </si>
  <si>
    <r>
      <t xml:space="preserve">Charters should report ending balance amounts of cash and investments (at market value) for the following funds:
     </t>
    </r>
    <r>
      <rPr>
        <b/>
        <sz val="10"/>
        <rFont val="Times New Roman"/>
        <family val="1"/>
      </rPr>
      <t xml:space="preserve">Sinking funds </t>
    </r>
    <r>
      <rPr>
        <sz val="10"/>
        <rFont val="Times New Roman"/>
        <family val="2"/>
      </rPr>
      <t xml:space="preserve">— funds containing reserves held specifically for redemption of long-term debt.
   </t>
    </r>
    <r>
      <rPr>
        <b/>
        <sz val="10"/>
        <rFont val="Times New Roman"/>
        <family val="1"/>
      </rPr>
      <t xml:space="preserve">  Bond funds </t>
    </r>
    <r>
      <rPr>
        <sz val="10"/>
        <rFont val="Times New Roman"/>
        <family val="2"/>
      </rPr>
      <t xml:space="preserve">— funds containing unexpended proceeds of bond issues that were being held pending their disbursement.                                       
     </t>
    </r>
    <r>
      <rPr>
        <b/>
        <sz val="10"/>
        <rFont val="Times New Roman"/>
        <family val="1"/>
      </rPr>
      <t xml:space="preserve">Other funds </t>
    </r>
    <r>
      <rPr>
        <sz val="10"/>
        <rFont val="Times New Roman"/>
        <family val="2"/>
      </rPr>
      <t xml:space="preserve">— all other funds, </t>
    </r>
    <r>
      <rPr>
        <b/>
        <sz val="10"/>
        <rFont val="Times New Roman"/>
        <family val="1"/>
      </rPr>
      <t>exclude</t>
    </r>
    <r>
      <rPr>
        <sz val="10"/>
        <rFont val="Times New Roman"/>
        <family val="2"/>
      </rPr>
      <t xml:space="preserve"> any employee retirement funds.
Include cash balances; cash on hand; certificates of deposit; federal securities; State and local government securities; mortgages; and corporate stocks, bonds, and notes. </t>
    </r>
    <r>
      <rPr>
        <b/>
        <sz val="10"/>
        <rFont val="Times New Roman"/>
        <family val="1"/>
      </rPr>
      <t>Exclude</t>
    </r>
    <r>
      <rPr>
        <sz val="10"/>
        <rFont val="Times New Roman"/>
        <family val="2"/>
      </rPr>
      <t xml:space="preserve"> accounts receivable, value of real property, and all nonsecurity assets.
This section was added to the AFR to assist with Form 33 reporting to NCES.
 </t>
    </r>
  </si>
  <si>
    <r>
      <t xml:space="preserve">Long-term debt—Report beginning and ending balances for all bonded indebtedness and any other interest-bearing debt with a term of more than 1 year on lines 1 and 4, respectively. Include bonds, notes, and loans. Report all long-term debt issued during the fiscal year on line 2. Report all principal payments made on long-term debt during the fiscal year on line 3.
Short-term debt—Report beginning and ending balances for interest-bearing debt with a term of 1 year or less such as bank revolving lines of credit and other short-term debt. Charters with short-term debt activity but no beginning and ending balances should report 0 on lines 5 and 6.
</t>
    </r>
    <r>
      <rPr>
        <b/>
        <sz val="10"/>
        <rFont val="Times New Roman"/>
        <family val="1"/>
      </rPr>
      <t>DO NOT INCLUDE</t>
    </r>
    <r>
      <rPr>
        <sz val="10"/>
        <rFont val="Times New Roman"/>
        <family val="2"/>
      </rPr>
      <t xml:space="preserve"> lease purchase agreements, compensated absences, accounts payable, and other noninterest bearing obligations in amounts reported in this section.
This section was added to the AFR to assist with Form 33 reporting to NCES.</t>
    </r>
  </si>
  <si>
    <t>Utilities and energy services</t>
  </si>
  <si>
    <r>
      <t xml:space="preserve">Report expenses for utility services, such as water and sewage services, coded to object code 6410, and energy expenses, such as electricity, gas, coal, and gasoline, coded to object codes 6621-6626. Services received from public or private utility companies should be reported here. Do </t>
    </r>
    <r>
      <rPr>
        <b/>
        <u/>
        <sz val="10"/>
        <rFont val="Times New Roman"/>
        <family val="1"/>
      </rPr>
      <t>not</t>
    </r>
    <r>
      <rPr>
        <sz val="10"/>
        <rFont val="Times New Roman"/>
        <family val="2"/>
      </rPr>
      <t xml:space="preserve"> include expenses for telephone or internet services.</t>
    </r>
  </si>
  <si>
    <t>Technology detail</t>
  </si>
  <si>
    <r>
      <t xml:space="preserve">Charters must report detailed technology-related technical services expenses, technology-related repairs and maintenance, and rental of computers and related equipment (object codes 6330, 6432, and 6441) in lines 1 through 3. </t>
    </r>
    <r>
      <rPr>
        <sz val="10"/>
        <color theme="1"/>
        <rFont val="Times New Roman"/>
        <family val="1"/>
      </rPr>
      <t xml:space="preserve">Do </t>
    </r>
    <r>
      <rPr>
        <b/>
        <sz val="10"/>
        <color theme="1"/>
        <rFont val="Times New Roman"/>
        <family val="1"/>
      </rPr>
      <t>not</t>
    </r>
    <r>
      <rPr>
        <sz val="10"/>
        <color theme="1"/>
        <rFont val="Times New Roman"/>
        <family val="1"/>
      </rPr>
      <t xml:space="preserve"> include nontechnology-related technical services expenses such as purchasing and warehouses services not related to technology.</t>
    </r>
    <r>
      <rPr>
        <sz val="10"/>
        <rFont val="Times New Roman"/>
        <family val="2"/>
      </rPr>
      <t xml:space="preserve">
Report expenses for telecommunications coded to object code 6531 on line 4. These amounts should only include expenses for telephone and voice communication services, and voicemail; data communication services to establish or maintain computer-based communications, networking, and Internet services; video communications services to establish or maintain one-way or two-way video communications via satellite, cable, or other devices billed by the service provider.
Report expenses for technology-related supplies coded to object code 6650 and technology-related hardware and software costs below the capitalization threshold on line 5. For technology-related supplies, include expenses for supplies that are typically used in conjunction with technology-related hardware or software (e.g., compact discs, flash drives, cables, and monitor stands). Technology-related hardware and software costs that exceed the capitalization threshold should be reported on line 6. Do </t>
    </r>
    <r>
      <rPr>
        <b/>
        <u/>
        <sz val="10"/>
        <rFont val="Times New Roman"/>
        <family val="1"/>
      </rPr>
      <t>not</t>
    </r>
    <r>
      <rPr>
        <sz val="10"/>
        <rFont val="Times New Roman"/>
        <family val="2"/>
      </rPr>
      <t xml:space="preserve"> include expenses for nontechnology-related equipment such as machinery, vehicles, and furniture.
</t>
    </r>
  </si>
  <si>
    <t xml:space="preserve">Charters must report detailed support services-instruction expenses for improvement of instruction and library/media services (function codes 2220 and 2230) in lines 1 and 2. </t>
  </si>
  <si>
    <t>The information included on this page is required for NPEFS reporting of COVID-19 federal relief projects. Most information on this page will be pulled with formulas from the charter's accounting data for projects identified as COVID-19 federal relief projects ("1310-1399-COVID-19 Federal Relief Projects", "1227-ARP-IDEA Preschool", and "1228-ARP-IDEA Basic"). The Charter must manually enter amounts to the nearest dollar in the orange highlighted cells, if applicable.</t>
  </si>
  <si>
    <t xml:space="preserve">Current expenses from COVID-19 federal relief projects table populates with function and object data from the Accounting data tab. Generally, line 9 should not show negative amounts. Any negative amounts displayed on line 9 will be highlighted with yellow shading. Please ensure that the Accounting Data tab was completed according to the instructions above. </t>
  </si>
  <si>
    <t>Technology Detail</t>
  </si>
  <si>
    <t xml:space="preserve">This table reports technology-related expenses from COVID-19 federal relief funds. Enter amounts for total technology spending (all functions) in column D and for classroom technology spending (functions 1000, 2100, and 2200) in column E for each item listed on lines 1 through 7. </t>
  </si>
  <si>
    <t>Technology Detail,
line 7</t>
  </si>
  <si>
    <t>Enter the total amount for instructional software coded to objects 6641—Library Books, 6642—Textbooks, and 6643—Instructional Aids. These purchases should be coded to function 1000 or 2200; therefore, the amount entered in the total spending column will pull to the classroom spending column in this line.</t>
  </si>
  <si>
    <t xml:space="preserve">Property disbursements should include actual payments made during the year for capital acquisitions, not including related capital lease or other debt service payments.  Property disbursements for nonfixed (movable) equipment in programs 100 through 630 should be allocated to functions 1000 through 4000 (other) based on the intended use of the equipment.  All other property disbursements for these programs should be included as "other". Property disbursements for Programs 700-900 must be entered into the separate table below. </t>
  </si>
  <si>
    <t>Property disbursement detail</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</si>
  <si>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capital lease or other debt service payments. Total property disbursements in this table should equal the sum of property disbursements in cell L19 and those for Programs 700-900 (cells O25, O26, and O27). If no disbursements were made during the year, enter a 0 value in each line.</t>
  </si>
  <si>
    <t>Debt service
detail</t>
  </si>
  <si>
    <t>Debt service amounts should include interest and redemption of principal for all programs. Interest expenses should be charged to object code 6850.  Redemption of principal should include payments made during the year for principal on capital leases and other long-term debt that were recorded as a reduction of the related liability.</t>
  </si>
  <si>
    <t xml:space="preserve">https://www.azauditor.gov/District_charter_ADE_COVID-19_spending_special_report_FY_2022 </t>
  </si>
  <si>
    <t>COVID-19 federal relief projects, line 1</t>
  </si>
  <si>
    <t>Report information for monies received from the charter's Elementary and Secondary School Emergency Relief I project (ESSER I) award allocation, determined by ADE. Monies received from ADE as an ARP School and Community grantee should be reported on line 6.</t>
  </si>
  <si>
    <t>COVID-19 federal relief projects, line 2</t>
  </si>
  <si>
    <t>Report information for monies received from the charter's Elementary and Secondary School Emergency Relief II project (ESSER II) award allocation, determined by ADE. Monies received from ADE as an ARP School and Community grantee should be reported on line 6.</t>
  </si>
  <si>
    <t>COVID-19 federal relief projects, line 3</t>
  </si>
  <si>
    <t>Report information for monies received from the charter's Elementary and Secondary School Emergency Relief III project (ESSER III) award allocation, determined by ADE. Monies received from ADE as an ARP School and Community grantee should be reported on line 6.</t>
  </si>
  <si>
    <t>COVID-19 federal relief projects, line 4</t>
  </si>
  <si>
    <t>Report information for monies received from the Governor's Emergency Education Relief (GEER) project here. Examples of programs distributed from GEER include the Acceleration Academy Grant, Beat the Odds Leadership Academy Grant, and Teach for America Grant.
Do not report Enrollment Stabilities Grant (ESG) information on this line. ESG should be reported on line 5, Coronavirus Relief Fund (CRF)—Enrollment Stability Grant (ESG) Program.</t>
  </si>
  <si>
    <t>COVID-19 federal relief projects, line 5</t>
  </si>
  <si>
    <t>Report information for monies received from the Coronavirus Relief Fund (CRF)—Enrollment Stability Grant (ESG) Program.</t>
  </si>
  <si>
    <t>COVID-19 federal relief projects, line 6</t>
  </si>
  <si>
    <r>
      <t xml:space="preserve">Report all other information for COVID-related monies received that cannot be appropriately reported on lines 1 through 5 of this table. Include other grants identified by ADE, the Governor's Office, and other agencies for which the charter has federal reporting responsibilities. 
</t>
    </r>
    <r>
      <rPr>
        <b/>
        <sz val="10"/>
        <rFont val="Times New Roman"/>
        <family val="1"/>
      </rPr>
      <t>DO NOT INCLUDE AMOUNTS RECEIVED AS A VENDOR OR BENEFICIARY.</t>
    </r>
    <r>
      <rPr>
        <sz val="10"/>
        <rFont val="Times New Roman"/>
        <family val="2"/>
      </rPr>
      <t xml:space="preserve">
Examples of grants identified by ADE include:
ARP-IDEA grants (USFRCS Chart of Accounts projects 1227 and 1228)
ARP Homeless grants
ARP school and community grants
Food service awards 
Grants identified by the Governor's Office include: 
Expansion and Innovation Fund microgrants
Project Momentum
Civic Innovation
Education Plus-Up
100 Day In-Person Reimbursement
AZ OnTrack Summer Camp 
Grants identified by other agencies include: 
Arizona Department of Emergency and Military Affairs (DEMA) FEMA Public Assistance Program
Emergency Connectivity Fund 
Arizona Department of Economic Security (DES)
Small Business Administration (SBA)—Paycheck Protection Program </t>
    </r>
  </si>
  <si>
    <t>COVID-19 federal relief projects, Total Award
(all fiscal years)</t>
  </si>
  <si>
    <t>COVID-19 federal relief projects, Amount Remaining to Spend/Conditional formatting</t>
  </si>
  <si>
    <t>Paycheck Protection Program
detail</t>
  </si>
  <si>
    <t>Enter Paycheck Protection Program (PPP) amounts for all fiscal years on lines 1-4. If the amount is zero, enter 0. 
Report PPP loan amounts returned to the issuing bank or the Small Business Administration on line 4.
Line 5 subtracts the amounts reported for PPP loans spent in all fiscal years (line 2) and PPP amounts returned (line 4) from total loan amount received (line 1). When the table is completed, Line 5 should equal 0. 
All PPP information should be reported on line 6 of the  COVID-19 federal relief projects table. The Total loan amount received should be reported within the Total Award (all fiscal years) and Total PPP loans spent in all fiscal years should be reported within the applicable year's expenses.</t>
  </si>
  <si>
    <t>Summary</t>
  </si>
  <si>
    <t>The Summary condenses the information in the AFR. Most information in the Summary automatically pulls from the AFR, so the AFR should be completed before the Summary. The Charter must manually enter amounts to the nearest dollar in the orange highlighted cells, if applicable.</t>
  </si>
  <si>
    <t>ADM</t>
  </si>
  <si>
    <t>Beginning Project Balances</t>
  </si>
  <si>
    <t>Adjusted Beginning Project Balance</t>
  </si>
  <si>
    <t>Reserve Balance tab</t>
  </si>
  <si>
    <t>Section A
General</t>
  </si>
  <si>
    <t>Section A
Line 1</t>
  </si>
  <si>
    <t>Section A
Line 2</t>
  </si>
  <si>
    <t>Section A
Line 3</t>
  </si>
  <si>
    <t xml:space="preserve">For the ending balance reported on line 2, charters must report the amount attributable to the specific purposes listed which identify how charters plan to use the monies in future years. Amounts reported on lines 3.a through 3.j must equal the total  balance reported on line 2. Specific instructions for lines 3.a through 3.h. are included below. Two rows are provided to describe other fund balance purposes not already listed. charters must specify the purpose for amounts included on the other lines in column B. </t>
  </si>
  <si>
    <t>Section A
Line 3.a</t>
  </si>
  <si>
    <t xml:space="preserve">For projects with a deficit balance, enter the negative amount on this line. Charters' projects may have deficit balances because expenses exceeded available resources from current revenues and prior year reserve balance and therefore, reduce the amount of resources available in future years.  </t>
  </si>
  <si>
    <t>Section A
Line 3.b</t>
  </si>
  <si>
    <t xml:space="preserve">Section A
Lines 3.d </t>
  </si>
  <si>
    <t>Report amounts set aside for future debt service principal and interest payments on long-term debt.</t>
  </si>
  <si>
    <t>Section A
Lines 3.e</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</si>
  <si>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</si>
  <si>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Section A
Lines 3.f</t>
  </si>
  <si>
    <t>Report restricted cash and investments held with ASRS or in an irrevocable 115 trust for future years' retirement contribution payments (i.e., the ASRS Contribution Prepayment Program). Amounts the Charter is holding with ASRS or in an irrevocable 115 trust and plans to amortize and apply to the current year's required pension contribution payments should be included on line 3.b.</t>
  </si>
  <si>
    <t>Section A
Lines 3.g</t>
  </si>
  <si>
    <t>Report amounts set aside to manage cash flows in future budget years to cover such things as revenue shortfalls, emergencies, and/or other unforeseen circumstances.</t>
  </si>
  <si>
    <t>Section B</t>
  </si>
  <si>
    <t>Line 4</t>
  </si>
  <si>
    <t>Line 5</t>
  </si>
  <si>
    <t>Element 1</t>
  </si>
  <si>
    <t>Element 2</t>
  </si>
  <si>
    <t>Element 3</t>
  </si>
  <si>
    <t>Element 4</t>
  </si>
  <si>
    <t>Element 5</t>
  </si>
  <si>
    <t>Description</t>
  </si>
  <si>
    <t xml:space="preserve"> YTD Transactions </t>
  </si>
  <si>
    <t>Project</t>
  </si>
  <si>
    <t>Program</t>
  </si>
  <si>
    <t>Function</t>
  </si>
  <si>
    <t>Object</t>
  </si>
  <si>
    <t>Unit</t>
  </si>
  <si>
    <t>Dropdown list for Project</t>
  </si>
  <si>
    <t>Dropdown list for Program</t>
  </si>
  <si>
    <t>Dropdown list for Function</t>
  </si>
  <si>
    <t>Dropdown list for Object</t>
  </si>
  <si>
    <t>Balance Sheet (asset or liability)</t>
  </si>
  <si>
    <t>1000-Schoolwide Project</t>
  </si>
  <si>
    <t>1010-Classroom Site Project</t>
  </si>
  <si>
    <t>6100-Salaries</t>
  </si>
  <si>
    <t>1020-Instructional Improvement Project</t>
  </si>
  <si>
    <t>100-Regular Education</t>
  </si>
  <si>
    <t>1000-Instruction</t>
  </si>
  <si>
    <t>6200-Employee Benefits</t>
  </si>
  <si>
    <t>1071-English Language Learner</t>
  </si>
  <si>
    <t>200-Special Education</t>
  </si>
  <si>
    <t>1900-Other Instructional Staff</t>
  </si>
  <si>
    <t>6300-6400-6500-Purchased Services</t>
  </si>
  <si>
    <t>1072-Compensatory Instruction Project</t>
  </si>
  <si>
    <t>260-English Language Learners Incremental Costs</t>
  </si>
  <si>
    <t>2100-Support Services-Students</t>
  </si>
  <si>
    <t>6600-Supplies</t>
  </si>
  <si>
    <t>1100-1130-ESEA Title I - Helping Disadvantaged Children</t>
  </si>
  <si>
    <t>265-English Language Learners Compensatory Instruction</t>
  </si>
  <si>
    <t>2200-Support Services-Instruction</t>
  </si>
  <si>
    <t>6700-Property (depreciation &amp; impairments)</t>
  </si>
  <si>
    <t>1140-1150-ESEA Title II  - Prof. Dev. And Technology</t>
  </si>
  <si>
    <t>270-Vocational and Technical Education</t>
  </si>
  <si>
    <t>2220-Improvement of Instruction</t>
  </si>
  <si>
    <t>6810-Dues &amp; Fees</t>
  </si>
  <si>
    <t>1160-ESEA  Title IV - 21st Century Schools</t>
  </si>
  <si>
    <t>400-Pupil Transportation</t>
  </si>
  <si>
    <t>2230-Library/Media Services</t>
  </si>
  <si>
    <t>6820-Judgments Against a Charter</t>
  </si>
  <si>
    <t>1170-1180-ESEA Title V - Promote Informed Parent Choice</t>
  </si>
  <si>
    <t>430-Pupil Transportation-ELL Incremental Costs</t>
  </si>
  <si>
    <t>2300-Support Services-General Administration</t>
  </si>
  <si>
    <t>6850-Interest</t>
  </si>
  <si>
    <t>1190-ESEA  Title III - Limited Eng. &amp; Immigrant Students</t>
  </si>
  <si>
    <t>435-Pupil Transportation-ELL Compensatory Instruction</t>
  </si>
  <si>
    <t>2400-Support Services-School Administration</t>
  </si>
  <si>
    <t>6890-Miscellaneous</t>
  </si>
  <si>
    <t>1200-ESEA Title VII - Indian Education</t>
  </si>
  <si>
    <t>530-Dropout Prevention Programs</t>
  </si>
  <si>
    <t>2500-Central Services</t>
  </si>
  <si>
    <t>6830-6840-6860-6870 Other Expenses and Losses</t>
  </si>
  <si>
    <t>1210-ESEA Title VI - Flexibility and Accountability</t>
  </si>
  <si>
    <t>540-Joint Career &amp; Technical Ed. &amp; Vocational Ed. Center</t>
  </si>
  <si>
    <t>2600-Operation and Maintenance of Plant</t>
  </si>
  <si>
    <t>6900-Other Objects (Indirect Costs)</t>
  </si>
  <si>
    <t>1220-IDEA, Part B</t>
  </si>
  <si>
    <t>550-K-3 Reading Program</t>
  </si>
  <si>
    <t>2700-Student Transportation</t>
  </si>
  <si>
    <t>1310-Tuition from Individuals</t>
  </si>
  <si>
    <t>1227-ARP-IDEA Preschool</t>
  </si>
  <si>
    <t>610-School-Sponsored Cocurricular Activities</t>
  </si>
  <si>
    <t>2900-Other Support Services</t>
  </si>
  <si>
    <t>1320-Tuition from Other Arizona Schools or Districts</t>
  </si>
  <si>
    <t>1228-ARP-IDEA Basic</t>
  </si>
  <si>
    <t>620-School-Sponsored Athletics</t>
  </si>
  <si>
    <t>3100-Food Service Operations</t>
  </si>
  <si>
    <t>1410-Transportation Fees from Individuals</t>
  </si>
  <si>
    <t>1230-Johnson-O'Malley</t>
  </si>
  <si>
    <t>630-Other Instructional Programs</t>
  </si>
  <si>
    <t>3300-Community Service Operations</t>
  </si>
  <si>
    <t>1420-Transportation Fees from Other Arizona Schools or Districts</t>
  </si>
  <si>
    <t>1240-Workforce Investment Act</t>
  </si>
  <si>
    <t>700-Adult/Continuing Education Programs</t>
  </si>
  <si>
    <t>3400-Bookstore Operations</t>
  </si>
  <si>
    <t>1500-Earnings on Investments</t>
  </si>
  <si>
    <t>1250-AEA - Adult Education</t>
  </si>
  <si>
    <t>800-Community College Education Programs</t>
  </si>
  <si>
    <t>4000-Facilities Acquisition &amp; Construction</t>
  </si>
  <si>
    <t>1600-Food Service</t>
  </si>
  <si>
    <t>1260-1270-Vocational Education - Basic Grants</t>
  </si>
  <si>
    <t>900-Community Services Programs</t>
  </si>
  <si>
    <t>5000-Debt Service</t>
  </si>
  <si>
    <t xml:space="preserve">1700-School Activities </t>
  </si>
  <si>
    <t>1280-ESEA Title X - Homeless Education</t>
  </si>
  <si>
    <t>1750-Revenue from Enterprise Activities</t>
  </si>
  <si>
    <t>1290-Medicaid Reimbursement</t>
  </si>
  <si>
    <t>1790-Extracurricular Activities Fees Tax Credit</t>
  </si>
  <si>
    <t>1300-Charter School Implementation Project (Stimulus)</t>
  </si>
  <si>
    <t>1800-Revenue from Community Services Activities</t>
  </si>
  <si>
    <t>13XX-Impact Aid</t>
  </si>
  <si>
    <t>1310-1399-COVID-19 Federal Relief Projects</t>
  </si>
  <si>
    <t>1920-Contributions and Donations from Private Sources</t>
  </si>
  <si>
    <t>1310-1399-Other Federal Projects</t>
  </si>
  <si>
    <t>Other Revenue from Local Sources</t>
  </si>
  <si>
    <t>1400-Vocational Education</t>
  </si>
  <si>
    <t>2100-Unrestricted Revenue from Intermediate Sources</t>
  </si>
  <si>
    <t>1410-Early Childhood Block Grant</t>
  </si>
  <si>
    <t>2200-Restricted Revenue from Intermediate Sources</t>
  </si>
  <si>
    <t>1420-Extended School Year - Pupils with Disabilities</t>
  </si>
  <si>
    <t>Other Revenue from Intermediate Sources</t>
  </si>
  <si>
    <t>1425-Adult Basic Education</t>
  </si>
  <si>
    <t>3110-State Equalization Assistance</t>
  </si>
  <si>
    <t>1430-Chemical Abuse Prevention Programs</t>
  </si>
  <si>
    <t>3130-3150-Other Unrestricted Revenue from State Sources</t>
  </si>
  <si>
    <t>1435-Academic Contests</t>
  </si>
  <si>
    <t>3200-Restricted Revenue from State Sources</t>
  </si>
  <si>
    <t>1450-Gifted Education</t>
  </si>
  <si>
    <t>3900-Revenue for/on Behalf of the School</t>
  </si>
  <si>
    <t>1456-College Credit Exam Incentives</t>
  </si>
  <si>
    <t>Other Revenue from State Sources</t>
  </si>
  <si>
    <t>4100, 4300-Unrestricted/Restricted Received Directly from the Federal Government</t>
  </si>
  <si>
    <t>1460-Environmental Special Plate</t>
  </si>
  <si>
    <t>4200, 4500-Unrestricted/Restricted Received from the Federal Government through the State</t>
  </si>
  <si>
    <t>1465-Charter School Stimulus Fund</t>
  </si>
  <si>
    <t>4700-Revenue Received from the Federal Government through Other Intermediate Agencies</t>
  </si>
  <si>
    <t>14XX-Arizona Industry Credentials Incentive</t>
  </si>
  <si>
    <t>4800-Federal Impact Aid</t>
  </si>
  <si>
    <t>1470-1499-Other State Projects</t>
  </si>
  <si>
    <t>4900-Revenue for/on Behalf of the School</t>
  </si>
  <si>
    <t>1500-1999-Other Special Projects</t>
  </si>
  <si>
    <t>Other Revenue from Federal Sources</t>
  </si>
  <si>
    <t>9999-Other Non PSD-12 Projects</t>
  </si>
  <si>
    <t>Project(s)</t>
  </si>
  <si>
    <t>Program(s)</t>
  </si>
  <si>
    <t>Function(s)</t>
  </si>
  <si>
    <t>Object(s)</t>
  </si>
  <si>
    <t xml:space="preserve">Amount </t>
  </si>
  <si>
    <t>all</t>
  </si>
  <si>
    <t xml:space="preserve">9999-Other Non PSD-12 Projects </t>
  </si>
  <si>
    <t>700-900</t>
  </si>
  <si>
    <t xml:space="preserve">Total for all Projects (excluding 9999-Other Non PSD-12 Projects ), Programs 100-630, Function 1000, and Object 6100 </t>
  </si>
  <si>
    <t xml:space="preserve">Total for all Projects (excluding 9999-Other Non PSD-12 Projects ), Programs 100-630, Function 2100, and Object 6100 </t>
  </si>
  <si>
    <t xml:space="preserve">Total for all Projects (excluding 9999-Other Non PSD-12 Projects ), Programs 100-630, Function 2200, and Object 6100 </t>
  </si>
  <si>
    <t xml:space="preserve">Total for all Projects (excluding 9999-Other Non PSD-12 Projects ), Programs 100-630, Function 2300, and Object 6100 </t>
  </si>
  <si>
    <t xml:space="preserve">Total for all Projects (excluding 9999-Other Non PSD-12 Projects ), Programs 100-630, Function 2400, and Object 6100 </t>
  </si>
  <si>
    <t xml:space="preserve">Total for all Projects (excluding 9999-Other Non PSD-12 Projects ), Programs 100-630, Function 2500, and Object 6100 </t>
  </si>
  <si>
    <t xml:space="preserve">Total for all Projects (excluding 9999-Other Non PSD-12 Projects ), Programs 100-630, Function 2900, and Object 6100 </t>
  </si>
  <si>
    <t xml:space="preserve">Total for all Projects (excluding 9999-Other Non PSD-12 Projects ), Programs 100-630, Function 2600, and Object 6100 </t>
  </si>
  <si>
    <t xml:space="preserve">Total for all Projects (excluding 9999-Other Non PSD-12 Projects ), Programs 100-630, Function 2700, and Object 6100 </t>
  </si>
  <si>
    <t xml:space="preserve">Total for all Projects (excluding 9999-Other Non PSD-12 Projects ), Programs 100-630, Function 3100, and Object 6100 </t>
  </si>
  <si>
    <t xml:space="preserve">Total for all Projects (excluding 9999-Other Non PSD-12 Projects ), Programs 100-630, Function 3400, and Object 6100 </t>
  </si>
  <si>
    <t xml:space="preserve">Total for all Projects (excluding 9999-Other Non PSD-12 Projects ), Programs 100-630, Function 4000, and Object 6100 </t>
  </si>
  <si>
    <t>Total for all Projects (excluding 9999-Other Non PSD-12 Projects ), Programs 100-630, All Functions except 4000, and Object 6100</t>
  </si>
  <si>
    <t>1100-1399</t>
  </si>
  <si>
    <t xml:space="preserve">Total for Projects 1100-1399, Programs 100-630, Functions 1000-3000, and Object 6100 </t>
  </si>
  <si>
    <t xml:space="preserve">Total for all Projects (excluding 9999-Other Non PSD-12 Projects ), Programs 100-630, Function 1000, and Object 6200 </t>
  </si>
  <si>
    <t xml:space="preserve">Total for all Projects (excluding 9999-Other Non PSD-12 Projects ), Programs 100-630, Function 2100, and Object 6200 </t>
  </si>
  <si>
    <t xml:space="preserve">Total for all Projects (excluding 9999-Other Non PSD-12 Projects ), Programs 100-630, Function 2200, and Object 6200 </t>
  </si>
  <si>
    <t xml:space="preserve">Total for all Projects (excluding 9999-Other Non PSD-12 Projects ), Programs 100-630, Function 2300, and Object 6200 </t>
  </si>
  <si>
    <t xml:space="preserve">Total for all Projects (excluding 9999-Other Non PSD-12 Projects ), Programs 100-630, Function 2400, and Object 6200 </t>
  </si>
  <si>
    <t xml:space="preserve">Total for all Projects (excluding 9999-Other Non PSD-12 Projects ), Programs 100-630, Function 2500, and Object 6200 </t>
  </si>
  <si>
    <t xml:space="preserve">Total for all Projects (excluding 9999-Other Non PSD-12 Projects ), Programs 100-630, Function 2900, and Object 6200 </t>
  </si>
  <si>
    <t xml:space="preserve">Total for all Projects (excluding 9999-Other Non PSD-12 Projects ), Programs 100-630, Function 2600, and Object 6200 </t>
  </si>
  <si>
    <t xml:space="preserve">Total for all Projects (excluding 9999-Other Non PSD-12 Projects ), Programs 100-630, Function 2700, and Object 6200 </t>
  </si>
  <si>
    <t xml:space="preserve">Total for all Projects (excluding 9999-Other Non PSD-12 Projects ), Programs 100-630, Function 3100, and Object 6200 </t>
  </si>
  <si>
    <t xml:space="preserve">Total for all Projects (excluding 9999-Other Non PSD-12 Projects ), Programs 100-630, Function 3400, and Object 6200 </t>
  </si>
  <si>
    <t xml:space="preserve">Total for all Projects(excluding 9999-Other Non PSD-12 Projects ), Programs 100-630, Function 4000, and Object 6200 </t>
  </si>
  <si>
    <t>Total for all Projects (excluding 9999-Other Non PSD-12 Projects ), Programs 100-630, All Functions excluding 4000, and Object 6200</t>
  </si>
  <si>
    <t xml:space="preserve">Total for Projects 1100-1399, Programs 100-630, Functions 1000-3000, and Object 6200 </t>
  </si>
  <si>
    <t>6300, 6400, and 6500</t>
  </si>
  <si>
    <t>Total for all Projects (excluding 9999-Other Non PSD-12 Projects ), Programs 100-630, Function 1000, and Object 6300, 6400, and 6500</t>
  </si>
  <si>
    <t>Total for all Projects (excluding 9999-Other Non PSD-12 Projects ), Programs 100-630, Function 2100, and Object 6300, 6400, and 6500</t>
  </si>
  <si>
    <t>Total for all Projects (excluding 9999-Other Non PSD-12 Projects ), Programs 100-630, Function 2200, and Object 6300, 6400, and 6500</t>
  </si>
  <si>
    <t>Total for all Projects (excluding 9999-Other Non PSD-12 Projects ), Programs 100-630, Function 2300, and Object 6300, 6400, and 6500</t>
  </si>
  <si>
    <t>Total for all Projects (excluding 9999-Other Non PSD-12 Projects ), Programs 100-630, Function 2400, and Object 6300, 6400, and 6500</t>
  </si>
  <si>
    <t>Total for all Projects (excluding 9999-Other Non PSD-12 Projects ), Programs 100-630, Function 2500, and Object 6300, 6400, and 6500</t>
  </si>
  <si>
    <t>Total for all Projects (excluding 9999-Other Non PSD-12 Projects ), Programs 100-630, Function 2900, and Object 6300, 6400, and 6500</t>
  </si>
  <si>
    <t>Total for all Projects (excluding 9999-Other Non PSD-12 Projects ), Programs 100-630, Function 2600, and Object 6300, 6400, and 6500</t>
  </si>
  <si>
    <t>Total for all Projects (excluding 9999-Other Non PSD-12 Projects ), Programs 100-630, Function 2700, and Object 6300, 6400, and 6500</t>
  </si>
  <si>
    <t xml:space="preserve">Total for all Projects (excluding 9999-Other Non PSD-12 Projects ), Programs 100-630, Function 3100, and Object 6300, 6400, and 6500 </t>
  </si>
  <si>
    <t>Total for all Projects (excluding 9999-Other Non PSD-12 Projects ), Programs 100-630, Function 3400, and Object 6300, 6400, and 6500</t>
  </si>
  <si>
    <t>Total for all Projects (excluding 9999-Other Non PSD-12 Projects ), Programs 100-630, Function 4000, and Object 6300, 6400, and 6500</t>
  </si>
  <si>
    <t>Total for all Projects (excluding 9999-Other Non PSD-12 Projects ), Programs 100-630, All Functions excluding 4000, and Objects 6300, 6400, and 6500</t>
  </si>
  <si>
    <t xml:space="preserve">Total for Projects 1100-1399, Programs 100-630, Functions 1000-3000, and Object 6300 </t>
  </si>
  <si>
    <t xml:space="preserve">Total for Projects 1100-1399, Programs 100-630, Functions 1000-3000, and Object 6400 </t>
  </si>
  <si>
    <t xml:space="preserve">Total for Projects 1100-1399, Programs 100-630, Functions 1000-3000, and Object 6500 </t>
  </si>
  <si>
    <t xml:space="preserve">Total for Projects 1100-1399, Programs 100-630, Functions 1000-3000, and Objects 6300,6400 and 6500 </t>
  </si>
  <si>
    <t>Total for all Projects (excluding 9999-Other Non PSD-12 Projects ), Programs 100-630, Function 1000, and Object 6600</t>
  </si>
  <si>
    <t>Total for all Projects (excluding 9999-Other Non PSD-12 Projects ), Programs 100-630, Function 2100, and Object 6600</t>
  </si>
  <si>
    <t>Total for all Projects (excluding 9999-Other Non PSD-12 Projects ), Programs 100-630, Function 2200, and Object 6600</t>
  </si>
  <si>
    <t>Total for all Projects (excluding 9999-Other Non PSD-12 Projects ), Programs 100-630, Function 2300, and Object 6600</t>
  </si>
  <si>
    <t>Total for all Projects (excluding 9999-Other Non PSD-12 Projects ), Programs 100-630, Function 2400, and Object 6600</t>
  </si>
  <si>
    <t>Total for all Projects (excluding 9999-Other Non PSD-12 Projects ), Programs 100-630, Function 2500, and Object 6600</t>
  </si>
  <si>
    <t>Total for all Projects (excluding 9999-Other Non PSD-12 Projects ), Programs 100-630, Function 2900, and Object 6600</t>
  </si>
  <si>
    <t>Total for all Projects (excluding 9999-Other Non PSD-12 Projects ), Programs 100-630, Function 2600, and Object 6600</t>
  </si>
  <si>
    <t>Total for all Projects (excluding 9999-Other Non PSD-12 Projects ), Programs 100-630, Function 2700, and Object 6600</t>
  </si>
  <si>
    <t>Total for all Projects (excluding 9999-Other Non PSD-12 Projects ), Programs 100-630, Function 3100, and Object 6600</t>
  </si>
  <si>
    <t>Total for all Projects (excluding 9999-Other Non PSD-12 Projects ), Programs 100-630, Function 3400, and Object 6600</t>
  </si>
  <si>
    <t>Total for all Projects (excluding 9999-Other Non PSD-12 Projects ), Programs 100-630, Function 4000, and Object 6600</t>
  </si>
  <si>
    <t>Total for all Projects (excluding 9999-Other Non PSD-12 Projects ), Programs 100-630, All Functions excluding 4000, and Object 6600</t>
  </si>
  <si>
    <t>Total for Projects 1100-1399, Programs 100-630, Functions 1000-3000, and Object 6600</t>
  </si>
  <si>
    <t>Total for all Projects (excluding 9999-Other Non PSD-12 Projects ), Programs 100-630, Function 1000, and Object 6810</t>
  </si>
  <si>
    <t>Total for all Projects (excluding 9999-Other Non PSD-12 Projects ), Programs 100-630, Function 2100, and Object 6810</t>
  </si>
  <si>
    <t>Total for all Projects (excluding 9999-Other Non PSD-12 Projects ), Programs 100-630, Function 2200, and Object 6810</t>
  </si>
  <si>
    <t>Total for all Projects (excluding 9999-Other Non PSD-12 Projects ), Programs 100-630, Function 2300, and Object 6810</t>
  </si>
  <si>
    <t>Total for all Projects (excluding 9999-Other Non PSD-12 Projects ), Programs 100-630, Function 2400, and Object 6810</t>
  </si>
  <si>
    <t>Total for all Projects (excluding 9999-Other Non PSD-12 Projects ), Programs 100-630, Function 2500, and Object 6810</t>
  </si>
  <si>
    <t>Total for all Projects (excluding 9999-Other Non PSD-12 Projects ), Programs 100-630, Function 2900, and Object 6810</t>
  </si>
  <si>
    <t>Total for all Projects (excluding 9999-Other Non PSD-12 Projects ), Programs 100-630, Function 2600, and Object 6810</t>
  </si>
  <si>
    <t>Total for all Projects (excluding 9999-Other Non PSD-12 Projects ), Programs 100-630, Function 2700, and Object 6810</t>
  </si>
  <si>
    <t>Total for all Projects (excluding 9999-Other Non PSD-12 Projects ), Programs 100-630, Function 3100, and Object 6810</t>
  </si>
  <si>
    <t>Total for all Projects (excluding 9999-Other Non PSD-12 Projects ), Programs 100-630, Function 3400, and Object 6810</t>
  </si>
  <si>
    <t>Total for all Projects (excluding 9999-Other Non PSD-12 Projects ), Programs 100-630, Function 4000, and Object 6810</t>
  </si>
  <si>
    <t>Total for all Projects (excluding 9999-Other Non PSD-12 Projects ), Programs 100-630, All Functions excluding 4000, and Object 6810</t>
  </si>
  <si>
    <t>Total for Projects 1100-1399, Programs 100-630, Functions 1000-3000, and Object 6810</t>
  </si>
  <si>
    <t>Total for all Projects (excluding 9999-Other Non PSD-12 Projects ), Programs 100-630, Function 2300, and Object 6820</t>
  </si>
  <si>
    <t>Total for Projects 1100-1399, Programs 100-630, Function 2300, and Object 6820</t>
  </si>
  <si>
    <t>Total for all Projects (excluding 9999-Other Non PSD-12 Projects ), Programs 100-630, Function 2500, and Object 6850</t>
  </si>
  <si>
    <t>Total for Projects 1100-1399, Programs 100-630, Functions 2500, and Object 6850</t>
  </si>
  <si>
    <t>Total for all Projects (excluding 9999-Other Non PSD-12 Projects ), Programs 100-630, Function 1000, and Object 6890</t>
  </si>
  <si>
    <t>Total for all Projects (excluding 9999-Other Non PSD-12 Projects ), Programs 100-630, Function 2100, and Object 6890</t>
  </si>
  <si>
    <t>Total for all Projects (excluding 9999-Other Non PSD-12 Projects ), Programs 100-630, Function 2200, and Object 6890</t>
  </si>
  <si>
    <t>Total for all Projects (excluding 9999-Other Non PSD-12 Projects ), Programs 100-630, Function 2300, and Object 6890</t>
  </si>
  <si>
    <t>Total for all Projects (excluding 9999-Other Non PSD-12 Projects ), Programs 100-630, Function 2400, and Object 6890</t>
  </si>
  <si>
    <t>Total for all Projects (excluding 9999-Other Non PSD-12 Projects ), Programs 100-630, Function 2500, and Object 6890</t>
  </si>
  <si>
    <t>Total for all Projects (excluding 9999-Other Non PSD-12 Projects ), Programs 100-630, Function 2900, and Object 6890</t>
  </si>
  <si>
    <t>Total for all Projects (excluding 9999-Other Non PSD-12 Projects ), Programs 100-630, Function 2600, and Object 6890</t>
  </si>
  <si>
    <t>Total for all Projects (excluding 9999-Other Non PSD-12 Projects ), Programs 100-630, Function 2700, and Object 6890</t>
  </si>
  <si>
    <t>Total for all Projects (excluding 9999-Other Non PSD-12 Projects ), Programs 100-630, Function 3100, and Object 6890</t>
  </si>
  <si>
    <t>Total for all Projects (excluding 9999-Other Non PSD-12 Projects ), Programs 100-630, Function 3200, and Object 6890</t>
  </si>
  <si>
    <t>Total for all Projects (excluding 9999-Other Non PSD-12 Projects ), Programs 100-630, Function 3400, and Object 6890</t>
  </si>
  <si>
    <t>Total for all Projects (excluding 9999-Other Non PSD-12 Projects ), Programs 100-630, Function 4000, and Object 6890</t>
  </si>
  <si>
    <t>Total for all Projects (excluding 9999-Other Non PSD-12 Projects ), Programs 100-630, All Functions excluding 4000, and Object 6890</t>
  </si>
  <si>
    <t>Total for Projects 1100-1399, Programs 100-630, Functions 1000-3000, and Object 6890</t>
  </si>
  <si>
    <t>Total for all Projects (excluding 9999-Other Non PSD-12 Projects ), Programs 700-900, Function 1000, and all 6000 Objects, excluding 6700 and 6900</t>
  </si>
  <si>
    <t>Total for all Projects (excluding 9999-Other Non PSD-12 Projects ), Programs 700-900, Function 2100, and all 6000 Objects, excluding 6700 and 6900</t>
  </si>
  <si>
    <t>Total for all Projects (excluding 9999-Other Non PSD-12 Projects ), Programs 700-900, Function 2200, and all 6000 Objects, excluding 6700 and 6900</t>
  </si>
  <si>
    <t>Total for all Projects (excluding 9999-Other Non PSD-12 Projects ), Programs 700-900, Function 2300, and all 6000 Objects, excluding 6700 and 6900</t>
  </si>
  <si>
    <t>Total for all Projects (excluding 9999-Other Non PSD-12 Projects ), Programs 700-900, Function 2400, and all 6000 Objects, excluding 6700 and 6900</t>
  </si>
  <si>
    <t>Total for all Projects (excluding 9999-Other Non PSD-12 Projects ), Programs 700-900, Function 2500, and all 6000 Objects, excluding 6700 and 6900</t>
  </si>
  <si>
    <t>Total for all Projects (excluding 9999-Other Non PSD-12 Projects ), Programs 700-900, Function 2900, and all 6000 Objects, excluding 6700 and 6900</t>
  </si>
  <si>
    <t>Total for all Projects (excluding 9999-Other Non PSD-12 Projects ), Programs 700-900, Function 2600, and all 6000 Objects, excluding 6700 and 6900</t>
  </si>
  <si>
    <t>Total for all Projects (excluding 9999-Other Non PSD-12 Projects ), Programs 700-900, Function 3100, and all 6000 Objects, excluding 6700 and 6900</t>
  </si>
  <si>
    <t>Total for all Projects (excluding 9999-Other Non PSD-12 Projects ), Programs 700-900, Function 3300, and all 6000 Objects, excluding 6700 and 6900</t>
  </si>
  <si>
    <t>Total for all Projects (excluding 9999-Other Non PSD-12 Projects ), Programs 700-900, Function 3400, and all 6000 Objects, excluding 6700 and 6900</t>
  </si>
  <si>
    <t>Total for all Projects (excluding 9999-Other Non PSD-12 Projects ), Programs 700-900, Function 4000, and all 6000 Objects, excluding 6700 and 6900</t>
  </si>
  <si>
    <t>Total for all Projects (excluding 9999-Other Non PSD-12 Projects ), Programs 700-900, Function 5000, and all 6000 Objects, excluding 6700 and 6900</t>
  </si>
  <si>
    <t>Total for all Projects (excluding 9999-Other Non PSD-12 Projects ), Programs 700-900, All Functions except 4000-5000, and all 6000 Objects, excluding 6700 and 6900</t>
  </si>
  <si>
    <t>Total for Projects 1100-1399, Programs 700-900, All Functions, and all 6000 Objects excluding 6900</t>
  </si>
  <si>
    <t>900-949</t>
  </si>
  <si>
    <t>Total for 9999-Other Non PSD-12 Projects, All Programs, All Functions, All 6000 Objects</t>
  </si>
  <si>
    <t>Total for all Projects (excluding 9999-Other Non PSD-12 Projects ), Programs 100-630, Function 5000, and Object 6850</t>
  </si>
  <si>
    <t>Total for all Projects (excluding 9999-Other Non PSD-12 Projects ), Programs 100-630, Function 1000, and Object 6800</t>
  </si>
  <si>
    <t>Total for all Projects (excluding 9999-Other Non PSD-12 Projects ), Programs 100-630, Function 2100, and Object 6800</t>
  </si>
  <si>
    <t>Total for all Projects (excluding 9999-Other Non PSD-12 Projects ), Programs 100-630, Function 2200, and Object 6800</t>
  </si>
  <si>
    <t>Total for all Projects (excluding 9999-Other Non PSD-12 Projects ), Programs 100-630, Function 2300, and Object 6800</t>
  </si>
  <si>
    <t>Total for all Projects (excluding 9999-Other Non PSD-12 Projects ), Programs 100-630, Function 2400, and Object 6800</t>
  </si>
  <si>
    <t>Total for all Projects (excluding 9999-Other Non PSD-12 Projects ), Programs 100-630, Function 2500, and Object 6800</t>
  </si>
  <si>
    <t>Total for all Projects (excluding 9999-Other Non PSD-12 Projects ), Programs 100-630, Function 2900, and Object 6800</t>
  </si>
  <si>
    <t>Total for all Projects (excluding 9999-Other Non PSD-12 Projects ), Programs 100-630, Function 2600, and Object 6800</t>
  </si>
  <si>
    <t>Total for all Projects (excluding 9999-Other Non PSD-12 Projects ), Programs 100-630, Function 2700, and Object 6800</t>
  </si>
  <si>
    <t>Total for all Projects (excluding 9999-Other Non PSD-12 Projects ), Programs 100-630, Function 3100, and Object 6800</t>
  </si>
  <si>
    <t>Total for all Projects (excluding 9999-Other Non PSD-12 Projects ), Programs 100-630, Function 3400, and Object 6800</t>
  </si>
  <si>
    <t>Total for all Projects (excluding 9999-Other Non PSD-12 Projects ), Programs 700-900, All Functions except 4000, and Object 6800</t>
  </si>
  <si>
    <t>Total for Projects 1100-1399, Programs 100-630, Functions 1000-3000, and Object 6800</t>
  </si>
  <si>
    <t>Total for all Projects (excluding 9999-Other Non PSD-12 Projects ), Programs 100-630, Function 4000, and Object 6800</t>
  </si>
  <si>
    <t>Total for all Projects (excluding 9999-Other Non PSD-12 Projects ), Programs 100-630, Function 1900, and Object 6100</t>
  </si>
  <si>
    <t xml:space="preserve">Total for Projects 1100-1399, Programs 100-630, Functions 1900, and Object 6100 </t>
  </si>
  <si>
    <t>Total for State and Local Projects, Programs 100-630, Functions 1900, and Object 6100</t>
  </si>
  <si>
    <t>Total for all Projects (excluding 9999-Other Non PSD-12 Projects ), Programs 100-630, Function 5000, and Object 6800</t>
  </si>
  <si>
    <t>The Charter should complete the Cover, School listing, and Accounting data tabs first. This file has been designed to populate most amounts automatically based on provided accounting data. The Charter must manually enter amounts to the nearest dollar in the orange highlighted cells. Do not enter information in the shaded areas or protected cells and do not change formulas. Charters must follow all instructions to ensure uploaded files will pass validation checks.</t>
  </si>
  <si>
    <t>B. Project balance reserve process or policy</t>
  </si>
  <si>
    <t>Governing Board policy number (N/A if no adopted policy exists):</t>
  </si>
  <si>
    <t>Does the Charter operate additional school sites with resources that are not reflected in the project balances reported in section A?</t>
  </si>
  <si>
    <t xml:space="preserve">Is the Charter a part of another financial reporting entity (e.g., a larger nonprofit organization) with resources that are not reflected in the project balances reported in Section A? </t>
  </si>
  <si>
    <t xml:space="preserve">     Total federal and State projects (lines 18 and 32)</t>
  </si>
  <si>
    <t xml:space="preserve">     Total State projects (lines 20-31)</t>
  </si>
  <si>
    <t>A. Project balance amounts and planned uses</t>
  </si>
  <si>
    <t>Total project balance (should agree to amount on line 2)</t>
  </si>
  <si>
    <t>Does the Charter have a process or policy it follows to establish a targeted (goal) project balance reserve level that the Charter is working to maintain each year? (Yes or No in cell F26) If the Charter has an adopted Governing Board policy, enter the policy number in the box provided (cell G26).</t>
  </si>
  <si>
    <t>Arizona charter schools may operate in a variety ways including as a single school or as multiple school sites under 1 charter holder or charter management organization. A charter's operating structure may affect project balance decisions. The questions below are intended to provide clarifying information on a charter's operating format for users to consider when reviewing the specific project balance information reported on this page.</t>
  </si>
  <si>
    <t>This tab presents information on the amount and planned use of the Charter's project's balances to increase transparency and provide decision-makers, other stakeholders, and the public more complete financial information. It also presents information about policies or guidelines the Charter used to establish target project balance reserve amounts.</t>
  </si>
  <si>
    <t>Prior year ending project balance</t>
  </si>
  <si>
    <t>Current year ending project balance</t>
  </si>
  <si>
    <r>
      <t>This line pulls in current year ending balances from the Summar</t>
    </r>
    <r>
      <rPr>
        <sz val="10"/>
        <rFont val="Times New Roman"/>
        <family val="2"/>
      </rPr>
      <t>y tab for all projects.</t>
    </r>
  </si>
  <si>
    <t>Section A
Lines 3.c, through h</t>
  </si>
  <si>
    <t>Section B provides information about any process or policy the Charter uses to establish targeted (goal) project balance reserve amounts.</t>
  </si>
  <si>
    <t>Charters should use this space to describe any planned actions related to its project balance amounts going forward, including increasing reserves that do not meet targeted levels or using excess amounts held in reserve beyond the adopted targeted reserve level. Also, describe any planned actions to change targeted reserve levels or formally adopt policies related to reserve levels, if not already in place. This space may also be used to describe why amounts are maintained for the purposes reported in section A and more detailed information on the Charter's plans for using maintained fund balances in future years. If the Charter's ending balance is negative, describe actions planned to eliminate the deficits (negative amounts).</t>
  </si>
  <si>
    <t>Federal and State projects, line 33</t>
  </si>
  <si>
    <t xml:space="preserve">Amounts for indirect costs, expenses, capital acquisitions, redemption of principal, and ending balance should agree with the Charter's completion reports filed with the ADE Grants Management Office. Manually enter in any amounts for reversions (monies returned to the grantor) and capital acquisitions and principal payments.
Do not include payments for depreciation or impairment expense.  
Report expenses related to monies remaining in Project 1457—Results-based Funding on line 31—Other State Projects, along with any other State project funds not included on lines 20 through 30 above.
  </t>
  </si>
  <si>
    <t>Report property disbursement, interest, and redemption of principal payments made in accordance with §15-977. Property disbursements should include payments for capital acquisitions, not including related capital lease or other debt service payments. Interest expenses will be charged to object code 6850. Redemption of principal should include payments for principal on leases and other long-term debt that reduced the related liability.</t>
  </si>
  <si>
    <t>(see Reserve balance tab for more detail)</t>
  </si>
  <si>
    <t>Page 1, line 21. 3200-Restricted revenues should be greater than or equal to total revenue amounts on pages 3-5 for CSP, IIP, ELLP and CIP. Ensure revenues are properly recorded for Classroom Site Project on page 3, line 11; Instructional Improvement Project on page 4, line 7; English Language Learner Project on page 5, line 1 and Compensatory Instruction Project, page 5, line 15. As these revenues are all considered restricted revenues from State sources, these amounts should be included in the amount reported on page 1, line 21. In addition, any restricted revenues received for State projects, as reported on page 8, should also be included, as appropriate.</t>
  </si>
  <si>
    <t>Page 6, section C is not complete. Ensure all expenses for capital acquisitions are reported on page 6, section C, lines 1-6. If the Charter does not have any applicable capital acquisitions to report, enter a 0 on the line item(s) as applicable. Lines 1-6 cannot be left blank.</t>
  </si>
  <si>
    <t>Page 6, section E, current expenses table is not complete. Ensure current expenses reported on page 6, section E are accurate. Lines 1, 2, 3, and 5 cannot be 0 or left blank.</t>
  </si>
  <si>
    <t>Property disbursements should include actual payments made during the year for capital acquisitions, not including related finance lease or other debt service payments.  Property disbursements for nonfixed (movable) equipment in programs 100 through 600 should be allocated to functions 1000 through 4000 based on the intended use of the equipment.  All other property disbursements for these programs should be included in function 4000.</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</si>
  <si>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finance lease or other debt service payments. Total property disbursements in this table should equal the sum of property disbursements in the 2 preceding tables above. If no disbursements were made during the year, enter a 0 value in each line.</t>
  </si>
  <si>
    <t>Debt service amounts should include interest, redemption of principal, and other expenses  for programs 100-630. Interest should be expenses charged to object code 6850.  Redemption of principal should include payments made during the year for principal on finance leases and other long-term debt that were recorded as a reduction of the related liability. All other expenses coded within the 6800 object range, function 5000, should be included in line 6800 Other.</t>
  </si>
  <si>
    <t>The amounts in this column calculate automatically based on columns D, E, and F on each line. Any negative amounts, will be highlighted in yellow. To correct negative amounts in these cells, verify that spending reported in columns E through F does not exceed the total award reported in column D. All amounts entered into this form should be rounded to the nearest whole dollar. This column may also show negative amounts if cents are entered in the award or spending columns.
For further assistance with this issue, please contact the Auditor General's Accountability Services Division at (602) 977-2796 or email asd@azauditor.gov.</t>
  </si>
  <si>
    <t>Charters must manually enter total award and spending information for the various COVID-19 grants listed in lines 1 through 6 of this table. Charters can refer to the Auditor General's COVID-19 Spending Special Report Followup, Dashboard B, for previously reported grant award and prior years' spending information, when completing this table. Detailed instructions regarding the amounts that should be included in each row and column are included below.</t>
  </si>
  <si>
    <t>Classroom Site Project (from page 3, lines 6 and 8)</t>
  </si>
  <si>
    <t>Federal and State Projects (from page 8, line 33)</t>
  </si>
  <si>
    <t>(1)  Include the value of USDA Commodities on this line (excluding freight), as well as cash received from the USDA instead of commodities.</t>
  </si>
  <si>
    <t xml:space="preserve">     [This amount will be used to determine charter compliance with State matching requirements pursuant to CFR Title 7, §210.17(a).]</t>
  </si>
  <si>
    <t>E.  State Equalization Assistance expended for food service, function 3100</t>
  </si>
  <si>
    <t xml:space="preserve">     Number of 1/2 pint milk units served to children</t>
  </si>
  <si>
    <t>D.  Special Milk Program</t>
  </si>
  <si>
    <t xml:space="preserve">           </t>
  </si>
  <si>
    <t xml:space="preserve">      Total  (must equal total on line 11 above)</t>
  </si>
  <si>
    <t xml:space="preserve">     6. Paid snack</t>
  </si>
  <si>
    <t xml:space="preserve">      Other</t>
  </si>
  <si>
    <t xml:space="preserve">     5. Paid lunch</t>
  </si>
  <si>
    <t xml:space="preserve">      Management fee</t>
  </si>
  <si>
    <t xml:space="preserve">     4. Paid breakfast</t>
  </si>
  <si>
    <t xml:space="preserve">      Food</t>
  </si>
  <si>
    <t xml:space="preserve">     3. Reduced snack</t>
  </si>
  <si>
    <t xml:space="preserve">      Supplies and materials (nonfood)</t>
  </si>
  <si>
    <t xml:space="preserve">     2. Reduced lunch</t>
  </si>
  <si>
    <t xml:space="preserve">      Employee benefits</t>
  </si>
  <si>
    <t xml:space="preserve">     1. Reduced breakfast</t>
  </si>
  <si>
    <t xml:space="preserve">      Classified salaries</t>
  </si>
  <si>
    <t>Adult</t>
  </si>
  <si>
    <t>7-8</t>
  </si>
  <si>
    <t>K-6</t>
  </si>
  <si>
    <t>C.  Meal prices</t>
  </si>
  <si>
    <t>G.  Detail of food service management company expenses</t>
  </si>
  <si>
    <t>* Divide all revenues from a la carte sales by the free lunch reimbursement rate received.</t>
  </si>
  <si>
    <t xml:space="preserve">    c. Other</t>
  </si>
  <si>
    <t xml:space="preserve">    b. Program adults/adult workers</t>
  </si>
  <si>
    <t>F.  Cash balances</t>
  </si>
  <si>
    <t xml:space="preserve">    a. Reimbursable meals only</t>
  </si>
  <si>
    <t>2. Served at other locations</t>
  </si>
  <si>
    <t>Total expenses (lines 7-20)</t>
  </si>
  <si>
    <t>0196 Equipment</t>
  </si>
  <si>
    <t>0190 Capital assets (excluding 0196)</t>
  </si>
  <si>
    <t>1. Served at charter school locations</t>
  </si>
  <si>
    <t>6800 Other expenses (excluding food service mgt. fees)</t>
  </si>
  <si>
    <t>B.  Number of meals served</t>
  </si>
  <si>
    <t>6633 Other food</t>
  </si>
  <si>
    <t>Snacks</t>
  </si>
  <si>
    <t>A la carte*</t>
  </si>
  <si>
    <t>Lunches/suppers</t>
  </si>
  <si>
    <t>Breakfasts</t>
  </si>
  <si>
    <t>6632 USDA commodities (freight only)</t>
  </si>
  <si>
    <t>6631 USDA commodities (excluding freight)</t>
  </si>
  <si>
    <t>A.  Number of operating months</t>
  </si>
  <si>
    <t>6620 Energy</t>
  </si>
  <si>
    <t>6610 General supplies (nonfood items)</t>
  </si>
  <si>
    <t>Total revenue (lines 1-5)</t>
  </si>
  <si>
    <t>6591 Services purchased from other AZ schools or districts</t>
  </si>
  <si>
    <t>4900 Revenue for/on behalf of the school (1)</t>
  </si>
  <si>
    <t xml:space="preserve">6570 Food service management </t>
  </si>
  <si>
    <t xml:space="preserve">          from the federal government through the State</t>
  </si>
  <si>
    <t>6530 Communications</t>
  </si>
  <si>
    <t>4500 Restricted revenue (reimbursement) received</t>
  </si>
  <si>
    <t>6400 Purchased property services</t>
  </si>
  <si>
    <t>1900 Other revenues and gains from local sources</t>
  </si>
  <si>
    <t xml:space="preserve">6200 Personal services—employee benefits </t>
  </si>
  <si>
    <t>1600 Food service</t>
  </si>
  <si>
    <t xml:space="preserve">6100 Personal services—salaries </t>
  </si>
  <si>
    <t>Food Service</t>
  </si>
  <si>
    <t>Report the breakdown of expenses related to the use of a food service management company. The total reported in this table must agree with the amount on line 11.</t>
  </si>
  <si>
    <t>Report the number of half-pint units served to children.</t>
  </si>
  <si>
    <t>Report the charge to children and adults as indicated. Please enter zeros if no charge applies.</t>
  </si>
  <si>
    <t>Report snack meals served after the school day has ended, typically for the purposes of an approved After School Care Snack Program, in this column.</t>
  </si>
  <si>
    <t>Report any food items sold that are not appropriate to include in the breakfast, lunch/supper, or snack column in the a la carte column. Report these as equivalent meal counts by totaling the dollar amount of such sales, and dividing by the free lunch reimbursement rate.</t>
  </si>
  <si>
    <t xml:space="preserve">A la carte </t>
  </si>
  <si>
    <t>Report lunch meals served during an established lunch period, typically for the purposes of an approved USDA National School Lunch Program, in this column. Report supper meals served in the evening for the purposes of an approved USDA Summer Food Service Program, if applicable, in this column.</t>
  </si>
  <si>
    <t>Report breakfast meals served during an established breakfast period, typically for the purposes of an approved USDA School Breakfast Program, in this column.</t>
  </si>
  <si>
    <t>Report the number of all other meals served that were not eligible to be included on lines a or b, including non-program adults.</t>
  </si>
  <si>
    <t>Report the number of meals served to program adults and adult food service workers.</t>
  </si>
  <si>
    <t>Program adults/adult workers</t>
  </si>
  <si>
    <t>Report the number of reimbursable meals served.</t>
  </si>
  <si>
    <t>Reimbursable meals only</t>
  </si>
  <si>
    <t>Meals served at the charter school should include all meals served on the school's premises. Meals served at other locations should include meals served at nearby district schools, private schools, or other charter schools.</t>
  </si>
  <si>
    <t>Report the number of months the Charter's food service program was in session.</t>
  </si>
  <si>
    <t>Report the cost of furniture/equipment or vehicles/transportation equipment purchased for the benefit of the food service program. The items must also have a unit cost of at least $50 and have a useful life of 1 year or more. Items reported here include, but are not limited to, chairs, tables, mixers, and vehicles and equipment used to transport food.</t>
  </si>
  <si>
    <t>0196—Equipment</t>
  </si>
  <si>
    <t>0190—Capital assets (excluding 0196)</t>
  </si>
  <si>
    <t>6800—Other expenses (excluding food service management fees)</t>
  </si>
  <si>
    <t>6633—Other food</t>
  </si>
  <si>
    <t>6632—USDA commodities (freight only)</t>
  </si>
  <si>
    <t>https://www.azed.gov/sites/default/files/2022/09/How%20to%20Complete%20USDA%20Foods%20AFR%20Calculations.pdf</t>
  </si>
  <si>
    <t>6631—USDA commodities (excluding freight)</t>
  </si>
  <si>
    <t>6620—Energy</t>
  </si>
  <si>
    <t>6610—General supplies (nonfood items)</t>
  </si>
  <si>
    <t>Report payments to another school or district within the State for services rendered related to the food service program.</t>
  </si>
  <si>
    <t>6591—Services purchased from other Arizona schools or districts</t>
  </si>
  <si>
    <t>6570—Food service management</t>
  </si>
  <si>
    <t>6530—Communications</t>
  </si>
  <si>
    <t xml:space="preserve">Report the cost of services purchased to rent property or equipment, or to operate, repair, and maintain property owned, rented, or used by the Charter. </t>
  </si>
  <si>
    <t xml:space="preserve">6400—Purchased property services </t>
  </si>
  <si>
    <t>Report the portion of employee benefit expenses for personnel whose salaries have been reported on line 7.</t>
  </si>
  <si>
    <t>6200—Personal services—employee benefits</t>
  </si>
  <si>
    <t>6100—Personal services—salaries</t>
  </si>
  <si>
    <t>4900—Revenue for/on behalf of the school</t>
  </si>
  <si>
    <t>4500—Restricted revenue (reimbursement) received from the federal government through the State</t>
  </si>
  <si>
    <t xml:space="preserve">Report other revenue from local sources not classified elsewhere, including rentals and contributions. </t>
  </si>
  <si>
    <t>1900—Other revenues and gains from local sources</t>
  </si>
  <si>
    <t>1600—Food service</t>
  </si>
  <si>
    <t>Report the amount of interest earned on Food Service cash, investments, and receivables, if applicable.</t>
  </si>
  <si>
    <t>1500—Earnings on investments</t>
  </si>
  <si>
    <t>Adjusted beginning project balance</t>
  </si>
  <si>
    <t>Section F—Number of 
full-time equivalent teachers</t>
  </si>
  <si>
    <t>Adjusted beginning balance</t>
  </si>
  <si>
    <r>
      <t xml:space="preserve">Report the revenue for dispensing food to students and adults, including School Lunch, Regular and Severe Need Breakfast, Special Milk, Reimbursable After School Care Snack, Summer Food, and Child Care Food Programs. This line should include </t>
    </r>
    <r>
      <rPr>
        <b/>
        <sz val="10"/>
        <rFont val="Times New Roman"/>
        <family val="1"/>
      </rPr>
      <t>any</t>
    </r>
    <r>
      <rPr>
        <sz val="10"/>
        <rFont val="Times New Roman"/>
        <family val="1"/>
      </rPr>
      <t xml:space="preserve"> revenue received for the Food Service Program that cannot be attributed to </t>
    </r>
    <r>
      <rPr>
        <b/>
        <sz val="10"/>
        <rFont val="Times New Roman"/>
        <family val="1"/>
      </rPr>
      <t xml:space="preserve">any </t>
    </r>
    <r>
      <rPr>
        <sz val="10"/>
        <rFont val="Times New Roman"/>
        <family val="1"/>
      </rPr>
      <t xml:space="preserve">other revenue line. </t>
    </r>
    <r>
      <rPr>
        <b/>
        <sz val="10"/>
        <rFont val="Times New Roman"/>
        <family val="1"/>
      </rPr>
      <t>Do not include federal reimbursements here, include them on line 4.</t>
    </r>
  </si>
  <si>
    <r>
      <t>Report the value of United States Department of Agriculture (USDA) commodities the Charter received on this line, using the value as set by ADE based on the</t>
    </r>
    <r>
      <rPr>
        <i/>
        <sz val="10"/>
        <rFont val="Times New Roman"/>
        <family val="1"/>
      </rPr>
      <t xml:space="preserve"> November 15th USDA Commodity Pricing Report</t>
    </r>
    <r>
      <rPr>
        <sz val="10"/>
        <rFont val="Times New Roman"/>
        <family val="1"/>
      </rPr>
      <t xml:space="preserve">, </t>
    </r>
    <r>
      <rPr>
        <b/>
        <sz val="10"/>
        <rFont val="Times New Roman"/>
        <family val="1"/>
      </rPr>
      <t>excluding freight</t>
    </r>
    <r>
      <rPr>
        <sz val="10"/>
        <rFont val="Times New Roman"/>
        <family val="1"/>
      </rPr>
      <t xml:space="preserve">. Cash in Lieu of Commodities must also be reported by charter schools receiving cash funds from the USDA Food Distribution </t>
    </r>
    <r>
      <rPr>
        <b/>
        <sz val="10"/>
        <rFont val="Times New Roman"/>
        <family val="1"/>
      </rPr>
      <t>instead</t>
    </r>
    <r>
      <rPr>
        <sz val="10"/>
        <rFont val="Times New Roman"/>
        <family val="2"/>
      </rPr>
      <t xml:space="preserve"> </t>
    </r>
    <r>
      <rPr>
        <sz val="10"/>
        <rFont val="Times New Roman"/>
        <family val="1"/>
      </rPr>
      <t>of commodities.</t>
    </r>
  </si>
  <si>
    <r>
      <rPr>
        <sz val="10"/>
        <rFont val="Times New Roman"/>
        <family val="1"/>
      </rPr>
      <t>Report the salaries for all personnel whose job function is attributed to food service.</t>
    </r>
    <r>
      <rPr>
        <b/>
        <sz val="10"/>
        <rFont val="Times New Roman"/>
        <family val="1"/>
      </rPr>
      <t xml:space="preserve"> For employees performing more than one job function, report only the portion related to food service tasks.</t>
    </r>
  </si>
  <si>
    <r>
      <t xml:space="preserve">Report costs for services provided to assist in transmitting and receiving messages or information related to the food service program </t>
    </r>
    <r>
      <rPr>
        <b/>
        <sz val="10"/>
        <rFont val="Times New Roman"/>
        <family val="1"/>
      </rPr>
      <t>only</t>
    </r>
    <r>
      <rPr>
        <sz val="10"/>
        <rFont val="Times New Roman"/>
        <family val="1"/>
      </rPr>
      <t xml:space="preserve">. This category includes telephone, facsimile services, and postage. </t>
    </r>
    <r>
      <rPr>
        <b/>
        <sz val="10"/>
        <rFont val="Times New Roman"/>
        <family val="1"/>
      </rPr>
      <t>Do not</t>
    </r>
    <r>
      <rPr>
        <sz val="10"/>
        <rFont val="Times New Roman"/>
        <family val="1"/>
      </rPr>
      <t xml:space="preserve"> claim telephone or facsimile expenses unless there are separate phone lines for the food service area. </t>
    </r>
  </si>
  <si>
    <r>
      <t xml:space="preserve">If the Charter contracted with a Food Service Management Company (FSMC), report the total amount charged by the FSMC on this line and </t>
    </r>
    <r>
      <rPr>
        <b/>
        <sz val="10"/>
        <rFont val="Times New Roman"/>
        <family val="1"/>
      </rPr>
      <t>complete the table in section G.</t>
    </r>
  </si>
  <si>
    <r>
      <t xml:space="preserve">Report the cost of purchasing </t>
    </r>
    <r>
      <rPr>
        <b/>
        <sz val="10"/>
        <rFont val="Times New Roman"/>
        <family val="1"/>
      </rPr>
      <t>all</t>
    </r>
    <r>
      <rPr>
        <sz val="10"/>
        <rFont val="Times New Roman"/>
        <family val="1"/>
      </rPr>
      <t xml:space="preserve"> supplies for the operation of the food service program, including freight and tax. </t>
    </r>
    <r>
      <rPr>
        <b/>
        <sz val="10"/>
        <rFont val="Times New Roman"/>
        <family val="1"/>
      </rPr>
      <t>Do not</t>
    </r>
    <r>
      <rPr>
        <sz val="10"/>
        <rFont val="Times New Roman"/>
        <family val="1"/>
      </rPr>
      <t xml:space="preserve"> report any food purchases on this line. </t>
    </r>
  </si>
  <si>
    <r>
      <t xml:space="preserve">Report the cost for utilities (electric, gas, etc.) on this line if there are separate utility meters for the food service area. If one meter serves the cafeteria and classrooms for instance, the utilities expense will be computed as an indirect cost. A 10 percent indirect cost rate will be used for non-district-sponsored charter schools. </t>
    </r>
    <r>
      <rPr>
        <b/>
        <sz val="10"/>
        <rFont val="Times New Roman"/>
        <family val="1"/>
      </rPr>
      <t>Do not report prorated utility bills.</t>
    </r>
  </si>
  <si>
    <r>
      <t xml:space="preserve">Report the value of donated USDA commodities, using the value as set by ADE based on the </t>
    </r>
    <r>
      <rPr>
        <i/>
        <sz val="10"/>
        <rFont val="Times New Roman"/>
        <family val="1"/>
      </rPr>
      <t>November 15th USDA Commodity Pricing Report</t>
    </r>
    <r>
      <rPr>
        <sz val="10"/>
        <rFont val="Times New Roman"/>
        <family val="1"/>
      </rPr>
      <t xml:space="preserve">, excluding freight charges. </t>
    </r>
    <r>
      <rPr>
        <b/>
        <sz val="10"/>
        <rFont val="Times New Roman"/>
        <family val="1"/>
      </rPr>
      <t>Do not include storage and processing charges in this amount</t>
    </r>
    <r>
      <rPr>
        <sz val="10"/>
        <rFont val="Times New Roman"/>
        <family val="1"/>
      </rPr>
      <t>. This amount should equal the value of USDA commodities included on revenue line 5</t>
    </r>
    <r>
      <rPr>
        <b/>
        <sz val="10"/>
        <rFont val="Times New Roman"/>
        <family val="1"/>
      </rPr>
      <t xml:space="preserve">. 
HNS has provided additional guidance on where to obtain the expense amounts to be reported for USDA Commodities at the link below:
</t>
    </r>
  </si>
  <si>
    <r>
      <t>Report the cost of freight for USDA commodities only. Storage charges for USDA commodities are reported on line 18</t>
    </r>
    <r>
      <rPr>
        <sz val="10"/>
        <rFont val="Times New Roman"/>
        <family val="2"/>
      </rPr>
      <t>.</t>
    </r>
  </si>
  <si>
    <r>
      <t xml:space="preserve">Report </t>
    </r>
    <r>
      <rPr>
        <b/>
        <sz val="10"/>
        <rFont val="Times New Roman"/>
        <family val="1"/>
      </rPr>
      <t>all</t>
    </r>
    <r>
      <rPr>
        <sz val="10"/>
        <rFont val="Times New Roman"/>
        <family val="1"/>
      </rPr>
      <t xml:space="preserve"> food purchases on this line </t>
    </r>
    <r>
      <rPr>
        <b/>
        <sz val="10"/>
        <rFont val="Times New Roman"/>
        <family val="1"/>
      </rPr>
      <t>except</t>
    </r>
    <r>
      <rPr>
        <sz val="10"/>
        <rFont val="Times New Roman"/>
        <family val="1"/>
      </rPr>
      <t xml:space="preserve"> USDA commodities. Also report USDA commodities processing charges and the purchase of food with minimal nutritional value on this line.</t>
    </r>
  </si>
  <si>
    <r>
      <t xml:space="preserve">Report all </t>
    </r>
    <r>
      <rPr>
        <b/>
        <sz val="10"/>
        <rFont val="Times New Roman"/>
        <family val="1"/>
      </rPr>
      <t>other</t>
    </r>
    <r>
      <rPr>
        <sz val="10"/>
        <rFont val="Times New Roman"/>
        <family val="1"/>
      </rPr>
      <t xml:space="preserve"> expenses related to the food service program not recorded elsewhere, such as interest on revolving lines of credit, capital leases, etc., on this line. Also, report USDA commodities storage charges on this line. </t>
    </r>
  </si>
  <si>
    <r>
      <t xml:space="preserve">Report the purchase of capital items for the food service area </t>
    </r>
    <r>
      <rPr>
        <b/>
        <sz val="10"/>
        <rFont val="Times New Roman"/>
        <family val="1"/>
      </rPr>
      <t>other</t>
    </r>
    <r>
      <rPr>
        <sz val="10"/>
        <rFont val="Times New Roman"/>
        <family val="1"/>
      </rPr>
      <t xml:space="preserve"> than furniture/equipment and vehicles/transportation equipment. The items purchased under this object code must have a unit cost of at least $5,000 and/or have a life expectancy of 1 year or more. Included on this line would be expenses of at least $5,000 for making improvements to the interior of an existing building. </t>
    </r>
    <r>
      <rPr>
        <b/>
        <sz val="10"/>
        <rFont val="Times New Roman"/>
        <family val="1"/>
      </rPr>
      <t>Food Service monies may not be used to buy land or buildings or erect buildings.</t>
    </r>
  </si>
  <si>
    <r>
      <t xml:space="preserve">Report the amount of State Equalization Assistance spent for food service. This amount will be used to determine charter compliance with the State Matching Requirement pursuant to Code of Federal Regulations Title 7, </t>
    </r>
    <r>
      <rPr>
        <sz val="10"/>
        <rFont val="Calibri"/>
        <family val="2"/>
      </rPr>
      <t>§</t>
    </r>
    <r>
      <rPr>
        <sz val="10"/>
        <rFont val="Times New Roman"/>
        <family val="1"/>
      </rPr>
      <t>210.17(a).</t>
    </r>
  </si>
  <si>
    <t>Complete the Cover, School listing, and Accounting data tabs first. See instructions.</t>
  </si>
  <si>
    <t>G. Detail of food service management company expenses</t>
  </si>
  <si>
    <t>F. Cash balances</t>
  </si>
  <si>
    <t>E. State Equalization Assistance expended for food service, function 3100</t>
  </si>
  <si>
    <t>D. Special milk program</t>
  </si>
  <si>
    <t>C. Meal prices</t>
  </si>
  <si>
    <t>A. Number of operating months</t>
  </si>
  <si>
    <t>B. Number of meals served</t>
  </si>
  <si>
    <t xml:space="preserve">    1910 Rentals</t>
  </si>
  <si>
    <t xml:space="preserve">    1950 Miscellaneous Revenues from Other Schools or Districts</t>
  </si>
  <si>
    <t xml:space="preserve">    1960 Miscellaneous Revenues from Local Governmental Units</t>
  </si>
  <si>
    <t>1910-Rentals</t>
  </si>
  <si>
    <t>1950-Miscellaneous Revenues from Other Schools or Districts</t>
  </si>
  <si>
    <t>1960-Miscellaneous Revenues from Local Governmental Units</t>
  </si>
  <si>
    <t>Charter website link of posted AFR</t>
  </si>
  <si>
    <t>Charter website link</t>
  </si>
  <si>
    <t xml:space="preserve">Charters must assign expenses for Project 1071—English Language Learner and Project 1072—Compensatory Instruction to the following program codes, as applicable, to automatically populate on page 5:
•260—English Language Learners incremental costs
•430—Pupil transportation-ELL incremental costs
•265—English Language Learners compensatory instruction
•435—Pupil transportation-ELL compensatory instruction
Other Federal Projects 1310-1399 must be identified as COVID-19 and non-COVID-19 related projects. 
Expenses for function 2700—student transportation must be coded to program codes, as applicable, to automatically populate on page 2, line 29:
•400—Pupil transportation
•430—Pupil transportation-ELL incremental costs
•435—Pupil transportation-ELL compensatory instruction 
Data with improper codes will highlight yellow. The form should not have any yellow highlighted cells when submitted. </t>
  </si>
  <si>
    <t xml:space="preserve">   1.  Function 2220-Improvement of instruction (in objects 6300-6490, 6530-6550, 6580, 6600-6620, 6640-6650, 0196 disbursements, 6740, 6810, and 6890)</t>
  </si>
  <si>
    <t xml:space="preserve">   2.  Function 2230-Library/media Services (in objects 6300-6490, 6530-6550, 6580, 6600-6620, 6640-6650, 0196 disbursements, 6740, 6810, and 6890)</t>
  </si>
  <si>
    <r>
      <t xml:space="preserve">If the AFR is not submitted by October 15, reimbursements for child nutrition will be withheld until an accurate and </t>
    </r>
    <r>
      <rPr>
        <b/>
        <sz val="10"/>
        <rFont val="Times New Roman"/>
        <family val="1"/>
      </rPr>
      <t>complete</t>
    </r>
    <r>
      <rPr>
        <sz val="10"/>
        <rFont val="Times New Roman"/>
        <family val="1"/>
      </rPr>
      <t xml:space="preserve"> AFR is submitted. 
Report only those revenues and expenditures that are attributable to the operation of the Food Service Program. Documentation must be available for all information on this report. If you have any questions about the Food Service Program only, please contact Health &amp; Nutrition Services (HNS) at (602) 542-8700. </t>
    </r>
    <r>
      <rPr>
        <b/>
        <sz val="10"/>
        <rFont val="Times New Roman"/>
        <family val="1"/>
      </rPr>
      <t>Note: Charters that do not participate in the National School Lunch Program do not need to complete this tab.</t>
    </r>
  </si>
  <si>
    <t>1900, 1930, 1980, 1990-Other revenues and gains from local sources</t>
  </si>
  <si>
    <t xml:space="preserve">    1900, 1930, 1980, 1990 Other revenues and gains from local sources</t>
  </si>
  <si>
    <t>Support services-instruction detail (Programs 100-630, excluding 400)</t>
  </si>
  <si>
    <t xml:space="preserve">   1.  Object 6640, functions 1000 and 2230</t>
  </si>
  <si>
    <t>Charters that maintain a website must provide a link on their website to ADE’s website where the Charter’s AFR can be viewed. See the Submission and Publication document for detailed steps to obtain the link from ADE's website. Charters should paste a clickable link on the Cover tab to their school web page where the AFR link was posted.</t>
  </si>
  <si>
    <t>ADE no longer requires schools to send an email to School Finance with a clickable link to its website, if the link is provided in this space.</t>
  </si>
  <si>
    <t>FY 2025</t>
  </si>
  <si>
    <t>We, the Governing Board of the Charter School, hereby certify the Annual Financial Report and School Level Reporting form per A.R.S. §§15-183(E)(6) and 15-904 for Fiscal Year 2025.</t>
  </si>
  <si>
    <t xml:space="preserve">The annual financial report file(s) for FY 2025 uploaded to the Arizona Department of </t>
  </si>
  <si>
    <t xml:space="preserve">    1600  Food service (from Food Service tab, line 2)</t>
  </si>
  <si>
    <t xml:space="preserve">      Total Local Revenue (lines 1-16)</t>
  </si>
  <si>
    <t xml:space="preserve">      Total Intermediate Revenue (lines 18-20)</t>
  </si>
  <si>
    <t xml:space="preserve">      Total State Revenue (lines 22-26)</t>
  </si>
  <si>
    <t xml:space="preserve">      Total Federal Revenue (lines 28-33)</t>
  </si>
  <si>
    <t>Total revenue from all sources (lines 17, 21, 27, and 34)</t>
  </si>
  <si>
    <r>
      <t>Total revenues (lines 1</t>
    </r>
    <r>
      <rPr>
        <sz val="10"/>
        <rFont val="Times New Roman"/>
        <family val="1"/>
      </rPr>
      <t>2</t>
    </r>
    <r>
      <rPr>
        <sz val="10"/>
        <rFont val="Times New Roman"/>
        <family val="2"/>
      </rPr>
      <t xml:space="preserve"> and 1</t>
    </r>
    <r>
      <rPr>
        <sz val="10"/>
        <rFont val="Times New Roman"/>
        <family val="1"/>
      </rPr>
      <t>3</t>
    </r>
    <r>
      <rPr>
        <sz val="10"/>
        <rFont val="Times New Roman"/>
        <family val="2"/>
      </rPr>
      <t>)</t>
    </r>
  </si>
  <si>
    <r>
      <t xml:space="preserve">Total available (lines 10 </t>
    </r>
    <r>
      <rPr>
        <sz val="10"/>
        <rFont val="Times New Roman"/>
        <family val="1"/>
      </rPr>
      <t>or 11,</t>
    </r>
    <r>
      <rPr>
        <sz val="10"/>
        <rFont val="Times New Roman"/>
        <family val="2"/>
      </rPr>
      <t xml:space="preserve"> and 1</t>
    </r>
    <r>
      <rPr>
        <sz val="10"/>
        <rFont val="Times New Roman"/>
        <family val="1"/>
      </rPr>
      <t>4</t>
    </r>
    <r>
      <rPr>
        <sz val="10"/>
        <rFont val="Times New Roman"/>
        <family val="2"/>
      </rPr>
      <t>)</t>
    </r>
  </si>
  <si>
    <r>
      <t>Expenses (</t>
    </r>
    <r>
      <rPr>
        <sz val="10"/>
        <rFont val="Cambria"/>
        <family val="1"/>
      </rPr>
      <t>from lines 6, 7, 8, and 9</t>
    </r>
    <r>
      <rPr>
        <sz val="10"/>
        <rFont val="Times New Roman"/>
        <family val="2"/>
      </rPr>
      <t>)</t>
    </r>
  </si>
  <si>
    <r>
      <t>Ending project balance (line 1</t>
    </r>
    <r>
      <rPr>
        <sz val="10"/>
        <rFont val="Times New Roman"/>
        <family val="1"/>
      </rPr>
      <t>5</t>
    </r>
    <r>
      <rPr>
        <sz val="10"/>
        <rFont val="Times New Roman"/>
        <family val="2"/>
      </rPr>
      <t xml:space="preserve"> minus line 1</t>
    </r>
    <r>
      <rPr>
        <sz val="10"/>
        <rFont val="Times New Roman"/>
        <family val="1"/>
      </rPr>
      <t>6</t>
    </r>
    <r>
      <rPr>
        <sz val="10"/>
        <rFont val="Times New Roman"/>
        <family val="2"/>
      </rPr>
      <t xml:space="preserve">) </t>
    </r>
  </si>
  <si>
    <t>Total available (lines 6 or 7, and 8)</t>
  </si>
  <si>
    <t>Ending project balance  (line 9 minus line 10)</t>
  </si>
  <si>
    <t>July 1, 2024</t>
  </si>
  <si>
    <t>June 30, 2025</t>
  </si>
  <si>
    <t>Check box if the Charter was new and began operations in FY 2025.</t>
  </si>
  <si>
    <t>Average salary of all teachers employed in FY 2025</t>
  </si>
  <si>
    <t>Average salary of all teachers employed in FY 2024</t>
  </si>
  <si>
    <t>Increase in average teacher salary from FY 2024</t>
  </si>
  <si>
    <t xml:space="preserve">     1. Long-term debt outstanding, July 1, 2024</t>
  </si>
  <si>
    <t xml:space="preserve">     2. Long-term debt issued during FY 2025</t>
  </si>
  <si>
    <t xml:space="preserve">     3. Long-term debt retired during FY 2025</t>
  </si>
  <si>
    <t xml:space="preserve">     4. Long-term debt outstanding, June 30, 2025</t>
  </si>
  <si>
    <t xml:space="preserve">     5. Short-term debt outstanding, July 1, 2024</t>
  </si>
  <si>
    <t xml:space="preserve">     6. Short-term debt outstanding, June 30, 2025</t>
  </si>
  <si>
    <t>Investment in capital assets as of June 30, 2025</t>
  </si>
  <si>
    <t>Cash and investments held at June 30, 2025</t>
  </si>
  <si>
    <t>FY 2020 through 
FY 2024
Expenses and other financing uses</t>
  </si>
  <si>
    <t>FY 2025
Expenses and other financing uses</t>
  </si>
  <si>
    <t>7/1/2024</t>
  </si>
  <si>
    <t>6/30/2025</t>
  </si>
  <si>
    <t>2024</t>
  </si>
  <si>
    <t>2025</t>
  </si>
  <si>
    <t>The total reserve balance for FY 2025 is:</t>
  </si>
  <si>
    <t>FY 2024 ending project balance</t>
  </si>
  <si>
    <t>FY 2025 ending project balance</t>
  </si>
  <si>
    <t>Planned to be spent in FY 2026 to support budgeted spending</t>
  </si>
  <si>
    <r>
      <t xml:space="preserve">Maintained for debt retirement </t>
    </r>
    <r>
      <rPr>
        <u/>
        <sz val="10"/>
        <rFont val="Times New Roman"/>
        <family val="1"/>
      </rPr>
      <t>after</t>
    </r>
    <r>
      <rPr>
        <sz val="10"/>
        <rFont val="Times New Roman"/>
        <family val="1"/>
      </rPr>
      <t xml:space="preserve"> FY 2026</t>
    </r>
  </si>
  <si>
    <r>
      <t xml:space="preserve">Maintained for capital projects </t>
    </r>
    <r>
      <rPr>
        <u/>
        <sz val="10"/>
        <rFont val="Times New Roman"/>
        <family val="1"/>
      </rPr>
      <t>after</t>
    </r>
    <r>
      <rPr>
        <sz val="10"/>
        <rFont val="Times New Roman"/>
        <family val="1"/>
      </rPr>
      <t xml:space="preserve"> FY 2026</t>
    </r>
  </si>
  <si>
    <r>
      <t xml:space="preserve">Maintained for retirement contributions </t>
    </r>
    <r>
      <rPr>
        <u/>
        <sz val="10"/>
        <rFont val="Times New Roman"/>
        <family val="1"/>
      </rPr>
      <t>after</t>
    </r>
    <r>
      <rPr>
        <sz val="10"/>
        <rFont val="Times New Roman"/>
        <family val="1"/>
      </rPr>
      <t xml:space="preserve"> FY 2026</t>
    </r>
  </si>
  <si>
    <t>FY 2025 ending project balance details:</t>
  </si>
  <si>
    <t>If question 1 was answered yes, complete the table below to describe the Charter's specific FY 2025 targeted and actual project balance reserve amounts and methods used to establish those targeted balance reserve amounts.</t>
  </si>
  <si>
    <t xml:space="preserve">Targeted FY 2025 project balance reserve amount </t>
  </si>
  <si>
    <t xml:space="preserve">Actual FY 2025 project balance reserve amount </t>
  </si>
  <si>
    <t>The Charter plans to take the following actions related to its ending project balance in FY 2026 and thereafter:</t>
  </si>
  <si>
    <r>
      <t xml:space="preserve">All actual revenues, expenses, and account balances presented on the AFR must agree with the Charter's accounting records as of June 30, 2025. Revenue and expense account codes used in the AFR agree with the </t>
    </r>
    <r>
      <rPr>
        <i/>
        <sz val="10"/>
        <rFont val="Times New Roman"/>
        <family val="1"/>
      </rPr>
      <t>Uniform System of Financial Records for Arizona Charter Schools</t>
    </r>
    <r>
      <rPr>
        <sz val="10"/>
        <rFont val="Times New Roman"/>
        <family val="1"/>
      </rPr>
      <t xml:space="preserve"> (USFRCS) Chart of Accounts. Charters that are exempted from all or part of the USFRCS in accordance with A.R.S. §15-183(E)(6) must use an accounting system that allows them to report financial data in the AFR standard expense types and functional uses. See the USFRCS Chart of Accounts for more information on project, function, and object codes and descriptions at https://www.azauditor.gov/reports-publications/charter-schools/manuals-memorandums.  Charters should ensure their budget amounts agree to their most recently revised or adopted FY 2025 budget that was submitted to ADE.           
Revenues must include cash receipts through June 30, 2025, and accrued revenues received after the end of the fiscal year. Examples of accrued revenues are cost reimbursement and entitlement programs, interest earned on investments, and FY 2025 Classroom Site Project revenues.         
Expenses consist of all expenses incurred during the fiscal year, including expenses for goods and services received on or before June 30, 2025, but not paid for by that date. Examples of items requiring such treatment are included in the USFRCS, pages VI-G-8 and 9.</t>
    </r>
  </si>
  <si>
    <t xml:space="preserve">Enter school-level information for each school within the Charter including school names, school CTDS numbers, and unweighted attending student counts. As school names are added to the tab, the primary unit code cell for that school will shade red until a primary unit code is entered, as described below. The CTDS numbers in column C should not contain any slashes, dashes, etc., and must be exactly 9 digits. Use 100th-day (or 200th-day) student counts to report each school's unweighted attending student count in column D. Charters can refer to BSA-21 Report.
Enter the applicable unit code(s) in column E used to code expenses at the school level for each school, as well as the unit code(s) used to code expenses to the Charter and private schools. If more than one unit code was used for a school, separate each unit code with a comma. For example (100, 101, 102). 
Charters must assign a 3-digit primary unit code in column F for each school as this data will be used in the School-Level AFR. Formulas within the School-Level AFR are set to assign only one unit code to each school, charterwide, and private schools, if applicable. The comments column can be used for additional information to describe the unit codes and primary unit codes. </t>
  </si>
  <si>
    <t>Report all revenues the Charter received from dispensing food to students and adults. If the Charter participates in the National School Lunch Program and completed the Food Service AFR as required, this amount will populate from revenues, line 2 on the Food Service tab. If the Charter did not collect any revenue from students or adults for food service, enter a 0 value on the line.</t>
  </si>
  <si>
    <t>3200  Restricted,
line 24</t>
  </si>
  <si>
    <t>4100, 4300  Unrestricted/restricted received directly from the federal government, 
line 28</t>
  </si>
  <si>
    <t>Do not include federal impact aid revenues received on this line. These revenues should be reported on line 31 as 4800 federal impact aid.</t>
  </si>
  <si>
    <t>4200, 4500  Unrestricted/restricted received from the federal government through the State, line 29</t>
  </si>
  <si>
    <t>If an ending project balance is reported incorrectly on the FY 2024 AFR, charters should enter the correct amount in the adjusted beginning project balance row, line 11. Only enter amount on this line if the charter needs to adjust beginning project balance for any errors or audit adjustments identified in the charter's FY 2024 audit.</t>
  </si>
  <si>
    <t>If an ending project balance is reported incorrectly on the FY 2024 AFR, charters should enter the correct amount in the adjusted beginning project balance row, line 7. Only enter amount on this line if the charter needs to adjust beginning project balance for any errors or audit adjustments identified in the charter's FY 2024 audit.</t>
  </si>
  <si>
    <t>If an ending project balance is reported incorrectly on the FY 2024 AFR, charters should enter the correct amount in the adjusted beginning project balance column, lines 14 and 28. Lines that report amounts for multiple projects should enter a single amount for the calculated beginning project balance for all projects reported on that line. Only enter amount on these line if the charter needs to adjust beginning project balance for any errors or audit adjustments identified in the charter's FY 2024 audit.</t>
  </si>
  <si>
    <r>
      <t>Record amounts expended in FY 202</t>
    </r>
    <r>
      <rPr>
        <sz val="10"/>
        <rFont val="Times New Roman"/>
        <family val="1"/>
      </rPr>
      <t>5</t>
    </r>
    <r>
      <rPr>
        <sz val="10"/>
        <rFont val="Times New Roman"/>
        <family val="2"/>
      </rPr>
      <t xml:space="preserve"> for audit services. 
Nonfederal audit expense incurred in FY 202</t>
    </r>
    <r>
      <rPr>
        <sz val="10"/>
        <rFont val="Times New Roman"/>
        <family val="1"/>
      </rPr>
      <t>5</t>
    </r>
    <r>
      <rPr>
        <sz val="10"/>
        <rFont val="Times New Roman"/>
        <family val="2"/>
      </rPr>
      <t xml:space="preserve"> may be included on the budget for FY 202</t>
    </r>
    <r>
      <rPr>
        <sz val="10"/>
        <rFont val="Times New Roman"/>
        <family val="1"/>
      </rPr>
      <t>7</t>
    </r>
    <r>
      <rPr>
        <sz val="10"/>
        <rFont val="Times New Roman"/>
        <family val="2"/>
      </rPr>
      <t xml:space="preserve"> for reimbursement pursuant to A.R.S. </t>
    </r>
    <r>
      <rPr>
        <sz val="10"/>
        <rFont val="Calibri"/>
        <family val="2"/>
      </rPr>
      <t>§</t>
    </r>
    <r>
      <rPr>
        <sz val="10"/>
        <rFont val="Times New Roman"/>
        <family val="2"/>
      </rPr>
      <t>15-914.  In order to receive reimbursement in FY 202</t>
    </r>
    <r>
      <rPr>
        <sz val="10"/>
        <rFont val="Times New Roman"/>
        <family val="1"/>
      </rPr>
      <t>7</t>
    </r>
    <r>
      <rPr>
        <sz val="10"/>
        <rFont val="Times New Roman"/>
        <family val="2"/>
      </rPr>
      <t>, nonfederal audit expenses must be included in the FY 202</t>
    </r>
    <r>
      <rPr>
        <sz val="10"/>
        <rFont val="Times New Roman"/>
        <family val="1"/>
      </rPr>
      <t>5</t>
    </r>
    <r>
      <rPr>
        <sz val="10"/>
        <rFont val="Times New Roman"/>
        <family val="2"/>
      </rPr>
      <t xml:space="preserve"> AFR.  Amounts reported must be amounts actually spent in FY 202</t>
    </r>
    <r>
      <rPr>
        <sz val="10"/>
        <rFont val="Times New Roman"/>
        <family val="1"/>
      </rPr>
      <t>5</t>
    </r>
    <r>
      <rPr>
        <sz val="10"/>
        <rFont val="Times New Roman"/>
        <family val="2"/>
      </rPr>
      <t xml:space="preserve">.  </t>
    </r>
    <r>
      <rPr>
        <b/>
        <sz val="10"/>
        <rFont val="Times New Roman"/>
        <family val="1"/>
      </rPr>
      <t>Do not include the costs of consulting or other services paid to audit firms in the nonfederal or federal audit services actual expenses.</t>
    </r>
  </si>
  <si>
    <t>The total of budget and actual federal and State project expenses (project codes 1100 through 1499 on page 9) should be included on line 38.  The total of budgeted and actual expenses on line 38 should agree with the total of federal and State project expenses on line 33 of page 8.</t>
  </si>
  <si>
    <t xml:space="preserve">Enter the total increase in construction in progress for the year ended June 30, 2025.  This amount is not recorded on the capital assets list until the project is completed.  Therefore, it will not appear on the capital assets list as of June 30, 2025.
</t>
  </si>
  <si>
    <t>Enter the total cost of construction in progress as of June 30, 2025.  This amount is not recorded on the capital assets list as of June 30, 2025.</t>
  </si>
  <si>
    <t>Enter the average teacher salary of all teachers employed in FY 2025. Each charter should be consistent in the type of salary information included in this table from year to year, as similarly reported in the budget. An optional comment box is available to provide any additional detail regarding the average teacher salary calculation.  Ensure the average teacher salary amount reported for FY 2024 pulls correctly from the prior year AFR.</t>
  </si>
  <si>
    <t>If an ending project balance is reported incorrectly on the FY 2024 AFR, charters should enter the correct amount in the adjusted beginning project balance column, lines 1 through 31. Lines that report amounts for multiple projects should enter a single amount for the calculated beginning project balance for all projects reported on that line. Only enter amount on these line if the charter needs to adjust beginning project balance for any errors or audit adjustments identified in the charter's FY 2024 audit.</t>
  </si>
  <si>
    <r>
      <t xml:space="preserve">ADE will use the information included on this page to complete the National Public Education Financial Survey (NPEFS) and Form 33 issued by the National Center for Education Statistics. </t>
    </r>
    <r>
      <rPr>
        <b/>
        <u/>
        <sz val="10"/>
        <rFont val="Times New Roman"/>
        <family val="1"/>
      </rPr>
      <t>All charters are required to submit NPEFS data</t>
    </r>
    <r>
      <rPr>
        <sz val="10"/>
        <rFont val="Times New Roman"/>
        <family val="1"/>
      </rPr>
      <t xml:space="preserve">, which is used to calculate a State per pupil expenditure amount that is used in the formula for allocating a number of federal program funds to states and local education agencies, including Title I, Impact Aid, and Indian Education. Other programs use State per pupil expenditure data indirectly because their allocation formulas are based, in whole or in part, on State Title I allocations. The NPEFS and Form 33 data is also used by researchers and government policymakers to address important education policy and research issues.
Report all amounts from Projects 1000 through 1999 on this page. Do not include principal payments.
If the charter has a negative amount in cell G25 (supplies from State and local sources), the negative amount is likely from an adjustment made to recognize spending from Child nutrition program revenues reported in the Food Service tab as federal spending rather than State and local spending where the Food Service Project is initially reported. If there is a negative amount in cell G25:
1. Note the amount of the negative balance and add that amount at the end of the formula in cell G25 (for example “+200”) to clear the negative. Then you must subtract that amount in total (for example “-200”) at the end of the formula(s) for one or more of the other State and local spending cells (D25 through F25 or H25 through K25), without creating a negative balance in any of those cells.
2. Finally, to complete this adjustment, add the adjustment amount(s) from step 1 above to the applicable federal source columns by object code in cells D24 through K24.
</t>
    </r>
  </si>
  <si>
    <t xml:space="preserve">Enter all known awards to date, awarded both before and after June 30, 2025. If the specific fund/program is not listed, it should be reported on line 6, Other COVID-19 Federal Relief Funds. 
For further assistance with this item, please contact the Auditor General's Accountability Services Division at (602) 977-2796 or email asd@azauditor.gov. 
New charters reporting for the first time: Enter the total award amounts in each line, as applicable. If your charter did not receive an award for a listed project, please enter 0 on that line. </t>
  </si>
  <si>
    <t>COVID-19 federal relief projects, FY 2020 through 2024
Expenses and Other Financing Uses</t>
  </si>
  <si>
    <t xml:space="preserve">Enter the total FY 2020 through 2024 expenses, including property disbursements, debt service payments, and indirect costs transfers-out amounts from each COVID project/program listed. If the amount is zero, enter 0. If the specific project/program is not listed, report on line 6, Other COVID-19 federal relief projects. </t>
  </si>
  <si>
    <t>COVID-19 federal relief projects, FY 2025 Expenses and Other Financing Uses</t>
  </si>
  <si>
    <r>
      <t>Enter the total expenses, including property disbursements and debt service payments, and indirect costs transfers-out made for FY 202</t>
    </r>
    <r>
      <rPr>
        <sz val="10"/>
        <color rgb="FFFF0000"/>
        <rFont val="Times New Roman"/>
        <family val="1"/>
      </rPr>
      <t>5</t>
    </r>
    <r>
      <rPr>
        <sz val="10"/>
        <rFont val="Times New Roman"/>
        <family val="2"/>
      </rPr>
      <t xml:space="preserve"> from each COVID project/program listed. If the amount is zero, enter 0. If the specific project/program is not listed, report on line 6, Other COVID-19 federal relief projects.
Total expenses on line 7 should agree to the amount displayed in cell F43.</t>
    </r>
  </si>
  <si>
    <t>Total FY 2025 expenses + indirect costs, debt service, and property disbursements</t>
  </si>
  <si>
    <t xml:space="preserve">Obtain total Attending ADM for FY 2024 and FY 2025 from the unweighted student count in ADE’s BSA-55 report, available on ADE’s website.  </t>
  </si>
  <si>
    <t xml:space="preserve">The beginning balance for each project, at July 1, 2024, automatically pull from the projects' ending balance reported on the FY 2024 AFR. </t>
  </si>
  <si>
    <t>If an ending project balance is reported incorrectly on the FY 2024 AFR, charters should enter the correct amount in the adjusted beginning project balance column on line 17. Only enter an amount on the line if the charter needs to adjust the beginning project balance for any errors or audit adjustments identified in the charter's FY 2024 audit.</t>
  </si>
  <si>
    <t>Report the cash balance (if any) as of July 1, 2025. If there was no cash balance as of July 1, 2025, subtract total expenses from total revenue to determine the cash balance as of June 30, 2025.</t>
  </si>
  <si>
    <t xml:space="preserve">This line pulls in prior year ending balances from the Summary tab for all projects. If any ending project balances were reported incorrectly on the prior year AFR, charters should enter the calculated beginning balance on the Summary tab, column C, as described in the instruction for that column. The calculated beginning balance should include any errors or audit adjustments identified in the Charter's FY 2024 audit. </t>
  </si>
  <si>
    <t xml:space="preserve">Report amounts the Charter plans to spend to support FY 2026 budgeted spending after using all available FY 2026 revenues. Any nonspendable amounts included in reserve such as current prepaid assets should be included in this line if the Charter plans to use them in FY 2026. Otherwise, such nonspendable assets should be included in the amounts reported on the lines below based on the Charter's plan to use them to benefit a future year, as applicable. </t>
  </si>
  <si>
    <t xml:space="preserve">Report accumulated reserve amounts that will not be used to finance current budget year expenses and their intended future purposes on lines 3.c through h. Amounts needed to support current-year (FY 2026) expenditures should have been reported on lines 3.b. See specific instructions for line 3. c through f below. If a specific purpose has not been listed, use lines 3. g and h and indicate the purpose. </t>
  </si>
  <si>
    <t>If the Charter answered question B.1 "Yes," complete this table to describe the Charter's specific FY 2025 targeted and actual project balance reserve amounts and methods used to establish those targeted balance reserve amounts. Charters should display information in this table in a way that best reflects its process or policies. It may combine all or multiple projects on 1 line or use individual lines for specific projects if varying methods are used to establish target balance reserve levels for different projects. Methods used can also include a variety of information. For example, a charter may establish project balance reserve levels based on a certain percentage of operating revenue or spending, or describe minimum and maximum targeted balances. If a charter establishes targeted project balance reserve amounts based on the Arizona State Board for Charter Schools financial framework or other private or nonprofit reserve guidelines, that may also be described here.</t>
  </si>
  <si>
    <t>Enter the total increase in capital assets, by asset classification, recorded in the general ledger and on the capital assets list for the year ended June 30, 2025.  These amounts represent only the assets acquired during the year costing $5,000 or more and, for equipment, having useful lives of 1 year or more. The amount should include assets that were acquired by purchase, leases, or construction for all projects. If no acquisitions were made during the year, enter a 0 value in each line.
Note: If the Charter's policy is to include intangible assets; land, buildings, and related improvements; site improvements; or equipment costing less than $5,000 on the capital assets list, these items should also be included.</t>
  </si>
  <si>
    <t>Enter the total cost, by asset classification, recorded in the general ledger and on the capital assets list as of June 30, 2025, for items costing $5,000 or more and, for equipment, having useful lives of 1 year or more, including right-of-use assets aquired through leases. These amounts represent the ending balances in the capital assets accounts, accounting for current year acquisitions and disposals, and should not include depreciation.
Note:  If the Charter's policy is to include land, buildings, and related improvements; site improvements; or equipment costing less than $5,000 on the capital assets list, these items should also be included.  The sum of lines 1, 2, 3, and 4 should agree with the amount recorded on the Charter's capital assets list as of June 30, 2025.</t>
  </si>
  <si>
    <t>Books, Periodicals, and Instructional Aids (programs 100-630, excluding 400)</t>
  </si>
  <si>
    <t>Page 6, section H, average teacher salary table is not complete. The average salary of all teachers employed in FY 2025 must be recorded on page 6, section H, line 1. New charters must still report an amount on line 1. If a charter was new and began operations in FY 2025, please indicate so by checking the box in K28.</t>
  </si>
  <si>
    <t>Consolidated the separate Food Service AFR into the AFR file.</t>
  </si>
  <si>
    <r>
      <t>Report the reimbursements received from Child Nutrition Programs based on the claims for the reporting year (July 1, 2024</t>
    </r>
    <r>
      <rPr>
        <sz val="10"/>
        <color theme="1"/>
        <rFont val="Calibri"/>
        <family val="2"/>
      </rPr>
      <t>–</t>
    </r>
    <r>
      <rPr>
        <sz val="10"/>
        <color theme="1"/>
        <rFont val="Times New Roman"/>
        <family val="1"/>
      </rPr>
      <t>June 30, 2025). Include all food service programs (School Lunch, Regular and Severe Need Breakfast, Special Milk, Reimbursable After School Care Snack, Summer Food, and Child Care Food Programs).
Report revenues received for Supply Chain Assistance Funds (for schools to purchase unprocessed or minimally processed domestic food products) and for Local Foods for Schools (Arizona's 'Try it Local' Program) for the reporting year (July 1, 2024 - June 30, 2025).</t>
    </r>
  </si>
  <si>
    <t xml:space="preserve">Section A presents the prior year's and current year's ending balances for all projects and provides space for charters to report FY 2025 ending balance details that identify how charters plan to use those monies in future years. </t>
  </si>
  <si>
    <t>Moved adjusted project balance cell from the Summary tab to Page 3.</t>
  </si>
  <si>
    <t>Moved adjusted project balance cell from the Summary tab to Page 4.</t>
  </si>
  <si>
    <t>Moved adjusted project balance cell from the Summary tab to Page 5.</t>
  </si>
  <si>
    <t>The Edge School, Inc</t>
  </si>
  <si>
    <t>Edge High School</t>
  </si>
  <si>
    <t>Pima</t>
  </si>
  <si>
    <t>108653000</t>
  </si>
  <si>
    <t>https://edgehighschool.org/charter-transparency/</t>
  </si>
  <si>
    <t>Member</t>
  </si>
  <si>
    <t>President</t>
  </si>
  <si>
    <t>robp@edgehighschool.org</t>
  </si>
  <si>
    <t>anneo@edgehighschool.org</t>
  </si>
  <si>
    <t>Rob Pecharich</t>
  </si>
  <si>
    <t>Anne Ortiz</t>
  </si>
  <si>
    <t>X</t>
  </si>
  <si>
    <t>Edge High School Himmel Park</t>
  </si>
  <si>
    <t>Edge High School Northwest</t>
  </si>
  <si>
    <t>108653001</t>
  </si>
  <si>
    <t>108653005</t>
  </si>
  <si>
    <t>100 · Regular Education:2101 · Support Services Student:1216600 · 6600 Supplies:6632 - Consumables</t>
  </si>
  <si>
    <t>100 · Regular Education:2201 · Support Service Instruct. Staff:1226600 · 6600 Supplies:6632 Consumables</t>
  </si>
  <si>
    <t>100 · Regular Education:2401 · Support Services School Admin.:1246600 · 6600 Supplies:6610 Supplies</t>
  </si>
  <si>
    <t>100 · Regular Education:2401 · Support Services School Admin.:1246600 · 6600 Supplies:6632 Consumables</t>
  </si>
  <si>
    <t>Board NW Supplies</t>
  </si>
  <si>
    <t>100 · Regular Education:1001 · Instruction:1106500 · 6500 Other Purchased Services:6580 Travel</t>
  </si>
  <si>
    <t>100 · Regular Education:2101 · Support Services Student:1216600 · 6600 Supplies:6610 - Supplies</t>
  </si>
  <si>
    <t>Board HP Supplies</t>
  </si>
  <si>
    <t>Board HP Travel</t>
  </si>
  <si>
    <t>1900* · Miscellaneous:1900-A · GIFTS &amp; DONATIONS:1901 Contributions</t>
  </si>
  <si>
    <t>1500 · Earnings on Investments</t>
  </si>
  <si>
    <t>CSV Interest</t>
  </si>
  <si>
    <t>Board Donations</t>
  </si>
  <si>
    <t>4500 · Federal Revenue:CSI Mini</t>
  </si>
  <si>
    <t>100 · Regular Education:2101 · Support Services Student:1216100 · 6100 Salaries:1216133 · Dean of Students/Site Coor</t>
  </si>
  <si>
    <t>100 · Regular Education:2101 · Support Services Student:1216209 · 6209 Employee Benefits</t>
  </si>
  <si>
    <t>CSI MINI 25 HP</t>
  </si>
  <si>
    <t>4500 · Federal Revenue:CSILG</t>
  </si>
  <si>
    <t>4500 · Federal Revenue:CSILG24</t>
  </si>
  <si>
    <t>100 · Regular Education:2101 · Support Services Student:1216100 · 6100 Salaries:1216102 · 6102 - Stipend</t>
  </si>
  <si>
    <t>100 · Regular Education:2201 · Support Service Instruct. Staff:1226100 · 6100 Salaries:1226138 · 6138 Curriculum Development</t>
  </si>
  <si>
    <t>100 · Regular Education:2201 · Support Service Instruct. Staff:1226209 · 6209 Employee Benefits</t>
  </si>
  <si>
    <t>100 · Regular Education:2501 · Business Office:1256910 · Indirect Cost</t>
  </si>
  <si>
    <t>100 · Regular Education:1001 · Instruction:1106100 · 6100 Salaries:1106124 · 6124 Classroom Aides</t>
  </si>
  <si>
    <t>100 · Regular Education:1001 · Instruction:1106209 · 6209 - Employee Benefits</t>
  </si>
  <si>
    <t>100 · Regular Education:2101 · Support Services Student:1216600 · 6600 Supplies:6644- Software</t>
  </si>
  <si>
    <t>CSI 25 Mini NW</t>
  </si>
  <si>
    <t>CSI 25 HP</t>
  </si>
  <si>
    <t>CSI 25 NW</t>
  </si>
  <si>
    <t>1900* · Miscellaneous:1900-A · GIFTS &amp; DONATIONS:1904 Restricted Contributions</t>
  </si>
  <si>
    <t>Dean Restricted Donation</t>
  </si>
  <si>
    <t>CSI 24 HP</t>
  </si>
  <si>
    <t>CSI 24 NW</t>
  </si>
  <si>
    <t>4500 · Federal Revenue:ESSER III</t>
  </si>
  <si>
    <t>1900* · Miscellaneous:1900-A · GIFTS &amp; DONATIONS:1902 Local Grants</t>
  </si>
  <si>
    <t>ESSER III</t>
  </si>
  <si>
    <t>HS Lopez</t>
  </si>
  <si>
    <t>4500 · Federal Revenue:IDEA Basic</t>
  </si>
  <si>
    <t>200 · Special Education:1002 · Instruction:2106100 · 6100 Salaries:6124 Sp Ed Assistant</t>
  </si>
  <si>
    <t>200 · Special Education:1002 · Instruction:2106209 · 6209 Employee Benefits</t>
  </si>
  <si>
    <t>200 · Special Education:2102 · Support Services Student:2216300 · 6300 Purchased Services:6329 Miscellanous</t>
  </si>
  <si>
    <t>3000* · State Revenue:3800 · Instructional Improvement Fund</t>
  </si>
  <si>
    <t>100 · Regular Education:1001 · Instruction:1106100 · 6100 Salaries:1106120 · 6120 Teachers Salaries</t>
  </si>
  <si>
    <t>100 · Regular Education:1001 · Instruction:1106100 · 6100 Salaries:1106121 · 6121 Elective Teacher</t>
  </si>
  <si>
    <t>100 · Regular Education:1001 · Instruction:1106100 · 6100 Salaries:1106128 Long-term Substitute</t>
  </si>
  <si>
    <t>100 · Regular Education:1001 · Instruction:1106100 · 6100 Salaries:1106129 · 6129 Substitutes</t>
  </si>
  <si>
    <t>100 · Regular Education:1001 · Instruction:1106300 · 6300 Purchased service:1106327 Contracted Substitute</t>
  </si>
  <si>
    <t>100 · Regular Education:1001 · Instruction:1106300 · 6300 Purchased service:6326 Contracted Teaching Staff</t>
  </si>
  <si>
    <t>100 · Regular Education:1001 · Instruction:1106300 · 6300 Purchased service:6329 Misc. Purchased Services</t>
  </si>
  <si>
    <t>100 · Regular Education:1001 · Instruction:1106600 · 6600 Supplies:6610 - Supplies-Instruction</t>
  </si>
  <si>
    <t>100 · Regular Education:1001 · Instruction:1106600 · 6600 Supplies:6630 - Non Consumables</t>
  </si>
  <si>
    <t>100 · Regular Education:1001 · Instruction:1106600 · 6600 Supplies:6632 Consumables</t>
  </si>
  <si>
    <t>100 · Regular Education:1001 · Instruction:1106600 · 6600 Supplies:6640 Periodicals/Publications</t>
  </si>
  <si>
    <t>100 · Regular Education:1001 · Instruction:1106600 · 6600 Supplies:6644 - Software</t>
  </si>
  <si>
    <t>100 · Regular Education:1001 · Instruction:1106600 · 6600 Supplies:6650 - Technology Supplies</t>
  </si>
  <si>
    <t>100 · Regular Education:1001 · Instruction:1106800 · 6800 Other Expenses:6810 - Dues &amp; fees</t>
  </si>
  <si>
    <t>100 · Regular Education:2101 · Support Services Student:1216100 · 6100 Salaries:1216106 · Technology Associate</t>
  </si>
  <si>
    <t>100 · Regular Education:2101 · Support Services Student:1216100 · 6100 Salaries:1216132 · Registar</t>
  </si>
  <si>
    <t>100 · Regular Education:2101 · Support Services Student:1216320 · 6320 Purchased Services:6329 Misc.Purchased Services</t>
  </si>
  <si>
    <t>100 · Regular Education:2101 · Support Services Student:1216320 · 6320 Purchased Services:6341 Attendance System</t>
  </si>
  <si>
    <t>100 · Regular Education:2101 · Support Services Student:1216800 · 6800 Other:6810 - Dues &amp; Fees</t>
  </si>
  <si>
    <t>100 · Regular Education:2201 · Support Service Instruct. Staff:1226100 · 6100 Salaries:1226102 · 6102 - Stipend Position</t>
  </si>
  <si>
    <t>100 · Regular Education:2201 · Support Service Instruct. Staff:1226300 · 6300 Purchased Services:6329 Misc. Purchased Services</t>
  </si>
  <si>
    <t>100 · Regular Education:2201 · Support Service Instruct. Staff:1226300 · 6300 Purchased Services:6360 Staff Training/Profess Dev</t>
  </si>
  <si>
    <t>100 · Regular Education:2201 · Support Service Instruct. Staff:1226600 · 6600 Supplies:6610 Supplies</t>
  </si>
  <si>
    <t>100 · Regular Education:2301 · Support Services General Admin.:1236320 · 6320 Purchased Services:6329 Miscellanous</t>
  </si>
  <si>
    <t>100 · Regular Education:2301 · Support Services General Admin.:1236320 · 6320 Purchased Services:6333 Legal</t>
  </si>
  <si>
    <t>100 · Regular Education:2301 · Support Services General Admin.:1236320 · 6320 Purchased Services:6350 Audit</t>
  </si>
  <si>
    <t>100 · Regular Education:2301 · Support Services General Admin.:1236500 · 6500 Other Purchased Services:6580 Travel</t>
  </si>
  <si>
    <t>100 · Regular Education:2301 · Support Services General Admin.:1236600 · 6600 Supplies:6610 - Supplies</t>
  </si>
  <si>
    <t>100 · Regular Education:2301 · Support Services General Admin.:1236600 · 6600 Supplies:6632 - Consumables</t>
  </si>
  <si>
    <t>100 · Regular Education:2301 · Support Services General Admin.:1236800 · 6800 Other Expenses:6810 Dues &amp; fees</t>
  </si>
  <si>
    <t>100 · Regular Education:2401 · Support Services School Admin.:1246100 · 6100 Salaries:1246102 · Stipend</t>
  </si>
  <si>
    <t>100 · Regular Education:2401 · Support Services School Admin.:1246100 · 6100 Salaries:1246130 · 6130 Principal</t>
  </si>
  <si>
    <t>100 · Regular Education:2401 · Support Services School Admin.:1246100 · 6100 Salaries:1246135 · 6135 Office Associate</t>
  </si>
  <si>
    <t>100 · Regular Education:2401 · Support Services School Admin.:1246209 · 6209 Employee Benefits</t>
  </si>
  <si>
    <t>100 · Regular Education:2401 · Support Services School Admin.:1246300 · 6300 Purchased Services:6329 Miscellanous</t>
  </si>
  <si>
    <t>100 · Regular Education:2401 · Support Services School Admin.:1246800 · 6800 Other Expenses:6810 Dues &amp; Fees</t>
  </si>
  <si>
    <t>100 · Regular Education:2501 · Business Office:1256100 · 6100 Salaries:1256105 · Finance and Resource Director</t>
  </si>
  <si>
    <t>100 · Regular Education:2501 · Business Office:1256209 · 6209 Employee Benefits</t>
  </si>
  <si>
    <t>100 · Regular Education:2501 · Business Office:1256300 · 6300 Purchased Services:6329 Miscellaneous</t>
  </si>
  <si>
    <t>100 · Regular Education:2501 · Business Office:1256300 · 6300 Purchased Services:6360 Prof Dev</t>
  </si>
  <si>
    <t>100 · Regular Education:2501 · Business Office:1256600 · 6600 Supplies:6610 Supplies</t>
  </si>
  <si>
    <t>100 · Regular Education:2501 · Business Office:1256800 · 6800 Other Expenses:6810 Dues &amp; Fees</t>
  </si>
  <si>
    <t>100 · Regular Education:2501 · Business Office:1256800 · 6800 Other Expenses:6810 Dues &amp; Fees:6811 Bond Administrative Fees</t>
  </si>
  <si>
    <t>100 · Regular Education:2501 · Business Office:1256800 · 6800 Other Expenses:6810 Dues &amp; Fees:6812 · Payroll Processing Fees</t>
  </si>
  <si>
    <t>100 · Regular Education:2601 · Op./Maint of Plant Services:1266100 · 6100 Salaries:1266143 · 6143 Custodial Staff</t>
  </si>
  <si>
    <t>100 · Regular Education:2601 · Op./Maint of Plant Services:1266209 · 6209 Employee Benefits</t>
  </si>
  <si>
    <t>100 · Regular Education:2601 · Op./Maint of Plant Services:1266300 · 6300 Purchased Services:6329 Miscellanous</t>
  </si>
  <si>
    <t>100 · Regular Education:2601 · Op./Maint of Plant Services:1266400 · 6400 Purchased Property Service:6411 Water &amp; Sewer</t>
  </si>
  <si>
    <t>100 · Regular Education:2601 · Op./Maint of Plant Services:1266400 · 6400 Purchased Property Service:6412 - Trash Disposal</t>
  </si>
  <si>
    <t>100 · Regular Education:2601 · Op./Maint of Plant Services:1266400 · 6400 Purchased Property Service:6413 - Pest Control</t>
  </si>
  <si>
    <t>100 · Regular Education:2601 · Op./Maint of Plant Services:1266400 · 6400 Purchased Property Service:6423 Custodial Services</t>
  </si>
  <si>
    <t>100 · Regular Education:2601 · Op./Maint of Plant Services:1266400 · 6400 Purchased Property Service:6426 Security</t>
  </si>
  <si>
    <t>100 · Regular Education:2601 · Op./Maint of Plant Services:1266400 · 6400 Purchased Property Service:6435 Repair &amp; Maint. Building</t>
  </si>
  <si>
    <t>100 · Regular Education:2601 · Op./Maint of Plant Services:1266400 · 6400 Purchased Property Service:6436 Equip Rep/ Maintenance</t>
  </si>
  <si>
    <t>100 · Regular Education:2601 · Op./Maint of Plant Services:1266500 · 6500 Other Purchased Services:6520 PC Insurance</t>
  </si>
  <si>
    <t>100 · Regular Education:2601 · Op./Maint of Plant Services:1266500 · 6500 Other Purchased Services:6580 Travel</t>
  </si>
  <si>
    <t>100 · Regular Education:2601 · Op./Maint of Plant Services:1266500 · 6500 Other Purchased Services:6530 · Communications</t>
  </si>
  <si>
    <t>100 · Regular Education:2601 · Op./Maint of Plant Services:1266600 · 6600 Supplies:6610 Supplies</t>
  </si>
  <si>
    <t>100 · Regular Education:2601 · Op./Maint of Plant Services:1266600 · 6600 Supplies:6611 - Custodial Supplies</t>
  </si>
  <si>
    <t>100 · Regular Education:2601 · Op./Maint of Plant Services:1266600 · 6600 Supplies:6621 Gas</t>
  </si>
  <si>
    <t>100 · Regular Education:2601 · Op./Maint of Plant Services:1266600 · 6600 Supplies:6622 Electricity</t>
  </si>
  <si>
    <t>100 · Regular Education:2601 · Op./Maint of Plant Services:1266800 · 6800 Other Expense:6810 - Dues &amp; Fees</t>
  </si>
  <si>
    <t>200 · Special Education:1002 · Instruction:2106100 · 6100 Salaries:6129 Substitute Teacher</t>
  </si>
  <si>
    <t>200 · Special Education:1002 · Instruction:2106100 · 6100 Salaries:6129 Special Ed Teacher Substit</t>
  </si>
  <si>
    <t>200 · Special Education:1002 · Instruction:2106100 · 6100 Salaries:2106120 · 6120 Sped Teacher</t>
  </si>
  <si>
    <t>200 · Special Education:1002 · Instruction:2106600 · 6600 Supplies:6610 Supplies</t>
  </si>
  <si>
    <t>200 · Special Education:2102 · Support Services Student:2216600 · 6600 Supplies:6610 Supplies</t>
  </si>
  <si>
    <t>200 · Special Education:2202 · Support Services Instruct Staff:2226100 · 6100 Salaries:2226102 Stipend</t>
  </si>
  <si>
    <t>200 · Special Education:2202 · Support Services Instruct Staff:2226209 · 6209 Employee Benefits</t>
  </si>
  <si>
    <t>200 · Special Education:2202 · Support Services Instruct Staff:2226300 · 6300 Purchased Services:6329 Miscellanous</t>
  </si>
  <si>
    <t>IIF</t>
  </si>
  <si>
    <t>IDEA 25 HP</t>
  </si>
  <si>
    <t>IDEA 25 NW</t>
  </si>
  <si>
    <t>M&amp;O HP</t>
  </si>
  <si>
    <t>1900* · Miscellaneous:1900-A · GIFTS &amp; DONATIONS:1903 Other grants and donations</t>
  </si>
  <si>
    <t>100 · Regular Education:2101 · Support Services Student:1216500 · 6500 Other Purchased Services:6580 Travel</t>
  </si>
  <si>
    <t>100 · Regular Education:2201 · Support Service Instruct. Staff:1226500 · 6500 Other Purchased Services:6580 Travel</t>
  </si>
  <si>
    <t>100 · Regular Education:2401 · Support Services School Admin.:1246500 · 6500 Other Purchased Services:6580 Travel</t>
  </si>
  <si>
    <t>100 · Regular Education:2501 · Business Office:1256500 · 6500 Other Purchased Services:6580 Travel</t>
  </si>
  <si>
    <t>100 · Regular Education:2601 · Op./Maint of Plant Services:1266300 · 6300 Purchased Services:6330 Technical Services</t>
  </si>
  <si>
    <t>100 · Regular Education:2601 · Op./Maint of Plant Services:1266400 · 6400 Purchased Property Service:6441 Rent/Lease-Land &amp; Building</t>
  </si>
  <si>
    <t>200 · Special Education:1002 · Instruction:2106300 · 6300 Purchased Services:6329 Miscellanous</t>
  </si>
  <si>
    <t>4500 · Federal Revenue:On Track</t>
  </si>
  <si>
    <t>700 · Prop 301 Expense:102 · Regular Education:1011- Base/FY22 All:7116100 · 6100 Salaries:7116120 · 6120 Teacher</t>
  </si>
  <si>
    <t>700 · Prop 301 Expense:102 · Regular Education:1011- Base/FY22 All:7116100 · 6100 Salaries:7116124 · Classroom Aides</t>
  </si>
  <si>
    <t>700 · Prop 301 Expense:102 · Regular Education:1011- Base/FY22 All:7116100 · 6100 Salaries:7116133 · 6133 Counselor</t>
  </si>
  <si>
    <t>700 · Prop 301 Expense:102 · Regular Education:1011- Base/FY22 All:7116209 · 6209 Employee Benefits</t>
  </si>
  <si>
    <t>700 · Prop 301 Expense:202 · Special Education:1011- Base/FY22 All:8116100 · 6100 Salaries:8116120 · 6120 Teacher</t>
  </si>
  <si>
    <t>700 · Prop 301 Expense:202 · Special Education:1011- Base/FY22 All:8116100 · 6100 Salaries:8116124 · 6124 SPED Teaching Assistant</t>
  </si>
  <si>
    <t>700 · Prop 301 Expense:202 · Special Education:1011- Base/FY22 All:8116209 · 6209 Employee Benefits</t>
  </si>
  <si>
    <t>700 · Prop 301 Expense:102 · Regular Education:1011- Base/FY22 All:7116300 Misc Purchased Service</t>
  </si>
  <si>
    <t>Rotary OV</t>
  </si>
  <si>
    <t>On Track</t>
  </si>
  <si>
    <t>Prop 301 HP</t>
  </si>
  <si>
    <t>Prop 301 NW</t>
  </si>
  <si>
    <t>M&amp;O NW</t>
  </si>
  <si>
    <t>SCF 25</t>
  </si>
  <si>
    <t>SCF 26</t>
  </si>
  <si>
    <t>4000 · Capital</t>
  </si>
  <si>
    <t>200 · Special Education:1002 · Instruction:2106500 · 6500 Other Purchased Services:6580 Travel</t>
  </si>
  <si>
    <t>Tax Credit Undes HP</t>
  </si>
  <si>
    <t>Tax Credit Undes NW</t>
  </si>
  <si>
    <t>Tax Credit FT - HP</t>
  </si>
  <si>
    <t>Tax Credit FT - NW</t>
  </si>
  <si>
    <t>1700 · Local Revenue:1700-A · Tax Credit - Undesignated</t>
  </si>
  <si>
    <t>Tax Credit</t>
  </si>
  <si>
    <t>4500 · Federal Revenue:Title I</t>
  </si>
  <si>
    <t>4500 · Federal Revenue:Title IVA</t>
  </si>
  <si>
    <t>Title I 25</t>
  </si>
  <si>
    <t>Title IV 25</t>
  </si>
  <si>
    <t>1705 · Rental Revenue</t>
  </si>
  <si>
    <t>1900* · Miscellaneous:1910 · School Fees</t>
  </si>
  <si>
    <t>1900* · Miscellaneous:1930 Return of overpayment</t>
  </si>
  <si>
    <t>3000* · State Revenue:Legislative Annual</t>
  </si>
  <si>
    <t>3000* · State Revenue:Prop 123</t>
  </si>
  <si>
    <t>3000* · State Revenue:State Equalization Assistance</t>
  </si>
  <si>
    <t>4500 · Federal Revenue</t>
  </si>
  <si>
    <t>4500 · Federal Revenue:E-Rate</t>
  </si>
  <si>
    <t>Bond Interest</t>
  </si>
  <si>
    <t>Interest</t>
  </si>
  <si>
    <t>Rental Revenue</t>
  </si>
  <si>
    <t>Donations</t>
  </si>
  <si>
    <t>Fees</t>
  </si>
  <si>
    <t>Return of overpayment</t>
  </si>
  <si>
    <t>State monies</t>
  </si>
  <si>
    <t>Tax Elective Pay credit</t>
  </si>
  <si>
    <t>Erate</t>
  </si>
  <si>
    <t>3000* · State Revenue:3900 · Prop 301</t>
  </si>
  <si>
    <t>Erate HP</t>
  </si>
  <si>
    <t>Erate NW</t>
  </si>
  <si>
    <t>200 · Special Education:2202 · Support Services Instruct Staff:2226300 · 6300 Purchased Services:6360 Professional Dev</t>
  </si>
  <si>
    <t>Overall salaries decreased slighlty with the retirement of a teacher with a greater salary early in the school year. Whose position was replaced by a 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</si>
</sst>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_);\(0\)"/>
    <numFmt numFmtId="166" formatCode="0.0"/>
    <numFmt numFmtId="167" formatCode="0."/>
    <numFmt numFmtId="168" formatCode="\(0E+00\);\(\-0E+00\)"/>
    <numFmt numFmtId="169" formatCode="0.000"/>
    <numFmt numFmtId="170" formatCode="_(&quot;$&quot;* #,##0_);_(&quot;$&quot;* \(#,##0\);_(&quot;$&quot;* &quot;-&quot;??_);_(@_)"/>
    <numFmt numFmtId="171" formatCode="0.0%"/>
    <numFmt numFmtId="172" formatCode="_(* #,##0_);_(* \(#,##0\);_(* &quot;-&quot;??_);_(@_)"/>
    <numFmt numFmtId="173" formatCode="#,##0.0000_);\(#,##0.0000\)"/>
    <numFmt numFmtId="174" formatCode="#,##0.000_);\(#,##0.000\)"/>
    <numFmt numFmtId="175" formatCode="#,##0.00;\-#,##0.00"/>
  </numFmts>
  <fonts count="72" x14ac:knownFonts="1">
    <font>
      <sz val="10"/>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0"/>
      <name val="Times New Roman"/>
      <family val="1"/>
    </font>
    <font>
      <sz val="9"/>
      <name val="Times New Roman"/>
      <family val="1"/>
    </font>
    <font>
      <b/>
      <sz val="10"/>
      <name val="Arial"/>
      <family val="2"/>
    </font>
    <font>
      <u/>
      <sz val="9"/>
      <color indexed="12"/>
      <name val="Arial"/>
      <family val="2"/>
    </font>
    <font>
      <b/>
      <sz val="14"/>
      <name val="Times New Roman"/>
      <family val="1"/>
    </font>
    <font>
      <b/>
      <sz val="12"/>
      <name val="Times New Roman"/>
      <family val="1"/>
    </font>
    <font>
      <sz val="10"/>
      <name val="Calibri"/>
      <family val="2"/>
    </font>
    <font>
      <sz val="10"/>
      <color indexed="12"/>
      <name val="Times New Roman"/>
      <family val="1"/>
    </font>
    <font>
      <b/>
      <u/>
      <sz val="10"/>
      <name val="Times New Roman"/>
      <family val="1"/>
    </font>
    <font>
      <sz val="11"/>
      <name val="Times New Roman"/>
      <family val="1"/>
    </font>
    <font>
      <sz val="12"/>
      <name val="Arial"/>
      <family val="2"/>
    </font>
    <font>
      <b/>
      <sz val="10"/>
      <color indexed="12"/>
      <name val="Times New Roman"/>
      <family val="1"/>
    </font>
    <font>
      <sz val="8"/>
      <name val="Times New Roman"/>
      <family val="1"/>
    </font>
    <font>
      <strike/>
      <sz val="10"/>
      <name val="Times New Roman"/>
      <family val="1"/>
    </font>
    <font>
      <b/>
      <sz val="11"/>
      <name val="Times New Roman"/>
      <family val="1"/>
    </font>
    <font>
      <u/>
      <sz val="9"/>
      <color indexed="12"/>
      <name val="Times New Roman"/>
      <family val="1"/>
    </font>
    <font>
      <b/>
      <i/>
      <sz val="10"/>
      <name val="Times New Roman"/>
      <family val="1"/>
    </font>
    <font>
      <b/>
      <sz val="9"/>
      <name val="Times New Roman"/>
      <family val="1"/>
    </font>
    <font>
      <i/>
      <sz val="10"/>
      <name val="Times New Roman"/>
      <family val="1"/>
    </font>
    <font>
      <sz val="11"/>
      <name val="Calibri"/>
      <family val="2"/>
    </font>
    <font>
      <u/>
      <sz val="9"/>
      <name val="Arial"/>
      <family val="2"/>
    </font>
    <font>
      <sz val="10"/>
      <name val="Cambria"/>
      <family val="1"/>
    </font>
    <font>
      <b/>
      <sz val="10"/>
      <color indexed="8"/>
      <name val="Times New Roman"/>
      <family val="1"/>
    </font>
    <font>
      <b/>
      <sz val="11"/>
      <color theme="1"/>
      <name val="Calibri"/>
      <family val="2"/>
      <scheme val="minor"/>
    </font>
    <font>
      <sz val="10"/>
      <color theme="1"/>
      <name val="Times New Roman"/>
      <family val="1"/>
    </font>
    <font>
      <b/>
      <u/>
      <sz val="10"/>
      <color rgb="FF0000FF"/>
      <name val="Times New Roman"/>
      <family val="1"/>
    </font>
    <font>
      <sz val="10"/>
      <color rgb="FF0000FF"/>
      <name val="Times New Roman"/>
      <family val="1"/>
    </font>
    <font>
      <b/>
      <sz val="10"/>
      <color rgb="FF0000FF"/>
      <name val="Times New Roman"/>
      <family val="1"/>
    </font>
    <font>
      <sz val="10"/>
      <color rgb="FFFF0000"/>
      <name val="Times New Roman"/>
      <family val="1"/>
    </font>
    <font>
      <strike/>
      <sz val="10"/>
      <color rgb="FFFF0000"/>
      <name val="Times New Roman"/>
      <family val="1"/>
    </font>
    <font>
      <sz val="11"/>
      <name val="Calibri"/>
      <family val="2"/>
      <scheme val="minor"/>
    </font>
    <font>
      <b/>
      <sz val="11"/>
      <color theme="1"/>
      <name val="Times New Roman"/>
      <family val="1"/>
    </font>
    <font>
      <sz val="11"/>
      <color theme="1"/>
      <name val="Times New Roman"/>
      <family val="1"/>
    </font>
    <font>
      <sz val="11"/>
      <color theme="0" tint="-0.24985503707998902"/>
      <name val="Times New Roman"/>
      <family val="1"/>
    </font>
    <font>
      <b/>
      <sz val="11"/>
      <name val="Calibri"/>
      <family val="2"/>
      <scheme val="minor"/>
    </font>
    <font>
      <sz val="8"/>
      <color rgb="FF000000"/>
      <name val="Arial"/>
      <family val="2"/>
    </font>
    <font>
      <u/>
      <sz val="8"/>
      <color rgb="FF0000FF"/>
      <name val="Times New Roman"/>
      <family val="1"/>
    </font>
    <font>
      <sz val="10"/>
      <color theme="0"/>
      <name val="Times New Roman"/>
      <family val="1"/>
    </font>
    <font>
      <sz val="11"/>
      <color theme="1" tint="0.34998626667073579"/>
      <name val="Calibri"/>
      <family val="2"/>
    </font>
    <font>
      <b/>
      <sz val="10"/>
      <color rgb="FFFF0000"/>
      <name val="Times New Roman"/>
      <family val="1"/>
    </font>
    <font>
      <sz val="10"/>
      <color theme="2" tint="-0.74987029633472702"/>
      <name val="Times New Roman"/>
      <family val="1"/>
    </font>
    <font>
      <sz val="11"/>
      <color rgb="FF000000"/>
      <name val="Calibri"/>
      <family val="2"/>
      <scheme val="minor"/>
    </font>
    <font>
      <u/>
      <sz val="10"/>
      <color indexed="12"/>
      <name val="Arial"/>
      <family val="2"/>
    </font>
    <font>
      <sz val="10"/>
      <color indexed="8"/>
      <name val="Times New Roman"/>
      <family val="1"/>
    </font>
    <font>
      <sz val="10"/>
      <color theme="0" tint="-0.3498947111423078"/>
      <name val="Times New Roman"/>
      <family val="1"/>
    </font>
    <font>
      <sz val="10"/>
      <color rgb="FF000000"/>
      <name val="Times New Roman"/>
      <family val="1"/>
    </font>
    <font>
      <sz val="9"/>
      <color rgb="FFFF0000"/>
      <name val="Times New Roman"/>
      <family val="1"/>
    </font>
    <font>
      <sz val="10"/>
      <color rgb="FF0000CC"/>
      <name val="Times New Roman"/>
      <family val="2"/>
    </font>
    <font>
      <b/>
      <sz val="10"/>
      <color theme="1"/>
      <name val="Times New Roman"/>
      <family val="1"/>
    </font>
    <font>
      <b/>
      <u/>
      <sz val="10"/>
      <color theme="1"/>
      <name val="Times New Roman"/>
      <family val="1"/>
    </font>
    <font>
      <b/>
      <sz val="10"/>
      <color rgb="FF0000CC"/>
      <name val="Times New Roman"/>
      <family val="1"/>
    </font>
    <font>
      <i/>
      <sz val="10"/>
      <color theme="1"/>
      <name val="Times New Roman"/>
      <family val="1"/>
    </font>
    <font>
      <sz val="11"/>
      <color rgb="FFFF0000"/>
      <name val="Times New Roman"/>
      <family val="1"/>
    </font>
    <font>
      <sz val="14"/>
      <name val="Times New Roman"/>
      <family val="1"/>
    </font>
    <font>
      <sz val="10"/>
      <color rgb="FF3366FF"/>
      <name val="Times New Roman"/>
      <family val="1"/>
    </font>
    <font>
      <b/>
      <sz val="8"/>
      <color indexed="12"/>
      <name val="Times New Roman"/>
      <family val="1"/>
    </font>
    <font>
      <u/>
      <sz val="10"/>
      <name val="Times New Roman"/>
      <family val="1"/>
    </font>
    <font>
      <u/>
      <sz val="10"/>
      <color indexed="12"/>
      <name val="Times New Roman"/>
      <family val="1"/>
    </font>
    <font>
      <sz val="10"/>
      <name val="Times New Roman"/>
      <family val="2"/>
    </font>
    <font>
      <u/>
      <sz val="10"/>
      <color rgb="FF0000FF"/>
      <name val="Times New Roman"/>
      <family val="1"/>
    </font>
    <font>
      <b/>
      <sz val="16"/>
      <name val="Times New Roman"/>
      <family val="1"/>
    </font>
    <font>
      <sz val="10"/>
      <name val="Times New Roman"/>
      <family val="1"/>
    </font>
    <font>
      <sz val="9"/>
      <name val="Times New Roman"/>
      <family val="2"/>
    </font>
    <font>
      <sz val="10"/>
      <color rgb="FF0000FF"/>
      <name val="Times New Roman"/>
      <family val="2"/>
    </font>
    <font>
      <sz val="10"/>
      <color theme="1"/>
      <name val="Calibri"/>
      <family val="2"/>
    </font>
    <font>
      <b/>
      <sz val="8"/>
      <color rgb="FF000000"/>
      <name val="Arial"/>
      <family val="2"/>
    </font>
  </fonts>
  <fills count="22">
    <fill>
      <patternFill patternType="none"/>
    </fill>
    <fill>
      <patternFill patternType="gray125"/>
    </fill>
    <fill>
      <patternFill patternType="solid">
        <fgColor theme="0" tint="-0.1498764000366222"/>
        <bgColor indexed="64"/>
      </patternFill>
    </fill>
    <fill>
      <patternFill patternType="solid">
        <fgColor theme="9" tint="0.59987182226020086"/>
        <bgColor indexed="64"/>
      </patternFill>
    </fill>
    <fill>
      <patternFill patternType="solid">
        <fgColor theme="0"/>
        <bgColor indexed="64"/>
      </patternFill>
    </fill>
    <fill>
      <patternFill patternType="solid">
        <fgColor indexed="9"/>
        <bgColor indexed="64"/>
      </patternFill>
    </fill>
    <fill>
      <patternFill patternType="solid">
        <fgColor rgb="FFCCFFFF"/>
        <bgColor indexed="64"/>
      </patternFill>
    </fill>
    <fill>
      <patternFill patternType="solid">
        <fgColor indexed="22"/>
        <bgColor indexed="64"/>
      </patternFill>
    </fill>
    <fill>
      <patternFill patternType="solid">
        <fgColor theme="0" tint="-0.24988555558946501"/>
        <bgColor indexed="64"/>
      </patternFill>
    </fill>
    <fill>
      <patternFill patternType="solid">
        <fgColor theme="0" tint="-0.24985503707998902"/>
        <bgColor indexed="64"/>
      </patternFill>
    </fill>
    <fill>
      <patternFill patternType="solid">
        <fgColor theme="0" tint="-0.24982451857051302"/>
        <bgColor indexed="64"/>
      </patternFill>
    </fill>
    <fill>
      <patternFill patternType="solid">
        <fgColor rgb="FFFFFF00"/>
        <bgColor indexed="64"/>
      </patternFill>
    </fill>
    <fill>
      <patternFill patternType="solid">
        <fgColor theme="0" tint="-0.14990691854609822"/>
        <bgColor indexed="64"/>
      </patternFill>
    </fill>
    <fill>
      <patternFill patternType="solid">
        <fgColor theme="4" tint="0.79985961485641044"/>
        <bgColor indexed="64"/>
      </patternFill>
    </fill>
    <fill>
      <patternFill patternType="solid">
        <fgColor theme="5" tint="0.59987182226020086"/>
        <bgColor indexed="64"/>
      </patternFill>
    </fill>
    <fill>
      <patternFill patternType="solid">
        <fgColor theme="5" tint="0.39997558519241921"/>
        <bgColor indexed="64"/>
      </patternFill>
    </fill>
    <fill>
      <patternFill patternType="solid">
        <fgColor rgb="FFFF7474"/>
        <bgColor indexed="64"/>
      </patternFill>
    </fill>
    <fill>
      <patternFill patternType="solid">
        <fgColor rgb="FFFFFFCC"/>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top/>
      <bottom style="thin">
        <color indexed="8"/>
      </bottom>
      <diagonal/>
    </border>
    <border>
      <left/>
      <right style="thin">
        <color auto="1"/>
      </right>
      <top style="thin">
        <color indexed="8"/>
      </top>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bottom style="medium">
        <color auto="1"/>
      </bottom>
      <diagonal/>
    </border>
    <border>
      <left/>
      <right style="thin">
        <color auto="1"/>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ck">
        <color indexed="64"/>
      </top>
      <bottom/>
      <diagonal/>
    </border>
  </borders>
  <cellStyleXfs count="15">
    <xf numFmtId="0" fontId="0" fillId="0" borderId="0"/>
    <xf numFmtId="9" fontId="6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9" fillId="0" borderId="0" applyNumberFormat="0" applyFill="0" applyBorder="0">
      <protection locked="0"/>
    </xf>
    <xf numFmtId="0" fontId="5" fillId="0" borderId="0"/>
    <xf numFmtId="0" fontId="16" fillId="0" borderId="0" applyFont="0" applyBorder="0"/>
    <xf numFmtId="0" fontId="4" fillId="0" borderId="0"/>
    <xf numFmtId="0" fontId="4" fillId="0" borderId="0"/>
    <xf numFmtId="0" fontId="5" fillId="0" borderId="0"/>
    <xf numFmtId="0" fontId="48" fillId="0" borderId="0" applyNumberFormat="0" applyFill="0" applyBorder="0">
      <protection locked="0"/>
    </xf>
    <xf numFmtId="0" fontId="64" fillId="0" borderId="0"/>
    <xf numFmtId="0" fontId="9" fillId="0" borderId="0" applyNumberFormat="0" applyFill="0" applyBorder="0">
      <protection locked="0"/>
    </xf>
  </cellStyleXfs>
  <cellXfs count="1013">
    <xf numFmtId="0" fontId="0" fillId="0" borderId="0" xfId="0"/>
    <xf numFmtId="0" fontId="0" fillId="0" borderId="3" xfId="0" applyBorder="1" applyAlignment="1">
      <alignment horizontal="center"/>
    </xf>
    <xf numFmtId="49" fontId="0" fillId="0" borderId="3" xfId="0" applyNumberFormat="1" applyBorder="1" applyAlignment="1">
      <alignment horizontal="center"/>
    </xf>
    <xf numFmtId="0" fontId="6" fillId="0" borderId="0" xfId="0" applyFont="1" applyAlignment="1">
      <alignment horizontal="left"/>
    </xf>
    <xf numFmtId="0" fontId="0" fillId="0" borderId="0" xfId="0" applyAlignment="1">
      <alignment horizontal="center"/>
    </xf>
    <xf numFmtId="0" fontId="0" fillId="0" borderId="0" xfId="0" applyAlignment="1">
      <alignment horizontal="center" wrapText="1"/>
    </xf>
    <xf numFmtId="0" fontId="0" fillId="0" borderId="3" xfId="0" applyBorder="1"/>
    <xf numFmtId="0" fontId="0" fillId="0" borderId="0" xfId="0" applyAlignment="1">
      <alignment horizontal="right"/>
    </xf>
    <xf numFmtId="0" fontId="0" fillId="0" borderId="0" xfId="0" applyAlignment="1">
      <alignment wrapText="1"/>
    </xf>
    <xf numFmtId="0" fontId="38" fillId="0" borderId="1" xfId="7" applyFont="1" applyBorder="1" applyProtection="1">
      <protection locked="0"/>
    </xf>
    <xf numFmtId="49" fontId="38" fillId="0" borderId="1" xfId="7" applyNumberFormat="1" applyFont="1" applyBorder="1" applyProtection="1">
      <protection locked="0"/>
    </xf>
    <xf numFmtId="0" fontId="38" fillId="0" borderId="1" xfId="7" applyFont="1" applyBorder="1" applyAlignment="1" applyProtection="1">
      <alignment horizontal="right"/>
      <protection locked="0"/>
    </xf>
    <xf numFmtId="0" fontId="38" fillId="0" borderId="1" xfId="7" applyFont="1" applyBorder="1" applyAlignment="1" applyProtection="1">
      <alignment wrapText="1"/>
      <protection locked="0"/>
    </xf>
    <xf numFmtId="0" fontId="40" fillId="2" borderId="1" xfId="7" applyFont="1" applyFill="1" applyBorder="1" applyAlignment="1" applyProtection="1">
      <alignment horizontal="center"/>
      <protection locked="0"/>
    </xf>
    <xf numFmtId="0" fontId="5" fillId="0" borderId="0" xfId="7" applyProtection="1">
      <protection locked="0"/>
    </xf>
    <xf numFmtId="0" fontId="5" fillId="0" borderId="0" xfId="7" applyAlignment="1" applyProtection="1">
      <alignment horizontal="left" vertical="top"/>
      <protection locked="0"/>
    </xf>
    <xf numFmtId="0" fontId="5" fillId="3" borderId="2" xfId="7" applyFill="1" applyBorder="1" applyAlignment="1" applyProtection="1">
      <alignment horizontal="left" vertical="top"/>
      <protection locked="0"/>
    </xf>
    <xf numFmtId="0" fontId="38" fillId="0" borderId="0" xfId="7" applyFont="1" applyAlignment="1" applyProtection="1">
      <alignment horizontal="left" vertical="top"/>
      <protection locked="0"/>
    </xf>
    <xf numFmtId="40" fontId="40" fillId="2" borderId="1" xfId="7" applyNumberFormat="1" applyFont="1" applyFill="1" applyBorder="1" applyAlignment="1" applyProtection="1">
      <alignment horizontal="center"/>
      <protection locked="0"/>
    </xf>
    <xf numFmtId="40" fontId="5" fillId="0" borderId="0" xfId="7" applyNumberFormat="1" applyAlignment="1" applyProtection="1">
      <alignment horizontal="left" vertical="top"/>
      <protection locked="0"/>
    </xf>
    <xf numFmtId="40" fontId="5" fillId="0" borderId="0" xfId="7" applyNumberFormat="1" applyProtection="1">
      <protection locked="0"/>
    </xf>
    <xf numFmtId="0" fontId="40" fillId="2" borderId="2" xfId="7" applyFont="1" applyFill="1" applyBorder="1" applyAlignment="1" applyProtection="1">
      <alignment horizontal="center"/>
      <protection locked="0"/>
    </xf>
    <xf numFmtId="0" fontId="5" fillId="3" borderId="0" xfId="7" applyFill="1" applyProtection="1">
      <protection locked="0"/>
    </xf>
    <xf numFmtId="0" fontId="5" fillId="3" borderId="0" xfId="7" applyFill="1" applyAlignment="1" applyProtection="1">
      <alignment horizontal="left" vertical="top"/>
      <protection locked="0"/>
    </xf>
    <xf numFmtId="0" fontId="5" fillId="3" borderId="0" xfId="7" applyFill="1" applyAlignment="1" applyProtection="1">
      <alignment horizontal="left"/>
      <protection locked="0"/>
    </xf>
    <xf numFmtId="0" fontId="47" fillId="4" borderId="0" xfId="0" applyFont="1" applyFill="1" applyProtection="1">
      <protection locked="0"/>
    </xf>
    <xf numFmtId="37" fontId="0" fillId="0" borderId="3" xfId="0" applyNumberFormat="1" applyBorder="1" applyProtection="1">
      <protection locked="0"/>
    </xf>
    <xf numFmtId="37" fontId="0" fillId="0" borderId="4" xfId="0" applyNumberFormat="1" applyBorder="1" applyProtection="1">
      <protection locked="0"/>
    </xf>
    <xf numFmtId="37" fontId="0" fillId="0" borderId="0" xfId="0" applyNumberFormat="1"/>
    <xf numFmtId="37" fontId="0" fillId="0" borderId="0" xfId="0" applyNumberFormat="1" applyProtection="1">
      <protection locked="0"/>
    </xf>
    <xf numFmtId="37" fontId="0" fillId="0" borderId="1" xfId="0" applyNumberFormat="1" applyBorder="1" applyAlignment="1" applyProtection="1">
      <alignment horizontal="right"/>
      <protection locked="0"/>
    </xf>
    <xf numFmtId="37" fontId="0" fillId="0" borderId="5" xfId="0" applyNumberFormat="1" applyBorder="1" applyAlignment="1" applyProtection="1">
      <alignment horizontal="right"/>
      <protection locked="0"/>
    </xf>
    <xf numFmtId="0" fontId="47" fillId="4" borderId="6" xfId="0" applyFont="1" applyFill="1" applyBorder="1" applyProtection="1">
      <protection locked="0"/>
    </xf>
    <xf numFmtId="168" fontId="55" fillId="0" borderId="7" xfId="12" applyNumberFormat="1" applyFont="1" applyFill="1" applyBorder="1" applyProtection="1"/>
    <xf numFmtId="37" fontId="30" fillId="0" borderId="1" xfId="10" applyNumberFormat="1" applyFont="1" applyBorder="1" applyAlignment="1" applyProtection="1">
      <alignment horizontal="right" vertical="center"/>
      <protection locked="0"/>
    </xf>
    <xf numFmtId="168" fontId="6" fillId="0" borderId="1" xfId="12" applyNumberFormat="1" applyFont="1" applyFill="1" applyBorder="1" applyAlignment="1" applyProtection="1">
      <alignment horizontal="center" wrapText="1"/>
    </xf>
    <xf numFmtId="37" fontId="30" fillId="0" borderId="1" xfId="4" applyNumberFormat="1" applyFont="1" applyFill="1" applyBorder="1" applyProtection="1">
      <protection locked="0"/>
    </xf>
    <xf numFmtId="37" fontId="30" fillId="5" borderId="1" xfId="10" quotePrefix="1" applyNumberFormat="1" applyFont="1" applyFill="1" applyBorder="1" applyProtection="1">
      <protection locked="0"/>
    </xf>
    <xf numFmtId="37" fontId="30" fillId="0" borderId="1" xfId="4" applyNumberFormat="1" applyFont="1" applyFill="1" applyBorder="1" applyAlignment="1" applyProtection="1">
      <alignment wrapText="1"/>
    </xf>
    <xf numFmtId="37" fontId="30" fillId="0" borderId="8" xfId="4" applyNumberFormat="1" applyFont="1" applyFill="1" applyBorder="1" applyProtection="1">
      <protection locked="0"/>
    </xf>
    <xf numFmtId="37" fontId="30" fillId="0" borderId="0" xfId="4" applyNumberFormat="1" applyFont="1" applyFill="1" applyBorder="1" applyProtection="1"/>
    <xf numFmtId="0" fontId="17" fillId="0" borderId="0" xfId="12" applyFont="1" applyFill="1" applyBorder="1" applyProtection="1"/>
    <xf numFmtId="0" fontId="33" fillId="0" borderId="0" xfId="12" applyFont="1" applyFill="1" applyBorder="1" applyProtection="1"/>
    <xf numFmtId="165" fontId="30" fillId="0" borderId="0" xfId="12" applyNumberFormat="1" applyFont="1" applyFill="1" applyBorder="1" applyAlignment="1" applyProtection="1">
      <alignment vertical="center" wrapText="1"/>
    </xf>
    <xf numFmtId="165" fontId="34" fillId="0" borderId="0" xfId="12" applyNumberFormat="1" applyFont="1" applyFill="1" applyBorder="1" applyAlignment="1" applyProtection="1">
      <alignment horizontal="center" vertical="center" wrapText="1"/>
    </xf>
    <xf numFmtId="168" fontId="13" fillId="6" borderId="9" xfId="12" applyNumberFormat="1" applyFont="1" applyFill="1" applyBorder="1" applyAlignment="1" applyProtection="1">
      <alignment horizontal="left"/>
    </xf>
    <xf numFmtId="165" fontId="30" fillId="6" borderId="4" xfId="12" applyNumberFormat="1" applyFont="1" applyFill="1" applyBorder="1" applyAlignment="1" applyProtection="1">
      <alignment horizontal="left"/>
    </xf>
    <xf numFmtId="37" fontId="30" fillId="0" borderId="1" xfId="10" applyNumberFormat="1" applyFont="1" applyBorder="1" applyProtection="1">
      <protection locked="0"/>
    </xf>
    <xf numFmtId="168" fontId="13" fillId="6" borderId="4" xfId="12" applyNumberFormat="1" applyFont="1" applyFill="1" applyBorder="1" applyAlignment="1" applyProtection="1">
      <alignment horizontal="left"/>
    </xf>
    <xf numFmtId="37" fontId="54" fillId="0" borderId="1" xfId="4" applyNumberFormat="1" applyFont="1" applyFill="1" applyBorder="1" applyAlignment="1" applyProtection="1">
      <alignment horizontal="right"/>
    </xf>
    <xf numFmtId="0" fontId="43" fillId="0" borderId="0" xfId="0" applyFont="1"/>
    <xf numFmtId="37" fontId="51" fillId="4" borderId="1" xfId="0" applyNumberFormat="1" applyFont="1" applyFill="1" applyBorder="1" applyProtection="1">
      <protection locked="0"/>
    </xf>
    <xf numFmtId="37" fontId="51" fillId="4" borderId="5" xfId="0" applyNumberFormat="1" applyFont="1" applyFill="1" applyBorder="1" applyProtection="1">
      <protection locked="0"/>
    </xf>
    <xf numFmtId="37" fontId="51" fillId="0" borderId="1" xfId="0" applyNumberFormat="1" applyFont="1" applyBorder="1" applyProtection="1">
      <protection locked="0"/>
    </xf>
    <xf numFmtId="37" fontId="51" fillId="4" borderId="10" xfId="0" applyNumberFormat="1" applyFont="1" applyFill="1" applyBorder="1" applyProtection="1">
      <protection locked="0"/>
    </xf>
    <xf numFmtId="37" fontId="51" fillId="4" borderId="11" xfId="0" applyNumberFormat="1" applyFont="1" applyFill="1" applyBorder="1" applyProtection="1">
      <protection locked="0"/>
    </xf>
    <xf numFmtId="37" fontId="51" fillId="0" borderId="11" xfId="0" applyNumberFormat="1" applyFont="1" applyBorder="1" applyProtection="1">
      <protection locked="0"/>
    </xf>
    <xf numFmtId="37" fontId="51" fillId="0" borderId="3" xfId="0" applyNumberFormat="1" applyFont="1" applyBorder="1" applyProtection="1">
      <protection locked="0"/>
    </xf>
    <xf numFmtId="3" fontId="51" fillId="0" borderId="3" xfId="0" applyNumberFormat="1" applyFont="1" applyBorder="1" applyProtection="1">
      <protection locked="0"/>
    </xf>
    <xf numFmtId="0" fontId="61" fillId="6" borderId="4" xfId="12" applyFont="1" applyFill="1" applyBorder="1" applyProtection="1"/>
    <xf numFmtId="0" fontId="61" fillId="6" borderId="8" xfId="12" applyFont="1" applyFill="1" applyBorder="1" applyProtection="1"/>
    <xf numFmtId="0" fontId="6" fillId="0" borderId="0" xfId="0" applyFont="1" applyAlignment="1">
      <alignment horizontal="right"/>
    </xf>
    <xf numFmtId="0" fontId="6" fillId="0" borderId="1" xfId="0" applyFont="1" applyBorder="1" applyAlignment="1">
      <alignment horizontal="center"/>
    </xf>
    <xf numFmtId="0" fontId="7" fillId="0" borderId="0" xfId="0" applyFont="1"/>
    <xf numFmtId="0" fontId="0" fillId="0" borderId="0" xfId="0" quotePrefix="1" applyAlignment="1">
      <alignment horizontal="right"/>
    </xf>
    <xf numFmtId="49" fontId="0" fillId="0" borderId="0" xfId="0" applyNumberFormat="1" applyAlignment="1">
      <alignment horizontal="right"/>
    </xf>
    <xf numFmtId="0" fontId="52" fillId="0" borderId="0" xfId="0" applyFont="1"/>
    <xf numFmtId="0" fontId="7" fillId="0" borderId="0" xfId="0" applyFont="1" applyAlignment="1">
      <alignment horizontal="centerContinuous"/>
    </xf>
    <xf numFmtId="0" fontId="0" fillId="0" borderId="0" xfId="0" applyAlignment="1">
      <alignment horizontal="centerContinuous"/>
    </xf>
    <xf numFmtId="49" fontId="0" fillId="0" borderId="0" xfId="0" quotePrefix="1" applyNumberFormat="1" applyAlignment="1">
      <alignment horizontal="right"/>
    </xf>
    <xf numFmtId="0" fontId="0" fillId="0" borderId="12" xfId="0" applyBorder="1"/>
    <xf numFmtId="0" fontId="0" fillId="0" borderId="7" xfId="0" applyBorder="1"/>
    <xf numFmtId="0" fontId="0" fillId="0" borderId="13" xfId="0" applyBorder="1"/>
    <xf numFmtId="0" fontId="0" fillId="0" borderId="10" xfId="0" applyBorder="1" applyAlignment="1">
      <alignment horizontal="centerContinuous"/>
    </xf>
    <xf numFmtId="0" fontId="0" fillId="0" borderId="13" xfId="0" applyBorder="1" applyAlignment="1">
      <alignment horizontal="centerContinuous"/>
    </xf>
    <xf numFmtId="0" fontId="0" fillId="0" borderId="12" xfId="0" applyBorder="1" applyAlignment="1">
      <alignment horizontal="centerContinuous"/>
    </xf>
    <xf numFmtId="0" fontId="33" fillId="6" borderId="2" xfId="6" applyFont="1" applyFill="1" applyBorder="1" applyProtection="1"/>
    <xf numFmtId="0" fontId="0" fillId="0" borderId="14" xfId="0" applyBorder="1"/>
    <xf numFmtId="0" fontId="0" fillId="0" borderId="2" xfId="0" applyBorder="1" applyAlignment="1">
      <alignment horizontal="center"/>
    </xf>
    <xf numFmtId="0" fontId="0" fillId="0" borderId="15" xfId="0" applyBorder="1" applyAlignment="1">
      <alignment horizontal="centerContinuous"/>
    </xf>
    <xf numFmtId="0" fontId="0" fillId="0" borderId="15" xfId="0" applyBorder="1" applyAlignment="1">
      <alignment horizontal="center"/>
    </xf>
    <xf numFmtId="0" fontId="0" fillId="0" borderId="14" xfId="0" applyBorder="1" applyAlignment="1">
      <alignment horizontal="centerContinuous"/>
    </xf>
    <xf numFmtId="0" fontId="0" fillId="0" borderId="10" xfId="0" applyBorder="1"/>
    <xf numFmtId="0" fontId="6" fillId="0" borderId="16" xfId="0" applyFont="1" applyBorder="1"/>
    <xf numFmtId="0" fontId="0" fillId="0" borderId="17" xfId="0" applyBorder="1"/>
    <xf numFmtId="0" fontId="0" fillId="0" borderId="5" xfId="0" applyBorder="1" applyAlignment="1">
      <alignment horizontal="center"/>
    </xf>
    <xf numFmtId="0" fontId="6" fillId="0" borderId="12" xfId="0" applyFont="1" applyBorder="1"/>
    <xf numFmtId="37" fontId="0" fillId="0" borderId="10" xfId="0" applyNumberFormat="1" applyBorder="1"/>
    <xf numFmtId="0" fontId="0" fillId="0" borderId="2" xfId="0" applyBorder="1"/>
    <xf numFmtId="49" fontId="0" fillId="0" borderId="14" xfId="0" applyNumberFormat="1" applyBorder="1" applyAlignment="1">
      <alignment horizontal="right"/>
    </xf>
    <xf numFmtId="49" fontId="0" fillId="0" borderId="0" xfId="0" applyNumberFormat="1" applyAlignment="1">
      <alignment horizontal="left"/>
    </xf>
    <xf numFmtId="37" fontId="0" fillId="0" borderId="12" xfId="0" applyNumberFormat="1" applyBorder="1"/>
    <xf numFmtId="0" fontId="0" fillId="0" borderId="16" xfId="0" applyBorder="1"/>
    <xf numFmtId="49" fontId="0" fillId="0" borderId="3" xfId="0" applyNumberFormat="1" applyBorder="1" applyAlignment="1">
      <alignment horizontal="right"/>
    </xf>
    <xf numFmtId="0" fontId="6" fillId="0" borderId="2" xfId="0" applyFont="1" applyBorder="1"/>
    <xf numFmtId="49" fontId="0" fillId="0" borderId="17" xfId="0" applyNumberFormat="1" applyBorder="1" applyAlignment="1">
      <alignment horizontal="right"/>
    </xf>
    <xf numFmtId="10" fontId="51" fillId="4" borderId="0" xfId="0" applyNumberFormat="1" applyFont="1" applyFill="1"/>
    <xf numFmtId="49" fontId="0" fillId="0" borderId="2" xfId="0" applyNumberFormat="1" applyBorder="1" applyAlignment="1">
      <alignment horizontal="right"/>
    </xf>
    <xf numFmtId="0" fontId="0" fillId="0" borderId="9" xfId="0" applyBorder="1"/>
    <xf numFmtId="0" fontId="0" fillId="0" borderId="4" xfId="0" applyBorder="1"/>
    <xf numFmtId="49" fontId="0" fillId="0" borderId="8" xfId="0" applyNumberFormat="1" applyBorder="1" applyAlignment="1">
      <alignment horizontal="right"/>
    </xf>
    <xf numFmtId="37" fontId="0" fillId="7" borderId="1" xfId="0" applyNumberFormat="1" applyFill="1" applyBorder="1"/>
    <xf numFmtId="0" fontId="26" fillId="6" borderId="4" xfId="6" applyFont="1" applyFill="1" applyBorder="1" applyProtection="1"/>
    <xf numFmtId="37" fontId="0" fillId="8" borderId="1" xfId="0" applyNumberFormat="1" applyFill="1" applyBorder="1"/>
    <xf numFmtId="37" fontId="0" fillId="0" borderId="1" xfId="0" applyNumberFormat="1" applyBorder="1" applyProtection="1">
      <protection locked="0"/>
    </xf>
    <xf numFmtId="0" fontId="8" fillId="0" borderId="0" xfId="0" applyFont="1" applyAlignment="1">
      <alignment horizontal="left"/>
    </xf>
    <xf numFmtId="0" fontId="34" fillId="0" borderId="0" xfId="0" applyFont="1" applyAlignment="1">
      <alignment vertical="center" wrapText="1"/>
    </xf>
    <xf numFmtId="0" fontId="34" fillId="0" borderId="14" xfId="0" applyFont="1" applyBorder="1" applyAlignment="1">
      <alignment vertical="center" wrapText="1"/>
    </xf>
    <xf numFmtId="0" fontId="0" fillId="4" borderId="0" xfId="0" applyFill="1"/>
    <xf numFmtId="0" fontId="0" fillId="0" borderId="0" xfId="0" applyAlignment="1">
      <alignment horizontal="justify" vertical="top" wrapText="1"/>
    </xf>
    <xf numFmtId="0" fontId="0" fillId="0" borderId="0" xfId="0" applyAlignment="1">
      <alignment horizontal="justify" vertical="top"/>
    </xf>
    <xf numFmtId="0" fontId="0" fillId="0" borderId="7" xfId="9" applyFont="1" applyBorder="1" applyAlignment="1">
      <alignment horizontal="centerContinuous"/>
    </xf>
    <xf numFmtId="0" fontId="34" fillId="0" borderId="7" xfId="9" applyFont="1" applyBorder="1" applyAlignment="1">
      <alignment horizontal="centerContinuous"/>
    </xf>
    <xf numFmtId="0" fontId="34" fillId="0" borderId="13" xfId="9" applyFont="1" applyBorder="1" applyAlignment="1">
      <alignment horizontal="centerContinuous"/>
    </xf>
    <xf numFmtId="0" fontId="34" fillId="0" borderId="2" xfId="0" applyFont="1" applyBorder="1" applyAlignment="1">
      <alignment horizontal="center"/>
    </xf>
    <xf numFmtId="0" fontId="6" fillId="0" borderId="2" xfId="9" applyFont="1" applyBorder="1"/>
    <xf numFmtId="0" fontId="34" fillId="0" borderId="0" xfId="9" applyFont="1"/>
    <xf numFmtId="0" fontId="34" fillId="0" borderId="14" xfId="9" applyFont="1" applyBorder="1"/>
    <xf numFmtId="0" fontId="0" fillId="0" borderId="15" xfId="9" applyFont="1" applyBorder="1" applyAlignment="1">
      <alignment horizontal="center"/>
    </xf>
    <xf numFmtId="0" fontId="34" fillId="0" borderId="2" xfId="9" applyFont="1" applyBorder="1" applyAlignment="1">
      <alignment horizontal="center"/>
    </xf>
    <xf numFmtId="0" fontId="34" fillId="0" borderId="3" xfId="9" applyFont="1" applyBorder="1"/>
    <xf numFmtId="0" fontId="34" fillId="0" borderId="17" xfId="9" applyFont="1" applyBorder="1"/>
    <xf numFmtId="0" fontId="34" fillId="0" borderId="13" xfId="0" applyFont="1" applyBorder="1"/>
    <xf numFmtId="0" fontId="34" fillId="0" borderId="2" xfId="9" applyFont="1" applyBorder="1"/>
    <xf numFmtId="0" fontId="0" fillId="0" borderId="14" xfId="0" quotePrefix="1" applyBorder="1" applyAlignment="1">
      <alignment horizontal="right"/>
    </xf>
    <xf numFmtId="0" fontId="34" fillId="6" borderId="0" xfId="0" applyFont="1" applyFill="1"/>
    <xf numFmtId="0" fontId="34" fillId="0" borderId="16" xfId="9" applyFont="1" applyBorder="1"/>
    <xf numFmtId="0" fontId="34" fillId="6" borderId="3" xfId="0" applyFont="1" applyFill="1" applyBorder="1"/>
    <xf numFmtId="0" fontId="0" fillId="0" borderId="17" xfId="0" quotePrefix="1" applyBorder="1" applyAlignment="1">
      <alignment horizontal="right"/>
    </xf>
    <xf numFmtId="0" fontId="0" fillId="0" borderId="8" xfId="0" applyBorder="1"/>
    <xf numFmtId="0" fontId="0" fillId="0" borderId="8" xfId="0" applyBorder="1" applyAlignment="1">
      <alignment horizontal="center"/>
    </xf>
    <xf numFmtId="0" fontId="34" fillId="0" borderId="7" xfId="0" applyFont="1" applyBorder="1"/>
    <xf numFmtId="0" fontId="0" fillId="0" borderId="7" xfId="0" quotePrefix="1" applyBorder="1" applyAlignment="1">
      <alignment horizontal="right"/>
    </xf>
    <xf numFmtId="0" fontId="44" fillId="4" borderId="0" xfId="0" applyFont="1" applyFill="1" applyAlignment="1">
      <alignment vertical="center"/>
    </xf>
    <xf numFmtId="0" fontId="34" fillId="0" borderId="3" xfId="0" applyFont="1" applyBorder="1"/>
    <xf numFmtId="0" fontId="0" fillId="0" borderId="3" xfId="0" quotePrefix="1" applyBorder="1" applyAlignment="1">
      <alignment horizontal="right"/>
    </xf>
    <xf numFmtId="0" fontId="6" fillId="0" borderId="3" xfId="0" applyFont="1" applyBorder="1" applyAlignment="1">
      <alignment vertical="center"/>
    </xf>
    <xf numFmtId="0" fontId="6" fillId="0" borderId="12"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0" xfId="0" applyFont="1" applyAlignment="1">
      <alignment vertical="center"/>
    </xf>
    <xf numFmtId="0" fontId="45" fillId="0" borderId="0" xfId="0" applyFont="1" applyAlignment="1">
      <alignment vertical="center"/>
    </xf>
    <xf numFmtId="0" fontId="0" fillId="0" borderId="12" xfId="9" applyFont="1" applyBorder="1"/>
    <xf numFmtId="0" fontId="0" fillId="0" borderId="14" xfId="9" applyFont="1" applyBorder="1" applyAlignment="1">
      <alignment horizontal="center"/>
    </xf>
    <xf numFmtId="167" fontId="0" fillId="0" borderId="7" xfId="9" applyNumberFormat="1" applyFont="1" applyBorder="1"/>
    <xf numFmtId="37" fontId="0" fillId="4" borderId="10" xfId="9" applyNumberFormat="1" applyFont="1" applyFill="1" applyBorder="1"/>
    <xf numFmtId="38" fontId="0" fillId="0" borderId="0" xfId="9" applyNumberFormat="1" applyFont="1" applyAlignment="1">
      <alignment horizontal="right"/>
    </xf>
    <xf numFmtId="167" fontId="0" fillId="0" borderId="0" xfId="9" applyNumberFormat="1" applyFont="1"/>
    <xf numFmtId="167" fontId="0" fillId="0" borderId="0" xfId="9" applyNumberFormat="1" applyFont="1" applyAlignment="1">
      <alignment horizontal="left"/>
    </xf>
    <xf numFmtId="167" fontId="0" fillId="0" borderId="14" xfId="9" applyNumberFormat="1" applyFont="1" applyBorder="1"/>
    <xf numFmtId="37" fontId="0" fillId="8" borderId="5" xfId="9" applyNumberFormat="1" applyFont="1" applyFill="1" applyBorder="1"/>
    <xf numFmtId="167" fontId="0" fillId="0" borderId="17" xfId="9" applyNumberFormat="1" applyFont="1" applyBorder="1"/>
    <xf numFmtId="168" fontId="0" fillId="5" borderId="15" xfId="0" applyNumberFormat="1" applyFill="1" applyBorder="1" applyAlignment="1">
      <alignment horizontal="center"/>
    </xf>
    <xf numFmtId="168" fontId="0" fillId="5" borderId="0" xfId="0" applyNumberFormat="1" applyFill="1"/>
    <xf numFmtId="167" fontId="0" fillId="0" borderId="0" xfId="9" applyNumberFormat="1" applyFont="1" applyAlignment="1">
      <alignment horizontal="right"/>
    </xf>
    <xf numFmtId="168" fontId="0" fillId="5" borderId="2" xfId="0" applyNumberFormat="1" applyFill="1" applyBorder="1"/>
    <xf numFmtId="168" fontId="0" fillId="0" borderId="0" xfId="0" applyNumberFormat="1"/>
    <xf numFmtId="168" fontId="0" fillId="0" borderId="3" xfId="0" applyNumberFormat="1" applyBorder="1"/>
    <xf numFmtId="38" fontId="0" fillId="5" borderId="0" xfId="0" applyNumberFormat="1" applyFill="1"/>
    <xf numFmtId="168" fontId="0" fillId="5" borderId="7" xfId="0" applyNumberFormat="1" applyFill="1" applyBorder="1"/>
    <xf numFmtId="167" fontId="0" fillId="0" borderId="7" xfId="9" applyNumberFormat="1" applyFont="1" applyBorder="1" applyAlignment="1">
      <alignment horizontal="right"/>
    </xf>
    <xf numFmtId="38" fontId="0" fillId="5" borderId="10" xfId="0" applyNumberFormat="1" applyFill="1" applyBorder="1" applyAlignment="1">
      <alignment horizontal="right"/>
    </xf>
    <xf numFmtId="167" fontId="34" fillId="0" borderId="3" xfId="9" applyNumberFormat="1" applyFont="1" applyBorder="1" applyAlignment="1">
      <alignment horizontal="right"/>
    </xf>
    <xf numFmtId="38" fontId="0" fillId="5" borderId="5" xfId="0" applyNumberFormat="1" applyFill="1" applyBorder="1" applyAlignment="1">
      <alignment horizontal="center"/>
    </xf>
    <xf numFmtId="167" fontId="34" fillId="0" borderId="0" xfId="9" applyNumberFormat="1" applyFont="1" applyAlignment="1">
      <alignment horizontal="left"/>
    </xf>
    <xf numFmtId="168" fontId="34" fillId="5" borderId="12" xfId="0" applyNumberFormat="1" applyFont="1" applyFill="1" applyBorder="1"/>
    <xf numFmtId="168" fontId="0" fillId="0" borderId="7" xfId="0" applyNumberFormat="1" applyBorder="1"/>
    <xf numFmtId="167" fontId="0" fillId="0" borderId="13" xfId="9" applyNumberFormat="1" applyFont="1" applyBorder="1" applyAlignment="1">
      <alignment horizontal="right"/>
    </xf>
    <xf numFmtId="37" fontId="0" fillId="9" borderId="5" xfId="9" applyNumberFormat="1" applyFont="1" applyFill="1" applyBorder="1"/>
    <xf numFmtId="167" fontId="0" fillId="0" borderId="2" xfId="9" applyNumberFormat="1" applyFont="1" applyBorder="1" applyAlignment="1">
      <alignment horizontal="left"/>
    </xf>
    <xf numFmtId="168" fontId="34" fillId="5" borderId="2" xfId="0" applyNumberFormat="1" applyFont="1" applyFill="1" applyBorder="1"/>
    <xf numFmtId="167" fontId="0" fillId="0" borderId="14" xfId="9" applyNumberFormat="1" applyFont="1" applyBorder="1" applyAlignment="1">
      <alignment horizontal="right"/>
    </xf>
    <xf numFmtId="167" fontId="0" fillId="0" borderId="17" xfId="9" applyNumberFormat="1" applyFont="1" applyBorder="1" applyAlignment="1">
      <alignment horizontal="right"/>
    </xf>
    <xf numFmtId="3" fontId="0" fillId="0" borderId="0" xfId="0" applyNumberFormat="1" applyAlignment="1">
      <alignment horizontal="right"/>
    </xf>
    <xf numFmtId="3" fontId="0" fillId="0" borderId="0" xfId="0" applyNumberFormat="1"/>
    <xf numFmtId="0" fontId="0" fillId="0" borderId="0" xfId="0" applyAlignment="1">
      <alignment vertical="top"/>
    </xf>
    <xf numFmtId="0" fontId="0" fillId="0" borderId="13" xfId="0" applyBorder="1" applyAlignment="1">
      <alignment horizontal="center"/>
    </xf>
    <xf numFmtId="0" fontId="0" fillId="0" borderId="12" xfId="0" applyBorder="1" applyAlignment="1">
      <alignment horizontal="center"/>
    </xf>
    <xf numFmtId="0" fontId="0" fillId="0" borderId="15" xfId="0" applyBorder="1"/>
    <xf numFmtId="167" fontId="0" fillId="0" borderId="17" xfId="0" applyNumberFormat="1" applyBorder="1"/>
    <xf numFmtId="167" fontId="0" fillId="0" borderId="17" xfId="0" applyNumberForma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167" fontId="0" fillId="0" borderId="14" xfId="0" applyNumberFormat="1" applyBorder="1"/>
    <xf numFmtId="37" fontId="0" fillId="9" borderId="1" xfId="0" applyNumberFormat="1" applyFill="1" applyBorder="1"/>
    <xf numFmtId="37" fontId="0" fillId="9" borderId="10" xfId="0" applyNumberFormat="1" applyFill="1" applyBorder="1"/>
    <xf numFmtId="167" fontId="0" fillId="0" borderId="0" xfId="0" applyNumberFormat="1"/>
    <xf numFmtId="37" fontId="0" fillId="10" borderId="10" xfId="0" applyNumberFormat="1" applyFill="1" applyBorder="1"/>
    <xf numFmtId="37" fontId="0" fillId="4" borderId="10" xfId="0" applyNumberFormat="1" applyFill="1" applyBorder="1"/>
    <xf numFmtId="37" fontId="0" fillId="10" borderId="13" xfId="0" applyNumberFormat="1" applyFill="1" applyBorder="1"/>
    <xf numFmtId="37" fontId="0" fillId="10" borderId="15" xfId="0" applyNumberFormat="1" applyFill="1" applyBorder="1"/>
    <xf numFmtId="37" fontId="0" fillId="4" borderId="15" xfId="0" applyNumberFormat="1" applyFill="1" applyBorder="1"/>
    <xf numFmtId="37" fontId="0" fillId="10" borderId="14" xfId="0" applyNumberFormat="1" applyFill="1" applyBorder="1"/>
    <xf numFmtId="37" fontId="0" fillId="10" borderId="5" xfId="0" applyNumberFormat="1" applyFill="1" applyBorder="1"/>
    <xf numFmtId="37" fontId="0" fillId="10" borderId="17" xfId="0" applyNumberFormat="1" applyFill="1" applyBorder="1"/>
    <xf numFmtId="37" fontId="0" fillId="10" borderId="1" xfId="0" applyNumberFormat="1" applyFill="1" applyBorder="1"/>
    <xf numFmtId="37" fontId="0" fillId="9" borderId="9" xfId="0" applyNumberFormat="1" applyFill="1" applyBorder="1"/>
    <xf numFmtId="37" fontId="0" fillId="10" borderId="8" xfId="0" applyNumberFormat="1" applyFill="1" applyBorder="1"/>
    <xf numFmtId="37" fontId="0" fillId="9" borderId="3" xfId="0" applyNumberFormat="1" applyFill="1" applyBorder="1"/>
    <xf numFmtId="167" fontId="0" fillId="0" borderId="0" xfId="0" applyNumberFormat="1" applyAlignment="1">
      <alignment horizontal="left"/>
    </xf>
    <xf numFmtId="167" fontId="0" fillId="0" borderId="8" xfId="0" applyNumberFormat="1" applyBorder="1"/>
    <xf numFmtId="167" fontId="0" fillId="0" borderId="13" xfId="9" applyNumberFormat="1" applyFont="1" applyBorder="1"/>
    <xf numFmtId="37" fontId="0" fillId="9" borderId="5" xfId="0" applyNumberFormat="1" applyFill="1" applyBorder="1"/>
    <xf numFmtId="37" fontId="0" fillId="9" borderId="12" xfId="0" applyNumberFormat="1" applyFill="1" applyBorder="1"/>
    <xf numFmtId="37" fontId="0" fillId="9" borderId="2" xfId="0" applyNumberFormat="1" applyFill="1" applyBorder="1"/>
    <xf numFmtId="37" fontId="0" fillId="9" borderId="16" xfId="0" applyNumberFormat="1" applyFill="1" applyBorder="1"/>
    <xf numFmtId="37" fontId="51" fillId="4" borderId="10" xfId="0" applyNumberFormat="1" applyFont="1" applyFill="1" applyBorder="1"/>
    <xf numFmtId="49" fontId="0" fillId="0" borderId="3" xfId="0" applyNumberFormat="1" applyBorder="1" applyAlignment="1">
      <alignment horizontal="centerContinuous"/>
    </xf>
    <xf numFmtId="0" fontId="6" fillId="0" borderId="0" xfId="0" applyFont="1" applyAlignment="1">
      <alignment horizontal="centerContinuous"/>
    </xf>
    <xf numFmtId="37" fontId="51" fillId="0" borderId="3" xfId="0" applyNumberFormat="1" applyFont="1" applyBorder="1"/>
    <xf numFmtId="49" fontId="32" fillId="6" borderId="0" xfId="6" applyNumberFormat="1" applyFont="1" applyFill="1" applyProtection="1"/>
    <xf numFmtId="0" fontId="32" fillId="6" borderId="0" xfId="6" applyFont="1" applyFill="1" applyProtection="1"/>
    <xf numFmtId="49" fontId="0" fillId="6" borderId="0" xfId="6" applyNumberFormat="1" applyFont="1" applyFill="1" applyProtection="1"/>
    <xf numFmtId="0" fontId="0" fillId="6" borderId="0" xfId="6" applyFont="1" applyFill="1" applyProtection="1"/>
    <xf numFmtId="37" fontId="0" fillId="0" borderId="3" xfId="0" applyNumberFormat="1" applyBorder="1"/>
    <xf numFmtId="164" fontId="0" fillId="0" borderId="0" xfId="0" applyNumberFormat="1" applyAlignment="1">
      <alignment horizontal="center"/>
    </xf>
    <xf numFmtId="0" fontId="43" fillId="4" borderId="0" xfId="0" applyFont="1" applyFill="1"/>
    <xf numFmtId="0" fontId="0" fillId="0" borderId="0" xfId="0" quotePrefix="1"/>
    <xf numFmtId="37" fontId="51" fillId="0" borderId="11" xfId="0" applyNumberFormat="1" applyFont="1" applyBorder="1"/>
    <xf numFmtId="37" fontId="51" fillId="4" borderId="18" xfId="0" applyNumberFormat="1" applyFont="1" applyFill="1" applyBorder="1"/>
    <xf numFmtId="37" fontId="0" fillId="0" borderId="0" xfId="0" applyNumberFormat="1" applyAlignment="1">
      <alignment horizontal="right"/>
    </xf>
    <xf numFmtId="0" fontId="7" fillId="0" borderId="10" xfId="0" applyFont="1" applyBorder="1" applyAlignment="1">
      <alignment horizontal="center" wrapText="1"/>
    </xf>
    <xf numFmtId="0" fontId="7" fillId="0" borderId="15" xfId="0" applyFont="1" applyBorder="1" applyAlignment="1">
      <alignment horizontal="center" wrapText="1"/>
    </xf>
    <xf numFmtId="0" fontId="7" fillId="0" borderId="5" xfId="0" applyFont="1" applyBorder="1" applyAlignment="1">
      <alignment horizontal="center" wrapText="1"/>
    </xf>
    <xf numFmtId="37" fontId="51" fillId="4" borderId="11" xfId="0" applyNumberFormat="1" applyFont="1" applyFill="1" applyBorder="1"/>
    <xf numFmtId="0" fontId="60" fillId="6" borderId="0" xfId="6" applyFont="1" applyFill="1" applyProtection="1"/>
    <xf numFmtId="37" fontId="0" fillId="8" borderId="12" xfId="0" applyNumberFormat="1" applyFill="1" applyBorder="1"/>
    <xf numFmtId="37" fontId="0" fillId="8" borderId="7" xfId="0" applyNumberFormat="1" applyFill="1" applyBorder="1"/>
    <xf numFmtId="37" fontId="0" fillId="8" borderId="13" xfId="0" applyNumberFormat="1" applyFill="1" applyBorder="1"/>
    <xf numFmtId="37" fontId="0" fillId="8" borderId="10" xfId="0" applyNumberFormat="1" applyFill="1" applyBorder="1"/>
    <xf numFmtId="0" fontId="32" fillId="0" borderId="0" xfId="6" applyFont="1" applyProtection="1"/>
    <xf numFmtId="0" fontId="9" fillId="6" borderId="0" xfId="6" applyFill="1" applyProtection="1"/>
    <xf numFmtId="0" fontId="8" fillId="0" borderId="0" xfId="0" applyFont="1"/>
    <xf numFmtId="37" fontId="0" fillId="0" borderId="19" xfId="0" applyNumberFormat="1" applyBorder="1"/>
    <xf numFmtId="49" fontId="18" fillId="0" borderId="0" xfId="0" applyNumberFormat="1" applyFont="1" applyAlignment="1">
      <alignment horizontal="right"/>
    </xf>
    <xf numFmtId="3" fontId="51" fillId="0" borderId="4" xfId="0" applyNumberFormat="1" applyFont="1" applyBorder="1"/>
    <xf numFmtId="0" fontId="32" fillId="0" borderId="0" xfId="0" applyFont="1"/>
    <xf numFmtId="3" fontId="51" fillId="4" borderId="7" xfId="0" applyNumberFormat="1" applyFont="1" applyFill="1" applyBorder="1"/>
    <xf numFmtId="49" fontId="0" fillId="0" borderId="0" xfId="0" quotePrefix="1" applyNumberFormat="1" applyAlignment="1">
      <alignment horizontal="left"/>
    </xf>
    <xf numFmtId="168" fontId="0" fillId="0" borderId="0" xfId="0" applyNumberFormat="1" applyAlignment="1">
      <alignment horizontal="center"/>
    </xf>
    <xf numFmtId="171" fontId="51" fillId="4" borderId="19" xfId="0" applyNumberFormat="1" applyFont="1" applyFill="1" applyBorder="1"/>
    <xf numFmtId="0" fontId="15" fillId="0" borderId="0" xfId="0" applyFont="1"/>
    <xf numFmtId="0" fontId="51" fillId="0" borderId="7" xfId="0" applyFont="1" applyBorder="1"/>
    <xf numFmtId="49" fontId="0" fillId="0" borderId="0" xfId="0" applyNumberFormat="1"/>
    <xf numFmtId="0" fontId="32" fillId="0" borderId="0" xfId="6" applyFont="1" applyFill="1" applyProtection="1"/>
    <xf numFmtId="0" fontId="34" fillId="0" borderId="0" xfId="6" applyFont="1" applyFill="1" applyProtection="1"/>
    <xf numFmtId="0" fontId="13" fillId="6" borderId="1" xfId="6" applyFont="1" applyFill="1" applyBorder="1" applyAlignment="1" applyProtection="1">
      <alignment horizontal="center" wrapText="1"/>
    </xf>
    <xf numFmtId="0" fontId="13" fillId="6" borderId="10" xfId="6" applyFont="1" applyFill="1" applyBorder="1" applyAlignment="1" applyProtection="1">
      <alignment horizontal="center" wrapText="1"/>
    </xf>
    <xf numFmtId="37" fontId="0" fillId="0" borderId="20" xfId="0" applyNumberFormat="1" applyBorder="1"/>
    <xf numFmtId="37" fontId="0" fillId="0" borderId="18" xfId="0" applyNumberFormat="1" applyBorder="1"/>
    <xf numFmtId="0" fontId="0" fillId="0" borderId="14" xfId="0" applyBorder="1" applyAlignment="1">
      <alignment horizontal="center"/>
    </xf>
    <xf numFmtId="37" fontId="51" fillId="8" borderId="1" xfId="0" applyNumberFormat="1" applyFont="1" applyFill="1" applyBorder="1"/>
    <xf numFmtId="37" fontId="0" fillId="7" borderId="10" xfId="0" applyNumberFormat="1" applyFill="1" applyBorder="1"/>
    <xf numFmtId="0" fontId="0" fillId="4" borderId="0" xfId="6" applyFont="1" applyFill="1" applyProtection="1"/>
    <xf numFmtId="37" fontId="0" fillId="7" borderId="11" xfId="0" applyNumberFormat="1" applyFill="1" applyBorder="1"/>
    <xf numFmtId="37" fontId="0" fillId="7" borderId="18" xfId="0" applyNumberFormat="1" applyFill="1" applyBorder="1"/>
    <xf numFmtId="49" fontId="34" fillId="0" borderId="0" xfId="0" applyNumberFormat="1" applyFont="1" applyAlignment="1">
      <alignment horizontal="right"/>
    </xf>
    <xf numFmtId="49" fontId="34" fillId="0" borderId="0" xfId="0" applyNumberFormat="1" applyFont="1"/>
    <xf numFmtId="37" fontId="51" fillId="4" borderId="21" xfId="0" applyNumberFormat="1" applyFont="1" applyFill="1" applyBorder="1"/>
    <xf numFmtId="49" fontId="0" fillId="0" borderId="3" xfId="0" applyNumberFormat="1" applyBorder="1"/>
    <xf numFmtId="168" fontId="6" fillId="5" borderId="0" xfId="0" applyNumberFormat="1" applyFont="1" applyFill="1"/>
    <xf numFmtId="168" fontId="31" fillId="0" borderId="0" xfId="6" applyNumberFormat="1" applyFont="1" applyFill="1" applyProtection="1"/>
    <xf numFmtId="168" fontId="17" fillId="0" borderId="2" xfId="6" applyNumberFormat="1" applyFont="1" applyFill="1" applyBorder="1" applyProtection="1"/>
    <xf numFmtId="168" fontId="34" fillId="5" borderId="0" xfId="0" applyNumberFormat="1" applyFont="1" applyFill="1"/>
    <xf numFmtId="168" fontId="0" fillId="0" borderId="10" xfId="0" applyNumberFormat="1" applyBorder="1" applyAlignment="1">
      <alignment horizontal="center"/>
    </xf>
    <xf numFmtId="2" fontId="0" fillId="0" borderId="10" xfId="0" applyNumberFormat="1" applyBorder="1" applyAlignment="1">
      <alignment horizontal="center"/>
    </xf>
    <xf numFmtId="49" fontId="0" fillId="0" borderId="10" xfId="0" applyNumberFormat="1" applyBorder="1" applyAlignment="1">
      <alignment horizontal="center" wrapText="1"/>
    </xf>
    <xf numFmtId="49" fontId="32" fillId="6" borderId="0" xfId="0" applyNumberFormat="1" applyFont="1" applyFill="1" applyAlignment="1">
      <alignment horizontal="center" wrapText="1"/>
    </xf>
    <xf numFmtId="1" fontId="0" fillId="0" borderId="2" xfId="0" applyNumberFormat="1" applyBorder="1" applyAlignment="1">
      <alignment wrapText="1"/>
    </xf>
    <xf numFmtId="168" fontId="0" fillId="0" borderId="15" xfId="0" applyNumberFormat="1" applyBorder="1" applyAlignment="1">
      <alignment horizontal="center"/>
    </xf>
    <xf numFmtId="2" fontId="0" fillId="0" borderId="15" xfId="0" applyNumberFormat="1" applyBorder="1" applyAlignment="1">
      <alignment horizontal="center"/>
    </xf>
    <xf numFmtId="49" fontId="0" fillId="0" borderId="15" xfId="0" applyNumberFormat="1" applyBorder="1" applyAlignment="1">
      <alignment horizontal="center" wrapText="1"/>
    </xf>
    <xf numFmtId="1" fontId="34" fillId="0" borderId="2" xfId="0" applyNumberFormat="1" applyFont="1" applyBorder="1" applyAlignment="1">
      <alignment wrapText="1"/>
    </xf>
    <xf numFmtId="1" fontId="0" fillId="0" borderId="15" xfId="0" applyNumberFormat="1" applyBorder="1" applyAlignment="1">
      <alignment horizontal="center"/>
    </xf>
    <xf numFmtId="1" fontId="0" fillId="0" borderId="15" xfId="0" applyNumberFormat="1" applyBorder="1" applyAlignment="1">
      <alignment horizontal="center" wrapText="1"/>
    </xf>
    <xf numFmtId="2" fontId="32" fillId="6" borderId="0" xfId="6" applyNumberFormat="1" applyFont="1" applyFill="1" applyBorder="1" applyAlignment="1" applyProtection="1">
      <alignment horizontal="center"/>
    </xf>
    <xf numFmtId="168" fontId="6" fillId="0" borderId="0" xfId="0" applyNumberFormat="1" applyFont="1" applyAlignment="1">
      <alignment horizontal="left"/>
    </xf>
    <xf numFmtId="1" fontId="32" fillId="6" borderId="0" xfId="6" applyNumberFormat="1" applyFont="1" applyFill="1" applyBorder="1" applyAlignment="1" applyProtection="1">
      <alignment horizontal="center"/>
    </xf>
    <xf numFmtId="168" fontId="0" fillId="5" borderId="0" xfId="0" quotePrefix="1" applyNumberFormat="1" applyFill="1" applyAlignment="1">
      <alignment horizontal="right"/>
    </xf>
    <xf numFmtId="168" fontId="0" fillId="5" borderId="0" xfId="0" quotePrefix="1" applyNumberFormat="1" applyFill="1" applyAlignment="1">
      <alignment horizontal="left"/>
    </xf>
    <xf numFmtId="168" fontId="43" fillId="0" borderId="0" xfId="0" applyNumberFormat="1" applyFont="1"/>
    <xf numFmtId="37" fontId="0" fillId="0" borderId="10" xfId="9" applyNumberFormat="1" applyFont="1" applyBorder="1"/>
    <xf numFmtId="168" fontId="0" fillId="5" borderId="2" xfId="0" quotePrefix="1" applyNumberFormat="1" applyFill="1" applyBorder="1" applyAlignment="1">
      <alignment horizontal="left"/>
    </xf>
    <xf numFmtId="1" fontId="0" fillId="5" borderId="0" xfId="0" applyNumberFormat="1" applyFill="1" applyAlignment="1">
      <alignment horizontal="left"/>
    </xf>
    <xf numFmtId="49" fontId="0" fillId="5" borderId="0" xfId="0" quotePrefix="1" applyNumberFormat="1" applyFill="1" applyAlignment="1">
      <alignment horizontal="right"/>
    </xf>
    <xf numFmtId="49" fontId="0" fillId="5" borderId="2" xfId="0" quotePrefix="1" applyNumberFormat="1" applyFill="1" applyBorder="1" applyAlignment="1">
      <alignment horizontal="left"/>
    </xf>
    <xf numFmtId="166" fontId="0" fillId="5" borderId="0" xfId="0" applyNumberFormat="1" applyFill="1" applyAlignment="1">
      <alignment horizontal="left"/>
    </xf>
    <xf numFmtId="168" fontId="0" fillId="0" borderId="0" xfId="0" applyNumberFormat="1" applyAlignment="1">
      <alignment horizontal="left"/>
    </xf>
    <xf numFmtId="49" fontId="0" fillId="5" borderId="0" xfId="0" quotePrefix="1" applyNumberFormat="1" applyFill="1" applyAlignment="1">
      <alignment horizontal="left"/>
    </xf>
    <xf numFmtId="1" fontId="0" fillId="5" borderId="0" xfId="0" applyNumberFormat="1" applyFill="1"/>
    <xf numFmtId="1" fontId="0" fillId="0" borderId="0" xfId="0" applyNumberFormat="1"/>
    <xf numFmtId="168" fontId="34" fillId="0" borderId="0" xfId="0" applyNumberFormat="1" applyFont="1" applyAlignment="1">
      <alignment horizontal="left"/>
    </xf>
    <xf numFmtId="168" fontId="19" fillId="5" borderId="0" xfId="0" applyNumberFormat="1" applyFont="1" applyFill="1"/>
    <xf numFmtId="168" fontId="0" fillId="5" borderId="10" xfId="0" applyNumberFormat="1" applyFill="1" applyBorder="1" applyAlignment="1">
      <alignment horizontal="center"/>
    </xf>
    <xf numFmtId="168" fontId="32" fillId="6" borderId="10" xfId="0" applyNumberFormat="1" applyFont="1" applyFill="1" applyBorder="1"/>
    <xf numFmtId="168" fontId="35" fillId="5" borderId="0" xfId="0" applyNumberFormat="1" applyFont="1" applyFill="1"/>
    <xf numFmtId="168" fontId="32" fillId="6" borderId="0" xfId="6" applyNumberFormat="1" applyFont="1" applyFill="1" applyBorder="1" applyProtection="1"/>
    <xf numFmtId="49" fontId="19" fillId="5" borderId="0" xfId="0" applyNumberFormat="1" applyFont="1" applyFill="1" applyAlignment="1">
      <alignment horizontal="right"/>
    </xf>
    <xf numFmtId="168" fontId="32" fillId="6" borderId="15" xfId="0" applyNumberFormat="1" applyFont="1" applyFill="1" applyBorder="1"/>
    <xf numFmtId="49" fontId="0" fillId="5" borderId="0" xfId="0" applyNumberFormat="1" applyFill="1" applyAlignment="1">
      <alignment horizontal="right"/>
    </xf>
    <xf numFmtId="168" fontId="32" fillId="6" borderId="15" xfId="6" applyNumberFormat="1" applyFont="1" applyFill="1" applyBorder="1" applyAlignment="1" applyProtection="1">
      <alignment horizontal="center"/>
    </xf>
    <xf numFmtId="168" fontId="0" fillId="5" borderId="5" xfId="0" applyNumberFormat="1" applyFill="1" applyBorder="1" applyAlignment="1">
      <alignment horizontal="center"/>
    </xf>
    <xf numFmtId="168" fontId="32" fillId="6" borderId="5" xfId="6" applyNumberFormat="1" applyFont="1" applyFill="1" applyBorder="1" applyAlignment="1" applyProtection="1">
      <alignment horizontal="center"/>
    </xf>
    <xf numFmtId="168" fontId="0" fillId="5" borderId="14" xfId="0" quotePrefix="1" applyNumberFormat="1" applyFill="1" applyBorder="1" applyAlignment="1">
      <alignment horizontal="right"/>
    </xf>
    <xf numFmtId="49" fontId="0" fillId="5" borderId="0" xfId="0" applyNumberFormat="1" applyFill="1" applyAlignment="1">
      <alignment horizontal="left"/>
    </xf>
    <xf numFmtId="38" fontId="0" fillId="0" borderId="0" xfId="0" applyNumberFormat="1"/>
    <xf numFmtId="168" fontId="0" fillId="0" borderId="1" xfId="0" applyNumberFormat="1" applyBorder="1" applyAlignment="1">
      <alignment horizontal="center"/>
    </xf>
    <xf numFmtId="0" fontId="34" fillId="0" borderId="0" xfId="0" quotePrefix="1" applyFont="1" applyAlignment="1">
      <alignment horizontal="right"/>
    </xf>
    <xf numFmtId="1" fontId="0" fillId="5" borderId="0" xfId="0" applyNumberFormat="1" applyFill="1" applyAlignment="1">
      <alignment horizontal="center"/>
    </xf>
    <xf numFmtId="38" fontId="0" fillId="0" borderId="0" xfId="0" applyNumberFormat="1" applyAlignment="1">
      <alignment horizontal="center"/>
    </xf>
    <xf numFmtId="168" fontId="0" fillId="0" borderId="3" xfId="0" applyNumberFormat="1" applyBorder="1" applyAlignment="1">
      <alignment horizontal="center"/>
    </xf>
    <xf numFmtId="168" fontId="32" fillId="6" borderId="0" xfId="6" applyNumberFormat="1" applyFont="1" applyFill="1" applyProtection="1"/>
    <xf numFmtId="168" fontId="35" fillId="6" borderId="0" xfId="0" applyNumberFormat="1" applyFont="1" applyFill="1"/>
    <xf numFmtId="168" fontId="0" fillId="0" borderId="5" xfId="0" applyNumberFormat="1" applyBorder="1" applyAlignment="1">
      <alignment horizontal="center"/>
    </xf>
    <xf numFmtId="168" fontId="34" fillId="5" borderId="0" xfId="0" quotePrefix="1" applyNumberFormat="1" applyFont="1" applyFill="1" applyAlignment="1">
      <alignment horizontal="right"/>
    </xf>
    <xf numFmtId="49" fontId="30" fillId="5" borderId="0" xfId="0" applyNumberFormat="1" applyFont="1" applyFill="1" applyAlignment="1">
      <alignment horizontal="left"/>
    </xf>
    <xf numFmtId="168" fontId="35" fillId="0" borderId="0" xfId="0" applyNumberFormat="1" applyFont="1" applyAlignment="1">
      <alignment vertical="top" wrapText="1"/>
    </xf>
    <xf numFmtId="168" fontId="42" fillId="6" borderId="0" xfId="6" applyNumberFormat="1" applyFont="1" applyFill="1" applyProtection="1"/>
    <xf numFmtId="168" fontId="0" fillId="4" borderId="0" xfId="0" applyNumberFormat="1" applyFill="1"/>
    <xf numFmtId="168" fontId="0" fillId="5" borderId="0" xfId="0" quotePrefix="1" applyNumberFormat="1" applyFill="1"/>
    <xf numFmtId="168" fontId="0" fillId="5" borderId="0" xfId="0" applyNumberFormat="1" applyFill="1" applyAlignment="1">
      <alignment horizontal="right"/>
    </xf>
    <xf numFmtId="0" fontId="54" fillId="0" borderId="0" xfId="10" applyFont="1" applyAlignment="1">
      <alignment horizontal="right"/>
    </xf>
    <xf numFmtId="168" fontId="30" fillId="5" borderId="0" xfId="10" applyNumberFormat="1" applyFont="1" applyFill="1"/>
    <xf numFmtId="168" fontId="30" fillId="0" borderId="0" xfId="10" applyNumberFormat="1" applyFont="1"/>
    <xf numFmtId="0" fontId="0" fillId="0" borderId="3" xfId="11" applyFont="1" applyBorder="1" applyAlignment="1">
      <alignment horizontal="center"/>
    </xf>
    <xf numFmtId="0" fontId="30" fillId="0" borderId="0" xfId="10" applyFont="1" applyAlignment="1">
      <alignment horizontal="center"/>
    </xf>
    <xf numFmtId="168" fontId="54" fillId="5" borderId="0" xfId="10" applyNumberFormat="1" applyFont="1" applyFill="1" applyAlignment="1">
      <alignment horizontal="center"/>
    </xf>
    <xf numFmtId="168" fontId="6" fillId="5" borderId="0" xfId="10" applyNumberFormat="1" applyFont="1" applyFill="1" applyAlignment="1">
      <alignment horizontal="center"/>
    </xf>
    <xf numFmtId="168" fontId="34" fillId="5" borderId="0" xfId="10" applyNumberFormat="1" applyFont="1" applyFill="1"/>
    <xf numFmtId="168" fontId="34" fillId="0" borderId="0" xfId="10" applyNumberFormat="1" applyFont="1"/>
    <xf numFmtId="0" fontId="34" fillId="0" borderId="0" xfId="10" applyFont="1"/>
    <xf numFmtId="0" fontId="54" fillId="0" borderId="0" xfId="10" applyFont="1" applyAlignment="1">
      <alignment horizontal="left"/>
    </xf>
    <xf numFmtId="0" fontId="30" fillId="0" borderId="0" xfId="10" applyFont="1"/>
    <xf numFmtId="14" fontId="30" fillId="5" borderId="0" xfId="10" applyNumberFormat="1" applyFont="1" applyFill="1" applyAlignment="1">
      <alignment horizontal="left"/>
    </xf>
    <xf numFmtId="168" fontId="30" fillId="5" borderId="13" xfId="10" applyNumberFormat="1" applyFont="1" applyFill="1" applyBorder="1"/>
    <xf numFmtId="168" fontId="54" fillId="5" borderId="1" xfId="10" applyNumberFormat="1" applyFont="1" applyFill="1" applyBorder="1" applyAlignment="1">
      <alignment horizontal="center"/>
    </xf>
    <xf numFmtId="168" fontId="30" fillId="0" borderId="10" xfId="10" applyNumberFormat="1" applyFont="1" applyBorder="1" applyAlignment="1">
      <alignment horizontal="center"/>
    </xf>
    <xf numFmtId="2" fontId="30" fillId="0" borderId="10" xfId="10" applyNumberFormat="1" applyFont="1" applyBorder="1" applyAlignment="1">
      <alignment horizontal="center"/>
    </xf>
    <xf numFmtId="49" fontId="54" fillId="6" borderId="10" xfId="10" applyNumberFormat="1" applyFont="1" applyFill="1" applyBorder="1" applyAlignment="1">
      <alignment horizontal="center" wrapText="1"/>
    </xf>
    <xf numFmtId="168" fontId="30" fillId="0" borderId="15" xfId="10" applyNumberFormat="1" applyFont="1" applyBorder="1" applyAlignment="1">
      <alignment horizontal="center"/>
    </xf>
    <xf numFmtId="2" fontId="30" fillId="0" borderId="15" xfId="10" applyNumberFormat="1" applyFont="1" applyBorder="1" applyAlignment="1">
      <alignment horizontal="center"/>
    </xf>
    <xf numFmtId="49" fontId="30" fillId="0" borderId="15" xfId="10" applyNumberFormat="1" applyFont="1" applyBorder="1" applyAlignment="1">
      <alignment horizontal="center" wrapText="1"/>
    </xf>
    <xf numFmtId="49" fontId="54" fillId="6" borderId="15" xfId="10" applyNumberFormat="1" applyFont="1" applyFill="1" applyBorder="1" applyAlignment="1">
      <alignment horizontal="center" wrapText="1"/>
    </xf>
    <xf numFmtId="165" fontId="0" fillId="5" borderId="15" xfId="10" applyNumberFormat="1" applyFont="1" applyFill="1" applyBorder="1" applyAlignment="1">
      <alignment horizontal="center"/>
    </xf>
    <xf numFmtId="1" fontId="30" fillId="0" borderId="15" xfId="10" applyNumberFormat="1" applyFont="1" applyBorder="1" applyAlignment="1">
      <alignment horizontal="center"/>
    </xf>
    <xf numFmtId="0" fontId="13" fillId="6" borderId="0" xfId="6" applyFont="1" applyFill="1" applyAlignment="1" applyProtection="1">
      <alignment horizontal="center" vertical="center"/>
    </xf>
    <xf numFmtId="1" fontId="30" fillId="0" borderId="5" xfId="10" applyNumberFormat="1" applyFont="1" applyBorder="1" applyAlignment="1">
      <alignment horizontal="center"/>
    </xf>
    <xf numFmtId="165" fontId="0" fillId="5" borderId="5" xfId="10" applyNumberFormat="1" applyFont="1" applyFill="1" applyBorder="1" applyAlignment="1">
      <alignment horizontal="center"/>
    </xf>
    <xf numFmtId="168" fontId="30" fillId="5" borderId="12" xfId="10" applyNumberFormat="1" applyFont="1" applyFill="1" applyBorder="1" applyAlignment="1">
      <alignment horizontal="left"/>
    </xf>
    <xf numFmtId="168" fontId="30" fillId="5" borderId="7" xfId="10" applyNumberFormat="1" applyFont="1" applyFill="1" applyBorder="1" applyAlignment="1">
      <alignment horizontal="left"/>
    </xf>
    <xf numFmtId="168" fontId="30" fillId="5" borderId="13" xfId="10" quotePrefix="1" applyNumberFormat="1" applyFont="1" applyFill="1" applyBorder="1" applyAlignment="1">
      <alignment horizontal="right"/>
    </xf>
    <xf numFmtId="37" fontId="30" fillId="0" borderId="1" xfId="10" applyNumberFormat="1" applyFont="1" applyBorder="1" applyAlignment="1">
      <alignment horizontal="right" vertical="center"/>
    </xf>
    <xf numFmtId="37" fontId="30" fillId="8" borderId="1" xfId="10" applyNumberFormat="1" applyFont="1" applyFill="1" applyBorder="1" applyAlignment="1">
      <alignment horizontal="right" vertical="center"/>
    </xf>
    <xf numFmtId="37" fontId="54" fillId="0" borderId="1" xfId="10" applyNumberFormat="1" applyFont="1" applyBorder="1" applyAlignment="1">
      <alignment horizontal="right" vertical="center"/>
    </xf>
    <xf numFmtId="168" fontId="30" fillId="5" borderId="0" xfId="10" quotePrefix="1" applyNumberFormat="1" applyFont="1" applyFill="1" applyAlignment="1">
      <alignment horizontal="left"/>
    </xf>
    <xf numFmtId="168" fontId="30" fillId="5" borderId="2" xfId="10" applyNumberFormat="1" applyFont="1" applyFill="1" applyBorder="1" applyAlignment="1">
      <alignment horizontal="left"/>
    </xf>
    <xf numFmtId="168" fontId="30" fillId="5" borderId="14" xfId="10" quotePrefix="1" applyNumberFormat="1" applyFont="1" applyFill="1" applyBorder="1" applyAlignment="1">
      <alignment horizontal="right"/>
    </xf>
    <xf numFmtId="37" fontId="0" fillId="0" borderId="1" xfId="10" applyNumberFormat="1" applyFont="1" applyBorder="1" applyAlignment="1">
      <alignment horizontal="right" vertical="center"/>
    </xf>
    <xf numFmtId="168" fontId="34" fillId="11" borderId="0" xfId="10" applyNumberFormat="1" applyFont="1" applyFill="1"/>
    <xf numFmtId="1" fontId="30" fillId="5" borderId="2" xfId="10" applyNumberFormat="1" applyFont="1" applyFill="1" applyBorder="1" applyAlignment="1">
      <alignment horizontal="left"/>
    </xf>
    <xf numFmtId="1" fontId="30" fillId="5" borderId="0" xfId="10" applyNumberFormat="1" applyFont="1" applyFill="1" applyAlignment="1">
      <alignment horizontal="left"/>
    </xf>
    <xf numFmtId="49" fontId="30" fillId="5" borderId="14" xfId="10" quotePrefix="1" applyNumberFormat="1" applyFont="1" applyFill="1" applyBorder="1" applyAlignment="1">
      <alignment horizontal="right"/>
    </xf>
    <xf numFmtId="49" fontId="30" fillId="5" borderId="0" xfId="10" quotePrefix="1" applyNumberFormat="1" applyFont="1" applyFill="1" applyAlignment="1">
      <alignment horizontal="left"/>
    </xf>
    <xf numFmtId="168" fontId="30" fillId="0" borderId="2" xfId="10" applyNumberFormat="1" applyFont="1" applyBorder="1" applyAlignment="1">
      <alignment horizontal="left"/>
    </xf>
    <xf numFmtId="168" fontId="30" fillId="0" borderId="0" xfId="10" applyNumberFormat="1" applyFont="1" applyAlignment="1">
      <alignment horizontal="left"/>
    </xf>
    <xf numFmtId="0" fontId="53" fillId="6" borderId="2" xfId="6" applyFont="1" applyFill="1" applyBorder="1" applyProtection="1"/>
    <xf numFmtId="168" fontId="30" fillId="6" borderId="0" xfId="10" applyNumberFormat="1" applyFont="1" applyFill="1" applyAlignment="1">
      <alignment horizontal="left"/>
    </xf>
    <xf numFmtId="49" fontId="30" fillId="6" borderId="14" xfId="10" quotePrefix="1" applyNumberFormat="1" applyFont="1" applyFill="1" applyBorder="1" applyAlignment="1">
      <alignment horizontal="right"/>
    </xf>
    <xf numFmtId="168" fontId="30" fillId="0" borderId="16" xfId="10" applyNumberFormat="1" applyFont="1" applyBorder="1" applyAlignment="1">
      <alignment horizontal="left"/>
    </xf>
    <xf numFmtId="168" fontId="30" fillId="0" borderId="3" xfId="10" applyNumberFormat="1" applyFont="1" applyBorder="1" applyAlignment="1">
      <alignment horizontal="left"/>
    </xf>
    <xf numFmtId="49" fontId="30" fillId="5" borderId="17" xfId="10" quotePrefix="1" applyNumberFormat="1" applyFont="1" applyFill="1" applyBorder="1" applyAlignment="1">
      <alignment horizontal="right"/>
    </xf>
    <xf numFmtId="37" fontId="54" fillId="0" borderId="1" xfId="10" applyNumberFormat="1" applyFont="1" applyBorder="1"/>
    <xf numFmtId="49" fontId="30" fillId="5" borderId="0" xfId="10" quotePrefix="1" applyNumberFormat="1" applyFont="1" applyFill="1" applyAlignment="1">
      <alignment horizontal="right"/>
    </xf>
    <xf numFmtId="0" fontId="56" fillId="6" borderId="9" xfId="6" applyFont="1" applyFill="1" applyBorder="1" applyProtection="1"/>
    <xf numFmtId="0" fontId="6" fillId="6" borderId="4" xfId="10" applyFont="1" applyFill="1" applyBorder="1"/>
    <xf numFmtId="0" fontId="6" fillId="6" borderId="8" xfId="10" applyFont="1" applyFill="1" applyBorder="1"/>
    <xf numFmtId="168" fontId="54" fillId="5" borderId="9" xfId="10" applyNumberFormat="1" applyFont="1" applyFill="1" applyBorder="1"/>
    <xf numFmtId="168" fontId="54" fillId="5" borderId="4" xfId="10" applyNumberFormat="1" applyFont="1" applyFill="1" applyBorder="1"/>
    <xf numFmtId="168" fontId="30" fillId="5" borderId="8" xfId="10" applyNumberFormat="1" applyFont="1" applyFill="1" applyBorder="1" applyAlignment="1">
      <alignment horizontal="center"/>
    </xf>
    <xf numFmtId="168" fontId="30" fillId="5" borderId="16" xfId="10" applyNumberFormat="1" applyFont="1" applyFill="1" applyBorder="1"/>
    <xf numFmtId="168" fontId="30" fillId="5" borderId="3" xfId="10" applyNumberFormat="1" applyFont="1" applyFill="1" applyBorder="1"/>
    <xf numFmtId="168" fontId="30" fillId="5" borderId="17" xfId="10" applyNumberFormat="1" applyFont="1" applyFill="1" applyBorder="1"/>
    <xf numFmtId="168" fontId="30" fillId="5" borderId="9" xfId="10" applyNumberFormat="1" applyFont="1" applyFill="1" applyBorder="1"/>
    <xf numFmtId="168" fontId="30" fillId="5" borderId="4" xfId="10" applyNumberFormat="1" applyFont="1" applyFill="1" applyBorder="1"/>
    <xf numFmtId="168" fontId="30" fillId="5" borderId="8" xfId="10" applyNumberFormat="1" applyFont="1" applyFill="1" applyBorder="1"/>
    <xf numFmtId="0" fontId="30" fillId="0" borderId="9" xfId="10" applyFont="1" applyBorder="1"/>
    <xf numFmtId="0" fontId="30" fillId="0" borderId="4" xfId="10" applyFont="1" applyBorder="1"/>
    <xf numFmtId="168" fontId="30" fillId="0" borderId="8" xfId="10" applyNumberFormat="1" applyFont="1" applyBorder="1"/>
    <xf numFmtId="37" fontId="30" fillId="5" borderId="1" xfId="10" applyNumberFormat="1" applyFont="1" applyFill="1" applyBorder="1"/>
    <xf numFmtId="168" fontId="30" fillId="0" borderId="9" xfId="10" applyNumberFormat="1" applyFont="1" applyBorder="1"/>
    <xf numFmtId="168" fontId="30" fillId="0" borderId="4" xfId="10" applyNumberFormat="1" applyFont="1" applyBorder="1"/>
    <xf numFmtId="168" fontId="30" fillId="5" borderId="12" xfId="10" applyNumberFormat="1" applyFont="1" applyFill="1" applyBorder="1"/>
    <xf numFmtId="168" fontId="30" fillId="5" borderId="7" xfId="10" applyNumberFormat="1" applyFont="1" applyFill="1" applyBorder="1"/>
    <xf numFmtId="168" fontId="30" fillId="0" borderId="13" xfId="10" applyNumberFormat="1" applyFont="1" applyBorder="1"/>
    <xf numFmtId="0" fontId="53" fillId="6" borderId="9" xfId="6" applyFont="1" applyFill="1" applyBorder="1" applyProtection="1"/>
    <xf numFmtId="168" fontId="30" fillId="6" borderId="4" xfId="10" applyNumberFormat="1" applyFont="1" applyFill="1" applyBorder="1"/>
    <xf numFmtId="168" fontId="30" fillId="6" borderId="8" xfId="10" applyNumberFormat="1" applyFont="1" applyFill="1" applyBorder="1"/>
    <xf numFmtId="38" fontId="30" fillId="0" borderId="0" xfId="10" applyNumberFormat="1" applyFont="1" applyAlignment="1">
      <alignment horizontal="right" vertical="center"/>
    </xf>
    <xf numFmtId="168" fontId="30" fillId="5" borderId="0" xfId="10" quotePrefix="1" applyNumberFormat="1" applyFont="1" applyFill="1"/>
    <xf numFmtId="168" fontId="30" fillId="5" borderId="9" xfId="10" quotePrefix="1" applyNumberFormat="1" applyFont="1" applyFill="1" applyBorder="1"/>
    <xf numFmtId="37" fontId="30" fillId="0" borderId="1" xfId="10" applyNumberFormat="1" applyFont="1" applyBorder="1" applyAlignment="1">
      <alignment horizontal="right"/>
    </xf>
    <xf numFmtId="0" fontId="30" fillId="0" borderId="0" xfId="4" quotePrefix="1" applyNumberFormat="1" applyFont="1" applyFill="1" applyBorder="1" applyAlignment="1" applyProtection="1">
      <alignment horizontal="left"/>
    </xf>
    <xf numFmtId="168" fontId="30" fillId="0" borderId="0" xfId="10" applyNumberFormat="1" applyFont="1" applyAlignment="1">
      <alignment wrapText="1"/>
    </xf>
    <xf numFmtId="0" fontId="45" fillId="0" borderId="0" xfId="4" quotePrefix="1" applyNumberFormat="1" applyFont="1" applyFill="1" applyBorder="1" applyAlignment="1" applyProtection="1">
      <alignment vertical="center" wrapText="1"/>
    </xf>
    <xf numFmtId="168" fontId="45" fillId="4" borderId="0" xfId="10" applyNumberFormat="1" applyFont="1" applyFill="1" applyAlignment="1">
      <alignment vertical="center" wrapText="1"/>
    </xf>
    <xf numFmtId="168" fontId="45" fillId="0" borderId="0" xfId="10" applyNumberFormat="1" applyFont="1" applyAlignment="1">
      <alignment wrapText="1"/>
    </xf>
    <xf numFmtId="37" fontId="54" fillId="0" borderId="1" xfId="10" applyNumberFormat="1" applyFont="1" applyBorder="1" applyAlignment="1">
      <alignment horizontal="right"/>
    </xf>
    <xf numFmtId="168" fontId="30" fillId="0" borderId="0" xfId="10" applyNumberFormat="1" applyFont="1" applyAlignment="1">
      <alignment horizontal="right"/>
    </xf>
    <xf numFmtId="0" fontId="0" fillId="0" borderId="0" xfId="10" applyFont="1" applyAlignment="1">
      <alignment vertical="top"/>
    </xf>
    <xf numFmtId="0" fontId="34" fillId="0" borderId="0" xfId="10" applyFont="1" applyAlignment="1">
      <alignment vertical="top"/>
    </xf>
    <xf numFmtId="37" fontId="30" fillId="0" borderId="1" xfId="4" applyNumberFormat="1" applyFont="1" applyBorder="1" applyProtection="1">
      <protection locked="0"/>
    </xf>
    <xf numFmtId="172" fontId="30" fillId="0" borderId="1" xfId="4" applyNumberFormat="1" applyFont="1" applyBorder="1" applyProtection="1">
      <protection locked="0"/>
    </xf>
    <xf numFmtId="37" fontId="30" fillId="0" borderId="1" xfId="4" applyNumberFormat="1" applyFont="1" applyBorder="1" applyProtection="1"/>
    <xf numFmtId="0" fontId="6" fillId="0" borderId="0" xfId="13" applyFont="1"/>
    <xf numFmtId="0" fontId="64" fillId="0" borderId="0" xfId="13"/>
    <xf numFmtId="168" fontId="6" fillId="5" borderId="0" xfId="13" applyNumberFormat="1" applyFont="1" applyFill="1" applyAlignment="1">
      <alignment horizontal="left"/>
    </xf>
    <xf numFmtId="0" fontId="13" fillId="6" borderId="0" xfId="6" applyFont="1" applyFill="1" applyAlignment="1" applyProtection="1">
      <alignment horizontal="right"/>
    </xf>
    <xf numFmtId="0" fontId="64" fillId="0" borderId="0" xfId="13" applyAlignment="1">
      <alignment horizontal="right" vertical="center"/>
    </xf>
    <xf numFmtId="37" fontId="28" fillId="5" borderId="0" xfId="13" applyNumberFormat="1" applyFont="1" applyFill="1" applyAlignment="1">
      <alignment horizontal="left" vertical="center"/>
    </xf>
    <xf numFmtId="168" fontId="64" fillId="5" borderId="22" xfId="13" applyNumberFormat="1" applyFill="1" applyBorder="1"/>
    <xf numFmtId="168" fontId="64" fillId="6" borderId="22" xfId="13" applyNumberFormat="1" applyFill="1" applyBorder="1"/>
    <xf numFmtId="168" fontId="53" fillId="6" borderId="22" xfId="6" applyNumberFormat="1" applyFont="1" applyFill="1" applyBorder="1" applyAlignment="1" applyProtection="1">
      <alignment horizontal="center"/>
    </xf>
    <xf numFmtId="37" fontId="49" fillId="0" borderId="23" xfId="13" applyNumberFormat="1" applyFont="1" applyBorder="1" applyAlignment="1">
      <alignment horizontal="center"/>
    </xf>
    <xf numFmtId="37" fontId="49" fillId="0" borderId="10" xfId="13" applyNumberFormat="1" applyFont="1" applyBorder="1" applyAlignment="1">
      <alignment horizontal="center"/>
    </xf>
    <xf numFmtId="37" fontId="49" fillId="5" borderId="24" xfId="13" applyNumberFormat="1" applyFont="1" applyFill="1" applyBorder="1" applyAlignment="1">
      <alignment horizontal="center"/>
    </xf>
    <xf numFmtId="37" fontId="49" fillId="5" borderId="25" xfId="13" applyNumberFormat="1" applyFont="1" applyFill="1" applyBorder="1" applyAlignment="1">
      <alignment horizontal="left"/>
    </xf>
    <xf numFmtId="37" fontId="53" fillId="6" borderId="25" xfId="6" applyNumberFormat="1" applyFont="1" applyFill="1" applyBorder="1" applyAlignment="1" applyProtection="1">
      <alignment horizontal="center" vertical="center"/>
    </xf>
    <xf numFmtId="37" fontId="53" fillId="6" borderId="25" xfId="6" applyNumberFormat="1" applyFont="1" applyFill="1" applyBorder="1" applyAlignment="1" applyProtection="1">
      <alignment horizontal="center"/>
    </xf>
    <xf numFmtId="38" fontId="49" fillId="0" borderId="26" xfId="13" applyNumberFormat="1" applyFont="1" applyBorder="1" applyAlignment="1">
      <alignment horizontal="center"/>
    </xf>
    <xf numFmtId="37" fontId="49" fillId="0" borderId="15" xfId="13" applyNumberFormat="1" applyFont="1" applyBorder="1" applyAlignment="1">
      <alignment horizontal="center"/>
    </xf>
    <xf numFmtId="37" fontId="49" fillId="5" borderId="15" xfId="13" applyNumberFormat="1" applyFont="1" applyFill="1" applyBorder="1" applyAlignment="1">
      <alignment horizontal="center"/>
    </xf>
    <xf numFmtId="37" fontId="49" fillId="5" borderId="27" xfId="13" applyNumberFormat="1" applyFont="1" applyFill="1" applyBorder="1" applyAlignment="1">
      <alignment horizontal="center"/>
    </xf>
    <xf numFmtId="38" fontId="53" fillId="6" borderId="28" xfId="6" applyNumberFormat="1" applyFont="1" applyFill="1" applyBorder="1" applyAlignment="1" applyProtection="1">
      <alignment horizontal="center" vertical="center"/>
    </xf>
    <xf numFmtId="38" fontId="53" fillId="6" borderId="28" xfId="6" applyNumberFormat="1" applyFont="1" applyFill="1" applyBorder="1" applyAlignment="1" applyProtection="1">
      <alignment horizontal="center"/>
    </xf>
    <xf numFmtId="38" fontId="49" fillId="0" borderId="29" xfId="13" applyNumberFormat="1" applyFont="1" applyBorder="1" applyAlignment="1">
      <alignment horizontal="center"/>
    </xf>
    <xf numFmtId="37" fontId="49" fillId="0" borderId="5" xfId="13" applyNumberFormat="1" applyFont="1" applyBorder="1" applyAlignment="1">
      <alignment horizontal="center"/>
    </xf>
    <xf numFmtId="38" fontId="49" fillId="5" borderId="5" xfId="13" applyNumberFormat="1" applyFont="1" applyFill="1" applyBorder="1" applyAlignment="1">
      <alignment horizontal="center"/>
    </xf>
    <xf numFmtId="37" fontId="49" fillId="5" borderId="29" xfId="13" applyNumberFormat="1" applyFont="1" applyFill="1" applyBorder="1" applyAlignment="1">
      <alignment horizontal="left"/>
    </xf>
    <xf numFmtId="37" fontId="49" fillId="7" borderId="1" xfId="13" applyNumberFormat="1" applyFont="1" applyFill="1" applyBorder="1"/>
    <xf numFmtId="37" fontId="49" fillId="7" borderId="5" xfId="13" applyNumberFormat="1" applyFont="1" applyFill="1" applyBorder="1"/>
    <xf numFmtId="37" fontId="49" fillId="7" borderId="16" xfId="13" applyNumberFormat="1" applyFont="1" applyFill="1" applyBorder="1"/>
    <xf numFmtId="37" fontId="50" fillId="8" borderId="9" xfId="13" applyNumberFormat="1" applyFont="1" applyFill="1" applyBorder="1" applyAlignment="1">
      <alignment horizontal="center"/>
    </xf>
    <xf numFmtId="37" fontId="49" fillId="5" borderId="24" xfId="13" applyNumberFormat="1" applyFont="1" applyFill="1" applyBorder="1"/>
    <xf numFmtId="37" fontId="49" fillId="5" borderId="13" xfId="13" applyNumberFormat="1" applyFont="1" applyFill="1" applyBorder="1"/>
    <xf numFmtId="37" fontId="50" fillId="8" borderId="8" xfId="13" applyNumberFormat="1" applyFont="1" applyFill="1" applyBorder="1" applyAlignment="1">
      <alignment horizontal="center"/>
    </xf>
    <xf numFmtId="37" fontId="49" fillId="7" borderId="9" xfId="13" applyNumberFormat="1" applyFont="1" applyFill="1" applyBorder="1"/>
    <xf numFmtId="37" fontId="49" fillId="5" borderId="30" xfId="13" applyNumberFormat="1" applyFont="1" applyFill="1" applyBorder="1"/>
    <xf numFmtId="165" fontId="64" fillId="0" borderId="0" xfId="13" applyNumberFormat="1"/>
    <xf numFmtId="37" fontId="49" fillId="0" borderId="24" xfId="13" applyNumberFormat="1" applyFont="1" applyBorder="1"/>
    <xf numFmtId="37" fontId="49" fillId="5" borderId="26" xfId="13" applyNumberFormat="1" applyFont="1" applyFill="1" applyBorder="1" applyAlignment="1">
      <alignment horizontal="left"/>
    </xf>
    <xf numFmtId="37" fontId="49" fillId="7" borderId="10" xfId="13" applyNumberFormat="1" applyFont="1" applyFill="1" applyBorder="1"/>
    <xf numFmtId="37" fontId="49" fillId="7" borderId="12" xfId="13" applyNumberFormat="1" applyFont="1" applyFill="1" applyBorder="1"/>
    <xf numFmtId="37" fontId="49" fillId="0" borderId="31" xfId="13" applyNumberFormat="1" applyFont="1" applyBorder="1"/>
    <xf numFmtId="37" fontId="49" fillId="5" borderId="32" xfId="13" applyNumberFormat="1" applyFont="1" applyFill="1" applyBorder="1"/>
    <xf numFmtId="42" fontId="64" fillId="5" borderId="3" xfId="13" applyNumberFormat="1" applyFill="1" applyBorder="1"/>
    <xf numFmtId="37" fontId="49" fillId="0" borderId="1" xfId="13" applyNumberFormat="1" applyFont="1" applyBorder="1" applyAlignment="1">
      <alignment horizontal="left"/>
    </xf>
    <xf numFmtId="37" fontId="50" fillId="8" borderId="1" xfId="13" applyNumberFormat="1" applyFont="1" applyFill="1" applyBorder="1" applyAlignment="1">
      <alignment horizontal="center"/>
    </xf>
    <xf numFmtId="37" fontId="49" fillId="0" borderId="17" xfId="13" applyNumberFormat="1" applyFont="1" applyBorder="1"/>
    <xf numFmtId="37" fontId="49" fillId="5" borderId="16" xfId="13" applyNumberFormat="1" applyFont="1" applyFill="1" applyBorder="1"/>
    <xf numFmtId="37" fontId="49" fillId="7" borderId="1" xfId="13" applyNumberFormat="1" applyFont="1" applyFill="1" applyBorder="1" applyAlignment="1">
      <alignment horizontal="center"/>
    </xf>
    <xf numFmtId="37" fontId="49" fillId="0" borderId="9" xfId="13" applyNumberFormat="1" applyFont="1" applyBorder="1" applyAlignment="1">
      <alignment horizontal="left"/>
    </xf>
    <xf numFmtId="37" fontId="49" fillId="0" borderId="1" xfId="13" applyNumberFormat="1" applyFont="1" applyBorder="1"/>
    <xf numFmtId="37" fontId="49" fillId="5" borderId="1" xfId="13" applyNumberFormat="1" applyFont="1" applyFill="1" applyBorder="1"/>
    <xf numFmtId="37" fontId="49" fillId="0" borderId="8" xfId="13" applyNumberFormat="1" applyFont="1" applyBorder="1"/>
    <xf numFmtId="37" fontId="49" fillId="5" borderId="9" xfId="13" applyNumberFormat="1" applyFont="1" applyFill="1" applyBorder="1"/>
    <xf numFmtId="37" fontId="49" fillId="5" borderId="8" xfId="13" applyNumberFormat="1" applyFont="1" applyFill="1" applyBorder="1"/>
    <xf numFmtId="37" fontId="49" fillId="0" borderId="1" xfId="13" applyNumberFormat="1" applyFont="1" applyBorder="1" applyProtection="1">
      <protection locked="0"/>
    </xf>
    <xf numFmtId="0" fontId="0" fillId="0" borderId="0" xfId="11" applyFont="1" applyAlignment="1">
      <alignment horizontal="center"/>
    </xf>
    <xf numFmtId="0" fontId="30" fillId="0" borderId="0" xfId="8" applyFont="1"/>
    <xf numFmtId="37" fontId="30" fillId="0" borderId="0" xfId="8" applyNumberFormat="1" applyFont="1"/>
    <xf numFmtId="0" fontId="54" fillId="0" borderId="0" xfId="8" applyFont="1" applyAlignment="1">
      <alignment horizontal="right"/>
    </xf>
    <xf numFmtId="0" fontId="0" fillId="0" borderId="0" xfId="4" applyNumberFormat="1" applyFont="1" applyBorder="1" applyAlignment="1" applyProtection="1">
      <alignment horizontal="left" vertical="top"/>
    </xf>
    <xf numFmtId="37" fontId="30" fillId="0" borderId="0" xfId="8" applyNumberFormat="1" applyFont="1" applyAlignment="1">
      <alignment horizontal="left"/>
    </xf>
    <xf numFmtId="0" fontId="34" fillId="0" borderId="0" xfId="8" applyFont="1"/>
    <xf numFmtId="37" fontId="54" fillId="0" borderId="0" xfId="8" applyNumberFormat="1" applyFont="1" applyAlignment="1">
      <alignment horizontal="left"/>
    </xf>
    <xf numFmtId="0" fontId="54" fillId="12" borderId="1" xfId="0" applyFont="1" applyFill="1" applyBorder="1" applyAlignment="1">
      <alignment horizontal="center" wrapText="1"/>
    </xf>
    <xf numFmtId="0" fontId="54" fillId="0" borderId="0" xfId="0" applyFont="1" applyAlignment="1">
      <alignment horizontal="left" vertical="top"/>
    </xf>
    <xf numFmtId="0" fontId="54" fillId="0" borderId="0" xfId="0" applyFont="1" applyAlignment="1">
      <alignment wrapText="1"/>
    </xf>
    <xf numFmtId="168" fontId="13" fillId="6" borderId="0" xfId="6" quotePrefix="1" applyNumberFormat="1" applyFont="1" applyFill="1" applyAlignment="1" applyProtection="1">
      <alignment horizontal="right"/>
    </xf>
    <xf numFmtId="0" fontId="0" fillId="0" borderId="0" xfId="0" applyAlignment="1">
      <alignment horizontal="left" vertical="top"/>
    </xf>
    <xf numFmtId="0" fontId="6" fillId="0" borderId="0" xfId="0" quotePrefix="1" applyFont="1" applyAlignment="1">
      <alignment horizontal="left"/>
    </xf>
    <xf numFmtId="0" fontId="57" fillId="0" borderId="0" xfId="0" applyFont="1"/>
    <xf numFmtId="49" fontId="30" fillId="0" borderId="0" xfId="6" applyNumberFormat="1" applyFont="1" applyFill="1" applyAlignment="1" applyProtection="1">
      <alignment horizontal="center" vertical="top"/>
    </xf>
    <xf numFmtId="0" fontId="54" fillId="0" borderId="0" xfId="0" applyFont="1" applyAlignment="1">
      <alignment horizontal="center" wrapText="1"/>
    </xf>
    <xf numFmtId="49" fontId="13" fillId="0" borderId="0" xfId="6" applyNumberFormat="1" applyFont="1" applyFill="1" applyAlignment="1" applyProtection="1">
      <alignment horizontal="center" vertical="top"/>
    </xf>
    <xf numFmtId="0" fontId="0" fillId="0" borderId="0" xfId="0" applyAlignment="1">
      <alignment vertical="top" wrapText="1"/>
    </xf>
    <xf numFmtId="0" fontId="0" fillId="0" borderId="0" xfId="0" applyAlignment="1">
      <alignment horizontal="right" vertical="top"/>
    </xf>
    <xf numFmtId="170" fontId="0" fillId="0" borderId="0" xfId="2" applyNumberFormat="1" applyFont="1" applyFill="1" applyBorder="1" applyAlignment="1" applyProtection="1">
      <alignment vertical="top"/>
    </xf>
    <xf numFmtId="0" fontId="0" fillId="0" borderId="0" xfId="0" quotePrefix="1" applyAlignment="1">
      <alignment horizontal="center"/>
    </xf>
    <xf numFmtId="0" fontId="0" fillId="0" borderId="1" xfId="0" applyBorder="1" applyAlignment="1" applyProtection="1">
      <alignment horizontal="center" vertical="center"/>
      <protection locked="0"/>
    </xf>
    <xf numFmtId="0" fontId="11" fillId="0" borderId="0" xfId="0" applyFont="1" applyAlignment="1">
      <alignment vertical="top"/>
    </xf>
    <xf numFmtId="0" fontId="46" fillId="0" borderId="0" xfId="0" applyFont="1" applyAlignment="1">
      <alignment vertical="top" wrapText="1"/>
    </xf>
    <xf numFmtId="0" fontId="0" fillId="0" borderId="0" xfId="0" applyAlignment="1">
      <alignment vertical="center" wrapText="1"/>
    </xf>
    <xf numFmtId="0" fontId="20" fillId="0" borderId="1" xfId="6" applyFont="1" applyBorder="1" applyProtection="1"/>
    <xf numFmtId="0" fontId="38" fillId="0" borderId="1" xfId="7" applyFont="1" applyBorder="1" applyAlignment="1">
      <alignment horizontal="left"/>
    </xf>
    <xf numFmtId="0" fontId="38" fillId="0" borderId="0" xfId="7" applyFont="1"/>
    <xf numFmtId="0" fontId="37" fillId="0" borderId="1" xfId="7" applyFont="1" applyBorder="1"/>
    <xf numFmtId="49" fontId="38" fillId="0" borderId="1" xfId="7" applyNumberFormat="1" applyFont="1" applyBorder="1" applyAlignment="1">
      <alignment horizontal="left"/>
    </xf>
    <xf numFmtId="0" fontId="37" fillId="0" borderId="1" xfId="7" applyFont="1" applyBorder="1" applyAlignment="1">
      <alignment horizontal="center"/>
    </xf>
    <xf numFmtId="0" fontId="20" fillId="0" borderId="1" xfId="7" applyFont="1" applyBorder="1" applyAlignment="1">
      <alignment horizontal="center"/>
    </xf>
    <xf numFmtId="0" fontId="20" fillId="0" borderId="1" xfId="7" applyFont="1" applyBorder="1" applyAlignment="1">
      <alignment horizontal="center" wrapText="1"/>
    </xf>
    <xf numFmtId="0" fontId="38" fillId="0" borderId="1" xfId="7" applyFont="1" applyBorder="1"/>
    <xf numFmtId="0" fontId="39" fillId="9" borderId="1" xfId="7" applyFont="1" applyFill="1" applyBorder="1"/>
    <xf numFmtId="49" fontId="38" fillId="0" borderId="1" xfId="7" applyNumberFormat="1" applyFont="1" applyBorder="1"/>
    <xf numFmtId="169" fontId="38" fillId="0" borderId="1" xfId="7" applyNumberFormat="1" applyFont="1" applyBorder="1"/>
    <xf numFmtId="0" fontId="38" fillId="0" borderId="1" xfId="7" applyFont="1" applyBorder="1" applyAlignment="1">
      <alignment horizontal="right"/>
    </xf>
    <xf numFmtId="0" fontId="38" fillId="0" borderId="1" xfId="7" applyFont="1" applyBorder="1" applyAlignment="1">
      <alignment wrapText="1"/>
    </xf>
    <xf numFmtId="0" fontId="15" fillId="0" borderId="1" xfId="7" applyFont="1" applyBorder="1"/>
    <xf numFmtId="0" fontId="38" fillId="9" borderId="1" xfId="7" applyFont="1" applyFill="1" applyBorder="1"/>
    <xf numFmtId="168" fontId="32" fillId="5" borderId="1" xfId="6" applyNumberFormat="1" applyFont="1" applyFill="1" applyBorder="1" applyAlignment="1" applyProtection="1">
      <alignment horizontal="center" vertical="top"/>
    </xf>
    <xf numFmtId="168" fontId="32" fillId="5" borderId="1" xfId="6" applyNumberFormat="1" applyFont="1" applyFill="1" applyBorder="1" applyAlignment="1" applyProtection="1">
      <alignment horizontal="center" vertical="top" wrapText="1"/>
    </xf>
    <xf numFmtId="165" fontId="32" fillId="5" borderId="1" xfId="6" applyNumberFormat="1" applyFont="1" applyFill="1" applyBorder="1" applyAlignment="1" applyProtection="1">
      <alignment horizontal="center" vertical="top"/>
    </xf>
    <xf numFmtId="165" fontId="32" fillId="0" borderId="1" xfId="6" applyNumberFormat="1" applyFont="1" applyFill="1" applyBorder="1" applyAlignment="1" applyProtection="1">
      <alignment horizontal="center" vertical="top"/>
    </xf>
    <xf numFmtId="168" fontId="21" fillId="0" borderId="8" xfId="6" applyNumberFormat="1" applyFont="1" applyBorder="1" applyAlignment="1" applyProtection="1">
      <alignment horizontal="justify" vertical="top" wrapText="1"/>
    </xf>
    <xf numFmtId="0" fontId="0" fillId="5" borderId="0" xfId="0" applyFill="1"/>
    <xf numFmtId="37" fontId="49" fillId="5" borderId="4" xfId="13" applyNumberFormat="1" applyFont="1" applyFill="1" applyBorder="1"/>
    <xf numFmtId="37" fontId="49" fillId="0" borderId="4" xfId="13" applyNumberFormat="1" applyFont="1" applyBorder="1" applyAlignment="1" applyProtection="1">
      <alignment horizontal="right"/>
      <protection locked="0"/>
    </xf>
    <xf numFmtId="37" fontId="49" fillId="0" borderId="9" xfId="13" applyNumberFormat="1" applyFont="1" applyBorder="1" applyAlignment="1" applyProtection="1">
      <alignment horizontal="right"/>
      <protection locked="0"/>
    </xf>
    <xf numFmtId="173" fontId="64" fillId="0" borderId="1" xfId="13" applyNumberFormat="1" applyBorder="1" applyProtection="1">
      <protection locked="0"/>
    </xf>
    <xf numFmtId="0" fontId="29" fillId="0" borderId="0" xfId="0" applyFont="1"/>
    <xf numFmtId="0" fontId="29" fillId="0" borderId="0" xfId="0" applyFont="1" applyAlignment="1">
      <alignment horizontal="right"/>
    </xf>
    <xf numFmtId="0" fontId="0" fillId="13" borderId="0" xfId="0" applyFill="1"/>
    <xf numFmtId="37" fontId="0" fillId="13" borderId="0" xfId="0" applyNumberFormat="1" applyFill="1"/>
    <xf numFmtId="0" fontId="0" fillId="13" borderId="0" xfId="0" applyFill="1" applyAlignment="1">
      <alignment horizontal="left"/>
    </xf>
    <xf numFmtId="0" fontId="0" fillId="2" borderId="0" xfId="0" applyFill="1"/>
    <xf numFmtId="37" fontId="29" fillId="2" borderId="0" xfId="0" applyNumberFormat="1" applyFont="1" applyFill="1"/>
    <xf numFmtId="37" fontId="0" fillId="2" borderId="0" xfId="0" applyNumberFormat="1" applyFill="1"/>
    <xf numFmtId="0" fontId="0" fillId="14" borderId="0" xfId="0" applyFill="1"/>
    <xf numFmtId="37" fontId="29" fillId="14" borderId="0" xfId="0" applyNumberFormat="1" applyFont="1" applyFill="1"/>
    <xf numFmtId="37" fontId="36" fillId="13" borderId="0" xfId="0" applyNumberFormat="1" applyFont="1" applyFill="1"/>
    <xf numFmtId="0" fontId="0" fillId="13" borderId="0" xfId="0" applyFill="1" applyAlignment="1">
      <alignment horizontal="right"/>
    </xf>
    <xf numFmtId="37" fontId="0" fillId="14" borderId="0" xfId="0" applyNumberFormat="1" applyFill="1"/>
    <xf numFmtId="0" fontId="0" fillId="15" borderId="0" xfId="0" applyFill="1"/>
    <xf numFmtId="37" fontId="0" fillId="15" borderId="0" xfId="0" applyNumberFormat="1" applyFill="1"/>
    <xf numFmtId="37" fontId="6" fillId="2" borderId="0" xfId="0" applyNumberFormat="1" applyFont="1" applyFill="1"/>
    <xf numFmtId="0" fontId="30" fillId="13" borderId="0" xfId="0" applyFont="1" applyFill="1"/>
    <xf numFmtId="37" fontId="30" fillId="13" borderId="0" xfId="0" applyNumberFormat="1" applyFont="1" applyFill="1"/>
    <xf numFmtId="0" fontId="30" fillId="13" borderId="0" xfId="0" applyFont="1" applyFill="1" applyAlignment="1">
      <alignment horizontal="left"/>
    </xf>
    <xf numFmtId="0" fontId="30" fillId="2" borderId="0" xfId="0" applyFont="1" applyFill="1"/>
    <xf numFmtId="37" fontId="51" fillId="0" borderId="18" xfId="0" applyNumberFormat="1" applyFont="1" applyBorder="1"/>
    <xf numFmtId="0" fontId="13" fillId="6" borderId="0" xfId="6" applyFont="1" applyFill="1" applyProtection="1"/>
    <xf numFmtId="37" fontId="49" fillId="0" borderId="9" xfId="13" applyNumberFormat="1" applyFont="1" applyBorder="1"/>
    <xf numFmtId="49" fontId="64" fillId="0" borderId="3" xfId="13" applyNumberFormat="1" applyBorder="1" applyAlignment="1">
      <alignment horizontal="center"/>
    </xf>
    <xf numFmtId="49" fontId="47" fillId="0" borderId="3" xfId="0" applyNumberFormat="1" applyFont="1" applyBorder="1" applyProtection="1">
      <protection locked="0"/>
    </xf>
    <xf numFmtId="37" fontId="51" fillId="0" borderId="10" xfId="0" applyNumberFormat="1" applyFont="1" applyBorder="1" applyProtection="1">
      <protection locked="0"/>
    </xf>
    <xf numFmtId="37" fontId="30" fillId="5" borderId="1" xfId="10" applyNumberFormat="1" applyFont="1" applyFill="1" applyBorder="1" applyProtection="1">
      <protection locked="0"/>
    </xf>
    <xf numFmtId="168" fontId="6" fillId="0" borderId="0" xfId="6" applyNumberFormat="1" applyFont="1" applyFill="1" applyAlignment="1" applyProtection="1">
      <alignment horizontal="left" vertical="top"/>
    </xf>
    <xf numFmtId="0" fontId="34" fillId="0" borderId="0" xfId="0" applyFont="1"/>
    <xf numFmtId="0" fontId="6" fillId="0" borderId="0" xfId="0" applyFont="1"/>
    <xf numFmtId="37" fontId="51" fillId="0" borderId="1" xfId="0" applyNumberFormat="1" applyFont="1" applyBorder="1"/>
    <xf numFmtId="37" fontId="0" fillId="0" borderId="1" xfId="0" applyNumberFormat="1" applyBorder="1"/>
    <xf numFmtId="37" fontId="51" fillId="4" borderId="1" xfId="0" applyNumberFormat="1" applyFont="1" applyFill="1" applyBorder="1"/>
    <xf numFmtId="10" fontId="51" fillId="4" borderId="1" xfId="0" applyNumberFormat="1" applyFont="1" applyFill="1" applyBorder="1"/>
    <xf numFmtId="37" fontId="51" fillId="0" borderId="15" xfId="0" applyNumberFormat="1" applyFont="1" applyBorder="1"/>
    <xf numFmtId="37" fontId="0" fillId="0" borderId="5" xfId="0" applyNumberFormat="1" applyBorder="1"/>
    <xf numFmtId="37" fontId="51" fillId="0" borderId="5" xfId="0" applyNumberFormat="1" applyFont="1" applyBorder="1"/>
    <xf numFmtId="37" fontId="51" fillId="4" borderId="5" xfId="0" applyNumberFormat="1" applyFont="1" applyFill="1" applyBorder="1"/>
    <xf numFmtId="37" fontId="0" fillId="4" borderId="21" xfId="0" applyNumberFormat="1" applyFill="1" applyBorder="1"/>
    <xf numFmtId="0" fontId="17" fillId="6" borderId="12" xfId="6" applyFont="1" applyFill="1" applyBorder="1" applyProtection="1"/>
    <xf numFmtId="0" fontId="17" fillId="6" borderId="7" xfId="6" applyFont="1" applyFill="1" applyBorder="1" applyProtection="1"/>
    <xf numFmtId="168" fontId="54" fillId="5" borderId="0" xfId="10" applyNumberFormat="1" applyFont="1" applyFill="1"/>
    <xf numFmtId="16" fontId="30" fillId="0" borderId="0" xfId="0" quotePrefix="1" applyNumberFormat="1" applyFont="1" applyAlignment="1">
      <alignment horizontal="right" vertical="top" wrapText="1"/>
    </xf>
    <xf numFmtId="0" fontId="0" fillId="0" borderId="0" xfId="0" quotePrefix="1" applyAlignment="1">
      <alignment horizontal="right" vertical="top"/>
    </xf>
    <xf numFmtId="168" fontId="6" fillId="0" borderId="0" xfId="6" applyNumberFormat="1" applyFont="1" applyFill="1" applyAlignment="1" applyProtection="1">
      <alignment vertical="top"/>
    </xf>
    <xf numFmtId="0" fontId="6" fillId="0" borderId="1" xfId="0" applyFont="1" applyBorder="1" applyAlignment="1">
      <alignment horizontal="left" wrapText="1"/>
    </xf>
    <xf numFmtId="0" fontId="6" fillId="0" borderId="1" xfId="0" applyFont="1" applyBorder="1"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5" xfId="0" applyBorder="1" applyAlignment="1">
      <alignment horizontal="center" wrapText="1"/>
    </xf>
    <xf numFmtId="0" fontId="0" fillId="0" borderId="10" xfId="0"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6" fillId="0" borderId="0" xfId="0" applyFont="1" applyAlignment="1">
      <alignment horizontal="center"/>
    </xf>
    <xf numFmtId="37" fontId="0" fillId="0" borderId="4" xfId="0" applyNumberFormat="1" applyBorder="1" applyAlignment="1" applyProtection="1">
      <alignment horizontal="right"/>
      <protection locked="0"/>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0" fontId="0" fillId="0" borderId="0" xfId="0" quotePrefix="1" applyAlignment="1">
      <alignment horizontal="left"/>
    </xf>
    <xf numFmtId="168" fontId="6" fillId="5" borderId="0" xfId="0" applyNumberFormat="1" applyFont="1" applyFill="1" applyAlignment="1">
      <alignment horizontal="center"/>
    </xf>
    <xf numFmtId="0" fontId="0" fillId="0" borderId="1" xfId="0" applyBorder="1" applyAlignment="1">
      <alignment horizontal="center"/>
    </xf>
    <xf numFmtId="0" fontId="30" fillId="0" borderId="9" xfId="10" applyFont="1" applyBorder="1" applyAlignment="1">
      <alignment horizontal="left"/>
    </xf>
    <xf numFmtId="0" fontId="30" fillId="0" borderId="4" xfId="10" applyFont="1" applyBorder="1" applyAlignment="1">
      <alignment horizontal="left"/>
    </xf>
    <xf numFmtId="168" fontId="30" fillId="5" borderId="0" xfId="10" applyNumberFormat="1" applyFont="1" applyFill="1" applyAlignment="1">
      <alignment horizontal="left"/>
    </xf>
    <xf numFmtId="0" fontId="30" fillId="0" borderId="3" xfId="10" applyFont="1" applyBorder="1" applyAlignment="1">
      <alignment horizontal="center"/>
    </xf>
    <xf numFmtId="0" fontId="64" fillId="0" borderId="3" xfId="13" applyBorder="1" applyAlignment="1">
      <alignment horizontal="center"/>
    </xf>
    <xf numFmtId="0" fontId="0" fillId="0" borderId="0" xfId="0" applyAlignment="1">
      <alignment horizontal="left" vertical="top" wrapText="1"/>
    </xf>
    <xf numFmtId="168" fontId="6" fillId="0" borderId="0" xfId="6" quotePrefix="1" applyNumberFormat="1" applyFont="1" applyFill="1" applyAlignment="1" applyProtection="1">
      <alignment horizontal="left" vertical="top"/>
    </xf>
    <xf numFmtId="0" fontId="13" fillId="0" borderId="13" xfId="6" applyFont="1" applyFill="1" applyBorder="1" applyAlignment="1" applyProtection="1">
      <alignment horizontal="center" vertical="top"/>
    </xf>
    <xf numFmtId="0" fontId="13" fillId="0" borderId="8" xfId="6" applyFont="1" applyFill="1" applyBorder="1" applyAlignment="1" applyProtection="1">
      <alignment horizontal="center" vertical="top"/>
    </xf>
    <xf numFmtId="0" fontId="13" fillId="0" borderId="0" xfId="6" applyFont="1" applyFill="1" applyAlignment="1" applyProtection="1">
      <alignment horizontal="center" vertical="top"/>
    </xf>
    <xf numFmtId="0" fontId="13" fillId="0" borderId="14" xfId="6" applyFont="1" applyFill="1" applyBorder="1" applyAlignment="1" applyProtection="1">
      <alignment horizontal="center" vertical="top"/>
    </xf>
    <xf numFmtId="0" fontId="13" fillId="0" borderId="15" xfId="6" applyFont="1" applyFill="1" applyBorder="1" applyAlignment="1" applyProtection="1">
      <alignment horizontal="center" vertical="top"/>
    </xf>
    <xf numFmtId="0" fontId="13" fillId="0" borderId="17" xfId="6" applyFont="1" applyFill="1" applyBorder="1" applyAlignment="1" applyProtection="1">
      <alignment horizontal="center" vertical="top"/>
    </xf>
    <xf numFmtId="37" fontId="51" fillId="4" borderId="15" xfId="0" applyNumberFormat="1" applyFont="1" applyFill="1" applyBorder="1"/>
    <xf numFmtId="0" fontId="54" fillId="0" borderId="0" xfId="0" applyFont="1" applyAlignment="1">
      <alignment vertical="center" wrapText="1"/>
    </xf>
    <xf numFmtId="0" fontId="54" fillId="0" borderId="0" xfId="0" applyFont="1" applyAlignment="1">
      <alignment horizontal="center" vertical="center" wrapText="1"/>
    </xf>
    <xf numFmtId="0" fontId="30" fillId="0" borderId="0" xfId="0" applyFont="1" applyAlignment="1">
      <alignment vertical="top" wrapText="1"/>
    </xf>
    <xf numFmtId="37" fontId="0" fillId="0" borderId="9" xfId="0" applyNumberFormat="1" applyBorder="1"/>
    <xf numFmtId="37" fontId="51" fillId="4" borderId="8" xfId="0" applyNumberFormat="1" applyFont="1" applyFill="1" applyBorder="1"/>
    <xf numFmtId="37" fontId="64" fillId="5" borderId="12" xfId="13" applyNumberFormat="1" applyFill="1" applyBorder="1"/>
    <xf numFmtId="49"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37" fontId="64" fillId="0" borderId="1" xfId="13" applyNumberFormat="1" applyBorder="1"/>
    <xf numFmtId="37" fontId="0" fillId="4" borderId="1" xfId="0" applyNumberFormat="1" applyFill="1" applyBorder="1"/>
    <xf numFmtId="49" fontId="0" fillId="0" borderId="0" xfId="0" applyNumberFormat="1" applyAlignment="1">
      <alignment horizontal="center"/>
    </xf>
    <xf numFmtId="0" fontId="32" fillId="6" borderId="10" xfId="6" applyFont="1" applyFill="1" applyBorder="1" applyAlignment="1" applyProtection="1">
      <alignment horizontal="center"/>
    </xf>
    <xf numFmtId="0" fontId="32" fillId="6" borderId="15" xfId="6" applyFont="1" applyFill="1" applyBorder="1" applyAlignment="1" applyProtection="1">
      <alignment horizontal="center"/>
    </xf>
    <xf numFmtId="0" fontId="32" fillId="6" borderId="5" xfId="6" applyFont="1" applyFill="1" applyBorder="1" applyAlignment="1" applyProtection="1">
      <alignment horizontal="center"/>
    </xf>
    <xf numFmtId="0" fontId="6" fillId="0" borderId="8" xfId="12" applyNumberFormat="1" applyFont="1" applyFill="1" applyBorder="1" applyAlignment="1" applyProtection="1">
      <alignment horizontal="center" vertical="center" wrapText="1"/>
    </xf>
    <xf numFmtId="0" fontId="63" fillId="0" borderId="9" xfId="6" applyFont="1" applyFill="1" applyBorder="1" applyAlignment="1" applyProtection="1">
      <alignment horizontal="left"/>
    </xf>
    <xf numFmtId="37" fontId="0" fillId="0" borderId="3" xfId="0" applyNumberFormat="1" applyBorder="1" applyAlignment="1" applyProtection="1">
      <alignment horizontal="right"/>
      <protection locked="0"/>
    </xf>
    <xf numFmtId="3" fontId="0" fillId="0" borderId="3" xfId="0" applyNumberFormat="1" applyBorder="1" applyProtection="1">
      <protection locked="0"/>
    </xf>
    <xf numFmtId="0" fontId="65" fillId="6" borderId="0" xfId="6" applyFont="1" applyFill="1" applyProtection="1"/>
    <xf numFmtId="37" fontId="0" fillId="5" borderId="19" xfId="0" applyNumberFormat="1" applyFill="1" applyBorder="1"/>
    <xf numFmtId="49" fontId="0" fillId="5" borderId="0" xfId="0" applyNumberFormat="1" applyFill="1" applyAlignment="1">
      <alignment wrapText="1"/>
    </xf>
    <xf numFmtId="4" fontId="0" fillId="0" borderId="0" xfId="0" applyNumberFormat="1" applyAlignment="1">
      <alignment horizontal="center"/>
    </xf>
    <xf numFmtId="4" fontId="0" fillId="0" borderId="1" xfId="0" applyNumberFormat="1" applyBorder="1" applyAlignment="1" applyProtection="1">
      <alignment horizontal="center"/>
      <protection locked="0"/>
    </xf>
    <xf numFmtId="37" fontId="0" fillId="5" borderId="7" xfId="0" applyNumberFormat="1" applyFill="1" applyBorder="1" applyProtection="1">
      <protection locked="0"/>
    </xf>
    <xf numFmtId="37" fontId="0" fillId="5" borderId="4" xfId="0" applyNumberFormat="1" applyFill="1" applyBorder="1" applyProtection="1">
      <protection locked="0"/>
    </xf>
    <xf numFmtId="2" fontId="0" fillId="0" borderId="0" xfId="0" applyNumberFormat="1" applyAlignment="1">
      <alignment horizontal="center"/>
    </xf>
    <xf numFmtId="0" fontId="0" fillId="7" borderId="1" xfId="0" applyFill="1" applyBorder="1"/>
    <xf numFmtId="168" fontId="0" fillId="5" borderId="12" xfId="0" applyNumberFormat="1" applyFill="1" applyBorder="1"/>
    <xf numFmtId="49" fontId="0" fillId="0" borderId="1" xfId="0" applyNumberFormat="1" applyBorder="1" applyAlignment="1">
      <alignment horizontal="center"/>
    </xf>
    <xf numFmtId="49" fontId="0" fillId="0" borderId="8" xfId="0" applyNumberFormat="1" applyBorder="1" applyAlignment="1">
      <alignment horizontal="center"/>
    </xf>
    <xf numFmtId="5" fontId="65" fillId="6" borderId="0" xfId="6" applyNumberFormat="1" applyFont="1" applyFill="1" applyBorder="1" applyProtection="1"/>
    <xf numFmtId="39" fontId="0" fillId="0" borderId="0" xfId="0" applyNumberFormat="1"/>
    <xf numFmtId="168" fontId="18" fillId="5" borderId="0" xfId="0" applyNumberFormat="1" applyFont="1" applyFill="1"/>
    <xf numFmtId="3" fontId="0" fillId="0" borderId="1" xfId="0" applyNumberFormat="1" applyBorder="1" applyProtection="1">
      <protection locked="0"/>
    </xf>
    <xf numFmtId="3" fontId="0" fillId="0" borderId="5" xfId="0" applyNumberFormat="1" applyBorder="1" applyProtection="1">
      <protection locked="0"/>
    </xf>
    <xf numFmtId="37" fontId="0" fillId="5" borderId="0" xfId="0" applyNumberFormat="1" applyFill="1"/>
    <xf numFmtId="3" fontId="0" fillId="0" borderId="10" xfId="0" applyNumberFormat="1" applyBorder="1" applyProtection="1">
      <protection locked="0"/>
    </xf>
    <xf numFmtId="37" fontId="0" fillId="0" borderId="21" xfId="0" applyNumberFormat="1" applyBorder="1"/>
    <xf numFmtId="165" fontId="0" fillId="0" borderId="0" xfId="0" applyNumberFormat="1"/>
    <xf numFmtId="165" fontId="0" fillId="0" borderId="3" xfId="0" applyNumberFormat="1" applyBorder="1" applyProtection="1">
      <protection locked="0"/>
    </xf>
    <xf numFmtId="37" fontId="0" fillId="0" borderId="5" xfId="0" applyNumberFormat="1" applyBorder="1" applyProtection="1">
      <protection locked="0"/>
    </xf>
    <xf numFmtId="0" fontId="0" fillId="0" borderId="1" xfId="0" applyBorder="1" applyAlignment="1" applyProtection="1">
      <alignment vertical="top" wrapText="1"/>
      <protection locked="0"/>
    </xf>
    <xf numFmtId="0" fontId="13" fillId="0" borderId="1" xfId="6" applyFont="1" applyFill="1" applyBorder="1" applyAlignment="1" applyProtection="1">
      <alignment horizontal="center" vertical="top"/>
    </xf>
    <xf numFmtId="0" fontId="33" fillId="6" borderId="0" xfId="6" applyFont="1" applyFill="1" applyBorder="1" applyAlignment="1" applyProtection="1">
      <alignment horizontal="center"/>
    </xf>
    <xf numFmtId="0" fontId="17" fillId="0" borderId="13" xfId="6" applyFont="1" applyFill="1" applyBorder="1" applyProtection="1"/>
    <xf numFmtId="0" fontId="17" fillId="0" borderId="10" xfId="6" applyFont="1" applyFill="1" applyBorder="1" applyProtection="1"/>
    <xf numFmtId="0" fontId="38" fillId="0" borderId="0" xfId="7" applyFont="1" applyAlignment="1">
      <alignment horizontal="center"/>
    </xf>
    <xf numFmtId="37" fontId="0" fillId="9" borderId="10" xfId="0" applyNumberFormat="1" applyFill="1" applyBorder="1" applyAlignment="1">
      <alignment horizontal="center"/>
    </xf>
    <xf numFmtId="37" fontId="0" fillId="9" borderId="15" xfId="0" applyNumberFormat="1" applyFill="1" applyBorder="1" applyAlignment="1">
      <alignment horizontal="center"/>
    </xf>
    <xf numFmtId="0" fontId="13" fillId="0" borderId="8" xfId="6" applyFont="1" applyBorder="1" applyAlignment="1" applyProtection="1">
      <alignment horizontal="center" vertical="top"/>
    </xf>
    <xf numFmtId="37" fontId="0" fillId="10" borderId="35" xfId="0" applyNumberFormat="1" applyFill="1" applyBorder="1" applyAlignment="1">
      <alignment horizontal="center"/>
    </xf>
    <xf numFmtId="37" fontId="0" fillId="10" borderId="12" xfId="0" applyNumberFormat="1" applyFill="1" applyBorder="1"/>
    <xf numFmtId="37" fontId="0" fillId="10" borderId="2" xfId="0" applyNumberFormat="1" applyFill="1" applyBorder="1"/>
    <xf numFmtId="37" fontId="0" fillId="10" borderId="36" xfId="0" applyNumberFormat="1" applyFill="1" applyBorder="1"/>
    <xf numFmtId="37" fontId="0" fillId="10" borderId="9" xfId="0" applyNumberFormat="1" applyFill="1" applyBorder="1"/>
    <xf numFmtId="37" fontId="0" fillId="10" borderId="3" xfId="0" applyNumberFormat="1" applyFill="1" applyBorder="1"/>
    <xf numFmtId="0" fontId="32" fillId="6" borderId="3" xfId="6" applyFont="1" applyFill="1" applyBorder="1" applyProtection="1"/>
    <xf numFmtId="0" fontId="35" fillId="6" borderId="0" xfId="6" applyFont="1" applyFill="1" applyProtection="1"/>
    <xf numFmtId="49" fontId="35" fillId="6" borderId="0" xfId="6" applyNumberFormat="1" applyFont="1" applyFill="1" applyProtection="1"/>
    <xf numFmtId="0" fontId="68" fillId="0" borderId="0" xfId="0" applyFont="1" applyAlignment="1">
      <alignment vertical="top" wrapText="1"/>
    </xf>
    <xf numFmtId="168" fontId="33" fillId="6" borderId="0" xfId="0" applyNumberFormat="1" applyFont="1" applyFill="1" applyAlignment="1">
      <alignment horizontal="center"/>
    </xf>
    <xf numFmtId="0" fontId="33" fillId="6" borderId="0" xfId="6" applyFont="1" applyFill="1" applyAlignment="1" applyProtection="1">
      <alignment horizontal="center"/>
    </xf>
    <xf numFmtId="37" fontId="56" fillId="6" borderId="0" xfId="6" applyNumberFormat="1" applyFont="1" applyFill="1" applyBorder="1" applyAlignment="1" applyProtection="1">
      <alignment horizontal="center" vertical="center"/>
    </xf>
    <xf numFmtId="0" fontId="3" fillId="3" borderId="0" xfId="7" applyFont="1" applyFill="1" applyAlignment="1" applyProtection="1">
      <alignment horizontal="left"/>
      <protection locked="0"/>
    </xf>
    <xf numFmtId="167" fontId="0" fillId="0" borderId="0" xfId="0" quotePrefix="1" applyNumberFormat="1" applyAlignment="1">
      <alignment horizontal="right"/>
    </xf>
    <xf numFmtId="0" fontId="17" fillId="6" borderId="0" xfId="6" applyFont="1" applyFill="1" applyBorder="1" applyAlignment="1" applyProtection="1">
      <alignment horizontal="center"/>
    </xf>
    <xf numFmtId="37" fontId="0" fillId="0" borderId="15" xfId="0" applyNumberFormat="1" applyBorder="1" applyProtection="1">
      <protection locked="0"/>
    </xf>
    <xf numFmtId="37" fontId="67" fillId="0" borderId="1" xfId="0" applyNumberFormat="1" applyFont="1" applyBorder="1" applyProtection="1">
      <protection locked="0"/>
    </xf>
    <xf numFmtId="38" fontId="67" fillId="0" borderId="1" xfId="0" applyNumberFormat="1" applyFont="1" applyBorder="1" applyProtection="1">
      <protection locked="0"/>
    </xf>
    <xf numFmtId="0" fontId="17" fillId="6" borderId="0" xfId="6" applyFont="1" applyFill="1" applyBorder="1" applyProtection="1"/>
    <xf numFmtId="0" fontId="13" fillId="6" borderId="0" xfId="6" applyFont="1" applyFill="1" applyBorder="1" applyProtection="1"/>
    <xf numFmtId="0" fontId="69" fillId="6" borderId="0" xfId="6" applyFont="1" applyFill="1" applyAlignment="1" applyProtection="1">
      <alignment horizontal="right"/>
    </xf>
    <xf numFmtId="0" fontId="69" fillId="6" borderId="0" xfId="6" quotePrefix="1" applyFont="1" applyFill="1" applyAlignment="1" applyProtection="1">
      <alignment horizontal="right"/>
    </xf>
    <xf numFmtId="0" fontId="2" fillId="3" borderId="0" xfId="7" applyFont="1" applyFill="1" applyAlignment="1" applyProtection="1">
      <alignment horizontal="left"/>
      <protection locked="0"/>
    </xf>
    <xf numFmtId="0" fontId="67" fillId="0" borderId="0" xfId="0" applyFont="1"/>
    <xf numFmtId="49" fontId="67" fillId="0" borderId="0" xfId="0" applyNumberFormat="1" applyFont="1" applyAlignment="1">
      <alignment horizontal="right"/>
    </xf>
    <xf numFmtId="37" fontId="67" fillId="4" borderId="1" xfId="0" applyNumberFormat="1" applyFont="1" applyFill="1" applyBorder="1"/>
    <xf numFmtId="167" fontId="0" fillId="0" borderId="34" xfId="0" quotePrefix="1" applyNumberFormat="1" applyBorder="1" applyAlignment="1">
      <alignment horizontal="right"/>
    </xf>
    <xf numFmtId="168" fontId="67" fillId="5" borderId="2" xfId="0" applyNumberFormat="1" applyFont="1" applyFill="1" applyBorder="1"/>
    <xf numFmtId="168" fontId="67" fillId="5" borderId="16" xfId="0" applyNumberFormat="1" applyFont="1" applyFill="1" applyBorder="1"/>
    <xf numFmtId="167" fontId="64" fillId="0" borderId="0" xfId="9" applyNumberFormat="1" applyFont="1" applyAlignment="1">
      <alignment horizontal="right"/>
    </xf>
    <xf numFmtId="167" fontId="64" fillId="0" borderId="34" xfId="9" applyNumberFormat="1" applyFont="1" applyBorder="1" applyAlignment="1">
      <alignment horizontal="right"/>
    </xf>
    <xf numFmtId="167" fontId="64" fillId="0" borderId="0" xfId="9" applyNumberFormat="1" applyFont="1" applyAlignment="1">
      <alignment horizontal="left"/>
    </xf>
    <xf numFmtId="49" fontId="67" fillId="0" borderId="0" xfId="0" applyNumberFormat="1" applyFont="1" applyAlignment="1">
      <alignment horizontal="center"/>
    </xf>
    <xf numFmtId="168" fontId="67" fillId="5" borderId="0" xfId="0" quotePrefix="1" applyNumberFormat="1" applyFont="1" applyFill="1" applyAlignment="1">
      <alignment horizontal="left"/>
    </xf>
    <xf numFmtId="49" fontId="67" fillId="0" borderId="0" xfId="0" applyNumberFormat="1" applyFont="1"/>
    <xf numFmtId="0" fontId="67" fillId="0" borderId="0" xfId="13" applyFont="1"/>
    <xf numFmtId="0" fontId="67" fillId="0" borderId="0" xfId="0" applyFont="1" applyAlignment="1">
      <alignment horizontal="left" vertical="top"/>
    </xf>
    <xf numFmtId="0" fontId="67" fillId="0" borderId="0" xfId="0" quotePrefix="1" applyFont="1" applyAlignment="1">
      <alignment horizontal="left" vertical="top"/>
    </xf>
    <xf numFmtId="168" fontId="6" fillId="0" borderId="0" xfId="6" quotePrefix="1" applyNumberFormat="1" applyFont="1" applyFill="1" applyAlignment="1" applyProtection="1">
      <alignment vertical="top"/>
    </xf>
    <xf numFmtId="0" fontId="67" fillId="0" borderId="0" xfId="0" applyFont="1" applyAlignment="1">
      <alignment vertical="top"/>
    </xf>
    <xf numFmtId="0" fontId="0" fillId="17" borderId="1" xfId="6" applyFont="1" applyFill="1" applyBorder="1" applyAlignment="1" applyProtection="1">
      <alignment vertical="top" wrapText="1"/>
    </xf>
    <xf numFmtId="0" fontId="67" fillId="17" borderId="1" xfId="6" applyFont="1" applyFill="1" applyBorder="1" applyAlignment="1" applyProtection="1">
      <alignment vertical="top" wrapText="1"/>
    </xf>
    <xf numFmtId="168" fontId="67" fillId="5" borderId="0" xfId="10" applyNumberFormat="1" applyFont="1" applyFill="1" applyAlignment="1">
      <alignment horizontal="right"/>
    </xf>
    <xf numFmtId="0" fontId="17" fillId="6" borderId="0" xfId="6" applyFont="1" applyFill="1" applyAlignment="1" applyProtection="1">
      <alignment horizontal="center"/>
    </xf>
    <xf numFmtId="0" fontId="67" fillId="0" borderId="0" xfId="0" applyFont="1" applyAlignment="1">
      <alignment vertical="top" wrapText="1"/>
    </xf>
    <xf numFmtId="0" fontId="0" fillId="0" borderId="1" xfId="0" applyBorder="1" applyProtection="1">
      <protection locked="0"/>
    </xf>
    <xf numFmtId="0" fontId="17" fillId="6" borderId="7" xfId="6" applyFont="1" applyFill="1" applyBorder="1" applyAlignment="1" applyProtection="1">
      <alignment horizontal="center" vertical="center"/>
    </xf>
    <xf numFmtId="37" fontId="67" fillId="0" borderId="1" xfId="0" applyNumberFormat="1" applyFont="1" applyBorder="1"/>
    <xf numFmtId="168" fontId="67" fillId="0" borderId="0" xfId="0" applyNumberFormat="1" applyFont="1"/>
    <xf numFmtId="174" fontId="38" fillId="0" borderId="1" xfId="7" applyNumberFormat="1" applyFont="1" applyBorder="1" applyProtection="1">
      <protection locked="0"/>
    </xf>
    <xf numFmtId="37" fontId="18" fillId="17" borderId="0" xfId="0" applyNumberFormat="1" applyFont="1" applyFill="1" applyAlignment="1">
      <alignment horizontal="left" indent="1"/>
    </xf>
    <xf numFmtId="37" fontId="18" fillId="17" borderId="0" xfId="0" applyNumberFormat="1" applyFont="1" applyFill="1"/>
    <xf numFmtId="37" fontId="67" fillId="17" borderId="0" xfId="0" applyNumberFormat="1" applyFont="1" applyFill="1"/>
    <xf numFmtId="14" fontId="0" fillId="0" borderId="0" xfId="0" applyNumberFormat="1"/>
    <xf numFmtId="0" fontId="6" fillId="0" borderId="1" xfId="0" applyFont="1" applyBorder="1" applyAlignment="1">
      <alignment horizontal="center" vertical="center" wrapText="1"/>
    </xf>
    <xf numFmtId="168" fontId="0" fillId="5" borderId="1" xfId="0" applyNumberFormat="1" applyFill="1" applyBorder="1" applyAlignment="1">
      <alignment horizontal="justify" vertical="top" wrapText="1"/>
    </xf>
    <xf numFmtId="0" fontId="0" fillId="5" borderId="1" xfId="0" applyFill="1" applyBorder="1"/>
    <xf numFmtId="168" fontId="0" fillId="5" borderId="10" xfId="0" applyNumberFormat="1" applyFill="1" applyBorder="1" applyAlignment="1">
      <alignment horizontal="justify" vertical="top" wrapText="1"/>
    </xf>
    <xf numFmtId="168" fontId="0" fillId="5" borderId="1" xfId="0" applyNumberFormat="1" applyFill="1" applyBorder="1" applyAlignment="1">
      <alignment horizontal="justify" vertical="top"/>
    </xf>
    <xf numFmtId="168" fontId="67" fillId="5" borderId="1" xfId="0" applyNumberFormat="1" applyFont="1" applyFill="1" applyBorder="1" applyAlignment="1">
      <alignment horizontal="justify" vertical="top" wrapText="1"/>
    </xf>
    <xf numFmtId="168" fontId="0" fillId="5" borderId="1" xfId="0" applyNumberFormat="1" applyFill="1" applyBorder="1" applyAlignment="1">
      <alignment horizontal="center" vertical="top" wrapText="1"/>
    </xf>
    <xf numFmtId="0" fontId="0" fillId="17" borderId="1" xfId="0" applyFill="1" applyBorder="1" applyAlignment="1">
      <alignment horizontal="center" vertical="top" wrapText="1"/>
    </xf>
    <xf numFmtId="0" fontId="0" fillId="17" borderId="1" xfId="0" applyFill="1" applyBorder="1" applyAlignment="1">
      <alignment vertical="top" wrapText="1"/>
    </xf>
    <xf numFmtId="168" fontId="0" fillId="5" borderId="5" xfId="0" applyNumberFormat="1" applyFill="1" applyBorder="1" applyAlignment="1">
      <alignment horizontal="justify" vertical="top" wrapText="1"/>
    </xf>
    <xf numFmtId="168" fontId="0" fillId="0" borderId="1" xfId="0" applyNumberFormat="1" applyBorder="1" applyAlignment="1">
      <alignment horizontal="center" vertical="top"/>
    </xf>
    <xf numFmtId="168" fontId="67" fillId="0" borderId="1" xfId="0" applyNumberFormat="1" applyFont="1" applyBorder="1" applyAlignment="1">
      <alignment horizontal="justify" vertical="top"/>
    </xf>
    <xf numFmtId="168" fontId="67" fillId="0" borderId="1" xfId="0" applyNumberFormat="1" applyFont="1" applyBorder="1" applyAlignment="1">
      <alignment horizontal="center" vertical="top" wrapText="1"/>
    </xf>
    <xf numFmtId="168" fontId="0" fillId="0" borderId="1" xfId="0" applyNumberFormat="1" applyBorder="1" applyAlignment="1">
      <alignment horizontal="justify" vertical="top" wrapText="1"/>
    </xf>
    <xf numFmtId="168" fontId="67" fillId="0" borderId="1" xfId="0" applyNumberFormat="1" applyFont="1" applyBorder="1" applyAlignment="1">
      <alignment horizontal="justify" vertical="top" wrapText="1"/>
    </xf>
    <xf numFmtId="168" fontId="0" fillId="0" borderId="1" xfId="0" applyNumberFormat="1" applyBorder="1" applyAlignment="1">
      <alignment horizontal="center" vertical="top" wrapText="1"/>
    </xf>
    <xf numFmtId="168" fontId="67" fillId="5" borderId="1" xfId="0" applyNumberFormat="1" applyFont="1" applyFill="1" applyBorder="1" applyAlignment="1">
      <alignment horizontal="justify" vertical="top"/>
    </xf>
    <xf numFmtId="168" fontId="0" fillId="0" borderId="1" xfId="0" applyNumberFormat="1" applyBorder="1" applyAlignment="1">
      <alignment horizontal="justify" vertical="top"/>
    </xf>
    <xf numFmtId="0" fontId="35" fillId="0" borderId="1" xfId="0" applyFont="1" applyBorder="1" applyAlignment="1">
      <alignment vertical="top" wrapText="1"/>
    </xf>
    <xf numFmtId="0" fontId="0" fillId="0" borderId="1" xfId="0" applyBorder="1"/>
    <xf numFmtId="0" fontId="67" fillId="17" borderId="1" xfId="0" applyFont="1" applyFill="1" applyBorder="1" applyAlignment="1">
      <alignment vertical="top" wrapText="1"/>
    </xf>
    <xf numFmtId="0" fontId="0" fillId="5" borderId="1" xfId="0" applyFill="1" applyBorder="1" applyAlignment="1">
      <alignment horizontal="left" vertical="top" wrapText="1"/>
    </xf>
    <xf numFmtId="168" fontId="0" fillId="0" borderId="1" xfId="0" applyNumberFormat="1" applyBorder="1" applyAlignment="1">
      <alignment vertical="top" wrapText="1"/>
    </xf>
    <xf numFmtId="168" fontId="0" fillId="0" borderId="10" xfId="0" applyNumberFormat="1" applyBorder="1" applyAlignment="1">
      <alignment horizontal="center" vertical="top" wrapText="1"/>
    </xf>
    <xf numFmtId="168" fontId="27" fillId="0" borderId="10" xfId="0" applyNumberFormat="1" applyFont="1" applyBorder="1" applyAlignment="1">
      <alignment horizontal="center" vertical="top" wrapText="1"/>
    </xf>
    <xf numFmtId="168" fontId="27" fillId="0" borderId="1" xfId="0" applyNumberFormat="1" applyFont="1" applyBorder="1" applyAlignment="1">
      <alignment horizontal="justify" vertical="top" wrapText="1"/>
    </xf>
    <xf numFmtId="0" fontId="64" fillId="5" borderId="1" xfId="0" applyFont="1" applyFill="1" applyBorder="1"/>
    <xf numFmtId="0" fontId="34" fillId="0" borderId="1" xfId="0" applyFont="1" applyBorder="1"/>
    <xf numFmtId="0" fontId="0" fillId="0" borderId="1" xfId="0" applyBorder="1" applyAlignment="1">
      <alignment vertical="top" wrapText="1"/>
    </xf>
    <xf numFmtId="0" fontId="0" fillId="5" borderId="1" xfId="0" applyFill="1" applyBorder="1" applyAlignment="1">
      <alignment vertical="top" wrapText="1"/>
    </xf>
    <xf numFmtId="168" fontId="0" fillId="5" borderId="8" xfId="0" applyNumberFormat="1" applyFill="1" applyBorder="1" applyAlignment="1">
      <alignment horizontal="justify" vertical="top"/>
    </xf>
    <xf numFmtId="0" fontId="0" fillId="0" borderId="8" xfId="0" applyBorder="1" applyAlignment="1">
      <alignment vertical="top" wrapText="1"/>
    </xf>
    <xf numFmtId="168" fontId="0" fillId="0" borderId="15" xfId="0" applyNumberFormat="1" applyBorder="1" applyAlignment="1">
      <alignment horizontal="center" vertical="top" wrapText="1"/>
    </xf>
    <xf numFmtId="0" fontId="35" fillId="4" borderId="1" xfId="0" applyFont="1" applyFill="1" applyBorder="1" applyAlignment="1">
      <alignment horizontal="left" vertical="top" wrapText="1"/>
    </xf>
    <xf numFmtId="168" fontId="0" fillId="0" borderId="1" xfId="0" applyNumberFormat="1" applyBorder="1" applyAlignment="1">
      <alignment horizontal="left" vertical="top" wrapText="1"/>
    </xf>
    <xf numFmtId="0" fontId="19" fillId="0" borderId="1" xfId="0" applyFont="1" applyBorder="1" applyAlignment="1">
      <alignment vertical="top" wrapText="1"/>
    </xf>
    <xf numFmtId="168" fontId="30" fillId="0" borderId="1" xfId="0" applyNumberFormat="1" applyFont="1" applyBorder="1" applyAlignment="1">
      <alignment horizontal="left" vertical="top" wrapText="1"/>
    </xf>
    <xf numFmtId="168" fontId="0" fillId="0" borderId="10" xfId="0" applyNumberFormat="1" applyBorder="1" applyAlignment="1">
      <alignment horizontal="justify" vertical="top"/>
    </xf>
    <xf numFmtId="0" fontId="19" fillId="0" borderId="10" xfId="0" applyFont="1" applyBorder="1" applyAlignment="1">
      <alignment vertical="top" wrapText="1"/>
    </xf>
    <xf numFmtId="168" fontId="0" fillId="0" borderId="5" xfId="0" applyNumberFormat="1" applyBorder="1" applyAlignment="1">
      <alignment horizontal="justify" vertical="top"/>
    </xf>
    <xf numFmtId="0" fontId="19" fillId="0" borderId="5" xfId="0" applyFont="1" applyBorder="1" applyAlignment="1">
      <alignment vertical="top" wrapText="1"/>
    </xf>
    <xf numFmtId="0" fontId="13" fillId="17" borderId="1" xfId="6" quotePrefix="1" applyFont="1" applyFill="1" applyBorder="1" applyAlignment="1" applyProtection="1">
      <alignment horizontal="center" vertical="top" wrapText="1"/>
    </xf>
    <xf numFmtId="0" fontId="67" fillId="17" borderId="1" xfId="0" applyFont="1" applyFill="1" applyBorder="1" applyAlignment="1">
      <alignment horizontal="center" vertical="top" wrapText="1"/>
    </xf>
    <xf numFmtId="0" fontId="67" fillId="17" borderId="1" xfId="0" quotePrefix="1" applyFont="1" applyFill="1" applyBorder="1" applyAlignment="1">
      <alignment horizontal="left" vertical="top" wrapText="1"/>
    </xf>
    <xf numFmtId="0" fontId="67" fillId="17" borderId="1" xfId="0" applyFont="1" applyFill="1" applyBorder="1" applyAlignment="1">
      <alignment horizontal="left" vertical="top" wrapText="1"/>
    </xf>
    <xf numFmtId="0" fontId="67" fillId="17" borderId="1" xfId="0" applyFont="1" applyFill="1" applyBorder="1" applyAlignment="1">
      <alignment horizontal="justify" vertical="top" wrapText="1"/>
    </xf>
    <xf numFmtId="0" fontId="0" fillId="17" borderId="1" xfId="0" applyFill="1" applyBorder="1" applyAlignment="1">
      <alignment horizontal="left" vertical="top" wrapText="1"/>
    </xf>
    <xf numFmtId="0" fontId="30" fillId="17" borderId="1" xfId="0" applyFont="1" applyFill="1" applyBorder="1" applyAlignment="1">
      <alignment horizontal="justify" vertical="top" wrapText="1"/>
    </xf>
    <xf numFmtId="0" fontId="6" fillId="17" borderId="1" xfId="0" applyFont="1" applyFill="1" applyBorder="1" applyAlignment="1">
      <alignment horizontal="justify" vertical="top" wrapText="1"/>
    </xf>
    <xf numFmtId="0" fontId="67" fillId="17" borderId="5" xfId="0" applyFont="1" applyFill="1" applyBorder="1" applyAlignment="1">
      <alignment horizontal="justify" vertical="top" wrapText="1"/>
    </xf>
    <xf numFmtId="0" fontId="67" fillId="17" borderId="12" xfId="0" applyFont="1" applyFill="1" applyBorder="1" applyAlignment="1">
      <alignment horizontal="justify" vertical="top" wrapText="1"/>
    </xf>
    <xf numFmtId="0" fontId="0" fillId="17" borderId="10" xfId="0" applyFill="1" applyBorder="1" applyAlignment="1">
      <alignment horizontal="left" vertical="top" wrapText="1"/>
    </xf>
    <xf numFmtId="0" fontId="63" fillId="17" borderId="5" xfId="6" applyFont="1" applyFill="1" applyBorder="1" applyProtection="1"/>
    <xf numFmtId="0" fontId="0" fillId="17" borderId="35" xfId="0" applyFill="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justify" vertical="top"/>
    </xf>
    <xf numFmtId="0" fontId="67" fillId="0" borderId="1" xfId="0" applyFont="1" applyBorder="1" applyAlignment="1">
      <alignment horizontal="justify" vertical="top" wrapText="1"/>
    </xf>
    <xf numFmtId="168" fontId="67" fillId="0" borderId="1" xfId="0" applyNumberFormat="1" applyFont="1" applyBorder="1" applyAlignment="1">
      <alignment horizontal="left" vertical="top" wrapText="1"/>
    </xf>
    <xf numFmtId="0" fontId="53" fillId="0" borderId="1" xfId="0" applyFont="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justify" vertical="top" wrapText="1"/>
    </xf>
    <xf numFmtId="0" fontId="59" fillId="0" borderId="1" xfId="0" applyFont="1" applyBorder="1"/>
    <xf numFmtId="0" fontId="0" fillId="0" borderId="9" xfId="0" applyBorder="1" applyAlignment="1">
      <alignment horizontal="center" vertical="top" wrapText="1"/>
    </xf>
    <xf numFmtId="0" fontId="59" fillId="0" borderId="8" xfId="0" applyFont="1" applyBorder="1"/>
    <xf numFmtId="0" fontId="0" fillId="0" borderId="1" xfId="0" applyBorder="1" applyAlignment="1">
      <alignment horizontal="left" vertical="top"/>
    </xf>
    <xf numFmtId="0" fontId="67" fillId="0" borderId="1" xfId="0" applyFont="1" applyBorder="1" applyAlignment="1">
      <alignment vertical="top" wrapText="1"/>
    </xf>
    <xf numFmtId="0" fontId="0" fillId="0" borderId="1" xfId="0" applyBorder="1" applyAlignment="1">
      <alignment horizontal="left"/>
    </xf>
    <xf numFmtId="14" fontId="47" fillId="0" borderId="3" xfId="0" applyNumberFormat="1" applyFont="1" applyBorder="1" applyProtection="1">
      <protection locked="0"/>
    </xf>
    <xf numFmtId="49" fontId="71" fillId="0" borderId="0" xfId="0" applyNumberFormat="1" applyFont="1"/>
    <xf numFmtId="0" fontId="1" fillId="0" borderId="0" xfId="7" applyFont="1" applyAlignment="1" applyProtection="1">
      <alignment horizontal="left" vertical="top" wrapText="1"/>
      <protection locked="0"/>
    </xf>
    <xf numFmtId="175" fontId="41" fillId="0" borderId="0" xfId="0" applyNumberFormat="1" applyFont="1"/>
    <xf numFmtId="49" fontId="41" fillId="0" borderId="0" xfId="0" applyNumberFormat="1" applyFont="1"/>
    <xf numFmtId="0" fontId="1" fillId="0" borderId="0" xfId="7" applyFont="1" applyProtection="1">
      <protection locked="0"/>
    </xf>
    <xf numFmtId="175" fontId="41" fillId="0" borderId="37" xfId="0" applyNumberFormat="1" applyFont="1" applyBorder="1"/>
    <xf numFmtId="40" fontId="5" fillId="18" borderId="0" xfId="7" applyNumberFormat="1" applyFill="1" applyProtection="1">
      <protection locked="0"/>
    </xf>
    <xf numFmtId="175" fontId="41" fillId="18" borderId="0" xfId="0" applyNumberFormat="1" applyFont="1" applyFill="1"/>
    <xf numFmtId="175" fontId="41" fillId="19" borderId="0" xfId="0" applyNumberFormat="1" applyFont="1" applyFill="1"/>
    <xf numFmtId="175" fontId="41" fillId="20" borderId="0" xfId="0" applyNumberFormat="1" applyFont="1" applyFill="1"/>
    <xf numFmtId="175" fontId="41" fillId="21" borderId="0" xfId="0" applyNumberFormat="1" applyFont="1" applyFill="1"/>
    <xf numFmtId="40" fontId="5" fillId="21" borderId="0" xfId="7" applyNumberFormat="1" applyFill="1" applyProtection="1">
      <protection locked="0"/>
    </xf>
    <xf numFmtId="0" fontId="0" fillId="0" borderId="3" xfId="0" applyBorder="1"/>
    <xf numFmtId="0" fontId="0" fillId="0" borderId="7" xfId="0" applyBorder="1" applyAlignment="1">
      <alignment horizontal="center"/>
    </xf>
    <xf numFmtId="0" fontId="47" fillId="0" borderId="3" xfId="0" applyFont="1" applyBorder="1" applyProtection="1">
      <protection locked="0"/>
    </xf>
    <xf numFmtId="0" fontId="0" fillId="0" borderId="3" xfId="0" applyBorder="1" applyAlignment="1" applyProtection="1">
      <alignment horizontal="center"/>
      <protection locked="0"/>
    </xf>
    <xf numFmtId="0" fontId="47" fillId="0" borderId="0" xfId="0" applyFont="1" applyProtection="1">
      <protection locked="0"/>
    </xf>
    <xf numFmtId="0" fontId="47" fillId="4" borderId="0" xfId="0" applyFont="1" applyFill="1"/>
    <xf numFmtId="0" fontId="34" fillId="4" borderId="0" xfId="0" applyFont="1" applyFill="1" applyAlignment="1">
      <alignment horizontal="left" vertical="top" wrapText="1"/>
    </xf>
    <xf numFmtId="0" fontId="22" fillId="4" borderId="0" xfId="0" applyFont="1" applyFill="1" applyAlignment="1">
      <alignment vertical="top" wrapText="1"/>
    </xf>
    <xf numFmtId="0" fontId="10" fillId="0" borderId="0" xfId="0" applyFont="1" applyAlignment="1">
      <alignment horizontal="center"/>
    </xf>
    <xf numFmtId="0" fontId="11" fillId="0" borderId="0" xfId="0" applyFont="1" applyAlignment="1">
      <alignment horizontal="center"/>
    </xf>
    <xf numFmtId="0" fontId="0" fillId="0" borderId="0" xfId="0"/>
    <xf numFmtId="0" fontId="34" fillId="0" borderId="0" xfId="0" applyFont="1" applyAlignment="1">
      <alignment horizontal="left" vertical="center" wrapText="1"/>
    </xf>
    <xf numFmtId="0" fontId="34" fillId="0" borderId="14" xfId="0" applyFont="1" applyBorder="1" applyAlignment="1">
      <alignment horizontal="left" vertical="center" wrapText="1"/>
    </xf>
    <xf numFmtId="0" fontId="7" fillId="16" borderId="0" xfId="6" applyFont="1" applyFill="1" applyAlignment="1" applyProtection="1">
      <alignment horizontal="center" wrapText="1"/>
    </xf>
    <xf numFmtId="0" fontId="32" fillId="6" borderId="0" xfId="6" applyFont="1" applyFill="1" applyAlignment="1" applyProtection="1">
      <alignment horizontal="center"/>
    </xf>
    <xf numFmtId="0" fontId="0" fillId="0" borderId="3" xfId="0" applyBorder="1" applyAlignment="1" applyProtection="1">
      <alignment horizontal="left"/>
      <protection locked="0"/>
    </xf>
    <xf numFmtId="0" fontId="0" fillId="0" borderId="34" xfId="0" applyBorder="1" applyAlignment="1" applyProtection="1">
      <alignment horizontal="left"/>
      <protection locked="0"/>
    </xf>
    <xf numFmtId="0" fontId="67" fillId="0" borderId="0" xfId="0" applyFont="1" applyAlignment="1">
      <alignment horizontal="center" wrapText="1"/>
    </xf>
    <xf numFmtId="0" fontId="0" fillId="0" borderId="7" xfId="0" applyBorder="1" applyAlignment="1">
      <alignment horizontal="center" vertical="top"/>
    </xf>
    <xf numFmtId="0" fontId="0" fillId="0" borderId="0" xfId="0" applyAlignment="1">
      <alignment horizontal="center"/>
    </xf>
    <xf numFmtId="0" fontId="34" fillId="4" borderId="0" xfId="0" applyFont="1" applyFill="1" applyAlignment="1">
      <alignment horizontal="left" vertical="center" wrapText="1"/>
    </xf>
    <xf numFmtId="0" fontId="34" fillId="4" borderId="14" xfId="0" applyFont="1" applyFill="1" applyBorder="1" applyAlignment="1">
      <alignment horizontal="left" vertical="center" wrapText="1"/>
    </xf>
    <xf numFmtId="0" fontId="6" fillId="0" borderId="0" xfId="0" applyFont="1" applyAlignment="1">
      <alignment horizontal="left"/>
    </xf>
    <xf numFmtId="37" fontId="51" fillId="4" borderId="3" xfId="0" applyNumberFormat="1" applyFont="1" applyFill="1" applyBorder="1"/>
    <xf numFmtId="0" fontId="67" fillId="0" borderId="0" xfId="0" applyFont="1"/>
    <xf numFmtId="0" fontId="0" fillId="0" borderId="0" xfId="0" applyAlignment="1">
      <alignment horizontal="justify" wrapText="1"/>
    </xf>
    <xf numFmtId="0" fontId="0" fillId="0" borderId="3" xfId="0" applyBorder="1" applyProtection="1">
      <protection locked="0"/>
    </xf>
    <xf numFmtId="0" fontId="0" fillId="0" borderId="0" xfId="0" applyAlignment="1">
      <alignment horizontal="center" wrapText="1"/>
    </xf>
    <xf numFmtId="0" fontId="0" fillId="0" borderId="0" xfId="0" applyAlignment="1">
      <alignment horizontal="center" vertical="top"/>
    </xf>
    <xf numFmtId="49" fontId="0" fillId="0" borderId="3" xfId="0" applyNumberFormat="1" applyBorder="1" applyAlignment="1">
      <alignment horizontal="center"/>
    </xf>
    <xf numFmtId="0" fontId="0" fillId="0" borderId="3" xfId="0" applyBorder="1" applyAlignment="1">
      <alignment horizontal="center"/>
    </xf>
    <xf numFmtId="49" fontId="47" fillId="4" borderId="3" xfId="0" applyNumberFormat="1" applyFont="1" applyFill="1" applyBorder="1" applyProtection="1">
      <protection locked="0"/>
    </xf>
    <xf numFmtId="49" fontId="0" fillId="4" borderId="3" xfId="0" applyNumberFormat="1" applyFill="1" applyBorder="1" applyProtection="1">
      <protection locked="0"/>
    </xf>
    <xf numFmtId="0" fontId="23" fillId="0" borderId="1" xfId="0" applyFont="1" applyBorder="1" applyAlignment="1">
      <alignment horizontal="center" wrapText="1"/>
    </xf>
    <xf numFmtId="6" fontId="23" fillId="0" borderId="1" xfId="0" applyNumberFormat="1" applyFont="1" applyBorder="1" applyAlignment="1">
      <alignment horizontal="center"/>
    </xf>
    <xf numFmtId="0" fontId="17" fillId="6" borderId="0" xfId="6" applyFont="1" applyFill="1" applyBorder="1" applyAlignment="1" applyProtection="1">
      <alignment horizontal="center"/>
    </xf>
    <xf numFmtId="0" fontId="0" fillId="0" borderId="0" xfId="0" applyAlignment="1">
      <alignment horizontal="left"/>
    </xf>
    <xf numFmtId="0" fontId="6" fillId="0" borderId="0" xfId="0" applyFont="1"/>
    <xf numFmtId="10" fontId="51" fillId="4" borderId="1" xfId="0" applyNumberFormat="1" applyFont="1" applyFill="1" applyBorder="1"/>
    <xf numFmtId="10" fontId="0" fillId="4" borderId="1" xfId="0" applyNumberFormat="1" applyFill="1" applyBorder="1"/>
    <xf numFmtId="10" fontId="0" fillId="4" borderId="1" xfId="0" applyNumberFormat="1" applyFill="1" applyBorder="1" applyAlignment="1">
      <alignment horizontal="right"/>
    </xf>
    <xf numFmtId="0" fontId="0" fillId="0" borderId="10"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xf>
    <xf numFmtId="37" fontId="51" fillId="0" borderId="10" xfId="0" applyNumberFormat="1" applyFont="1" applyBorder="1" applyAlignment="1">
      <alignment horizontal="right"/>
    </xf>
    <xf numFmtId="37" fontId="51" fillId="0" borderId="5" xfId="0" applyNumberFormat="1" applyFont="1" applyBorder="1" applyAlignment="1">
      <alignment horizontal="right"/>
    </xf>
    <xf numFmtId="0" fontId="0" fillId="0" borderId="0" xfId="0" applyAlignment="1">
      <alignment horizontal="left" wrapText="1"/>
    </xf>
    <xf numFmtId="10" fontId="51" fillId="4" borderId="15" xfId="0" applyNumberFormat="1" applyFont="1" applyFill="1" applyBorder="1"/>
    <xf numFmtId="10" fontId="0" fillId="4" borderId="5" xfId="0" applyNumberFormat="1" applyFill="1" applyBorder="1"/>
    <xf numFmtId="0" fontId="0" fillId="0" borderId="9" xfId="9" applyFont="1" applyBorder="1" applyAlignment="1">
      <alignment horizontal="center"/>
    </xf>
    <xf numFmtId="0" fontId="0" fillId="0" borderId="8" xfId="9" applyFont="1" applyBorder="1" applyAlignment="1">
      <alignment horizontal="center"/>
    </xf>
    <xf numFmtId="0" fontId="25" fillId="0" borderId="0" xfId="0" applyFont="1" applyAlignment="1">
      <alignment horizontal="left" vertical="center" wrapText="1"/>
    </xf>
    <xf numFmtId="0" fontId="17" fillId="6" borderId="3" xfId="6" applyFont="1" applyFill="1" applyBorder="1" applyProtection="1"/>
    <xf numFmtId="37" fontId="0" fillId="9" borderId="12" xfId="0" applyNumberFormat="1" applyFill="1" applyBorder="1" applyAlignment="1">
      <alignment horizontal="center"/>
    </xf>
    <xf numFmtId="37" fontId="0" fillId="9" borderId="2" xfId="0" applyNumberFormat="1" applyFill="1" applyBorder="1" applyAlignment="1">
      <alignment horizontal="center"/>
    </xf>
    <xf numFmtId="37" fontId="0" fillId="9" borderId="1" xfId="0" applyNumberFormat="1" applyFill="1" applyBorder="1" applyAlignment="1">
      <alignment horizontal="center"/>
    </xf>
    <xf numFmtId="37" fontId="0" fillId="9" borderId="10" xfId="0" applyNumberFormat="1" applyFill="1" applyBorder="1" applyAlignment="1">
      <alignment horizontal="center"/>
    </xf>
    <xf numFmtId="37" fontId="0" fillId="9" borderId="5" xfId="0" applyNumberFormat="1" applyFill="1" applyBorder="1" applyAlignment="1">
      <alignment horizontal="center"/>
    </xf>
    <xf numFmtId="37" fontId="51" fillId="4" borderId="1" xfId="0" applyNumberFormat="1" applyFont="1" applyFill="1" applyBorder="1"/>
    <xf numFmtId="37" fontId="0" fillId="4" borderId="1" xfId="0" applyNumberFormat="1" applyFill="1" applyBorder="1"/>
    <xf numFmtId="37" fontId="0" fillId="9" borderId="15" xfId="0" applyNumberFormat="1" applyFill="1"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37" fontId="0" fillId="9" borderId="16" xfId="0" applyNumberFormat="1" applyFill="1" applyBorder="1" applyAlignment="1">
      <alignment horizontal="center"/>
    </xf>
    <xf numFmtId="0" fontId="0" fillId="0" borderId="4" xfId="0" applyBorder="1" applyAlignment="1">
      <alignment horizontal="center"/>
    </xf>
    <xf numFmtId="37" fontId="51" fillId="0" borderId="5" xfId="0" applyNumberFormat="1" applyFont="1" applyBorder="1"/>
    <xf numFmtId="37" fontId="0" fillId="0" borderId="1" xfId="0" applyNumberFormat="1" applyBorder="1"/>
    <xf numFmtId="0" fontId="6" fillId="0" borderId="3" xfId="0" applyFont="1" applyBorder="1" applyAlignment="1">
      <alignment horizontal="center"/>
    </xf>
    <xf numFmtId="0" fontId="6" fillId="0" borderId="0" xfId="0" applyFont="1" applyAlignment="1">
      <alignment horizontal="center"/>
    </xf>
    <xf numFmtId="0" fontId="32" fillId="6" borderId="10" xfId="6" applyFont="1" applyFill="1" applyBorder="1" applyAlignment="1" applyProtection="1">
      <alignment horizontal="center" wrapText="1"/>
    </xf>
    <xf numFmtId="0" fontId="32" fillId="6" borderId="15" xfId="6" applyFont="1" applyFill="1" applyBorder="1" applyAlignment="1" applyProtection="1">
      <alignment horizontal="center" wrapText="1"/>
    </xf>
    <xf numFmtId="0" fontId="32" fillId="6" borderId="35" xfId="6" applyFont="1" applyFill="1" applyBorder="1" applyAlignment="1" applyProtection="1">
      <alignment horizontal="center" wrapText="1"/>
    </xf>
    <xf numFmtId="49" fontId="32" fillId="6" borderId="0" xfId="6" applyNumberFormat="1" applyFont="1" applyFill="1" applyBorder="1" applyAlignment="1" applyProtection="1">
      <alignment horizontal="left" vertical="top" wrapText="1"/>
    </xf>
    <xf numFmtId="0" fontId="7" fillId="0" borderId="12" xfId="0" applyFont="1" applyBorder="1" applyAlignment="1">
      <alignment horizontal="center" wrapText="1"/>
    </xf>
    <xf numFmtId="0" fontId="7" fillId="0" borderId="7" xfId="0" applyFont="1" applyBorder="1" applyAlignment="1">
      <alignment horizontal="center" wrapText="1"/>
    </xf>
    <xf numFmtId="0" fontId="7" fillId="0" borderId="13" xfId="0" applyFont="1" applyBorder="1" applyAlignment="1">
      <alignment horizontal="center" wrapText="1"/>
    </xf>
    <xf numFmtId="0" fontId="32" fillId="6" borderId="0" xfId="6" applyFont="1" applyFill="1" applyAlignment="1" applyProtection="1">
      <alignment wrapText="1"/>
    </xf>
    <xf numFmtId="0" fontId="32" fillId="6" borderId="0" xfId="6" applyFont="1" applyFill="1" applyBorder="1" applyAlignment="1" applyProtection="1">
      <alignment wrapText="1"/>
    </xf>
    <xf numFmtId="0" fontId="32" fillId="6" borderId="0" xfId="6" applyFont="1" applyFill="1" applyAlignment="1" applyProtection="1">
      <alignment horizontal="left" vertical="top" wrapText="1"/>
    </xf>
    <xf numFmtId="37" fontId="0" fillId="0" borderId="9" xfId="0" applyNumberFormat="1" applyBorder="1" applyAlignment="1" applyProtection="1">
      <alignment horizontal="right"/>
      <protection locked="0"/>
    </xf>
    <xf numFmtId="37" fontId="0" fillId="0" borderId="4" xfId="0" applyNumberFormat="1" applyBorder="1" applyAlignment="1" applyProtection="1">
      <alignment horizontal="right"/>
      <protection locked="0"/>
    </xf>
    <xf numFmtId="37" fontId="0" fillId="0" borderId="8" xfId="0" applyNumberFormat="1" applyBorder="1" applyAlignment="1" applyProtection="1">
      <alignment horizontal="right"/>
      <protection locked="0"/>
    </xf>
    <xf numFmtId="0" fontId="7" fillId="0" borderId="2" xfId="0" applyFont="1" applyBorder="1" applyAlignment="1">
      <alignment horizontal="center" wrapText="1"/>
    </xf>
    <xf numFmtId="0" fontId="7" fillId="0" borderId="14" xfId="0" applyFont="1" applyBorder="1" applyAlignment="1">
      <alignment horizontal="center" wrapText="1"/>
    </xf>
    <xf numFmtId="49" fontId="51" fillId="4" borderId="12" xfId="0" applyNumberFormat="1" applyFont="1" applyFill="1" applyBorder="1" applyAlignment="1" applyProtection="1">
      <alignment vertical="top" wrapText="1"/>
      <protection locked="0"/>
    </xf>
    <xf numFmtId="49" fontId="0" fillId="4" borderId="7"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49" fontId="0" fillId="4" borderId="16"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37" fontId="0" fillId="0" borderId="16" xfId="0" applyNumberFormat="1" applyBorder="1" applyAlignment="1" applyProtection="1">
      <alignment horizontal="right"/>
      <protection locked="0"/>
    </xf>
    <xf numFmtId="37" fontId="0" fillId="0" borderId="3" xfId="0" applyNumberFormat="1" applyBorder="1" applyAlignment="1" applyProtection="1">
      <alignment horizontal="right"/>
      <protection locked="0"/>
    </xf>
    <xf numFmtId="37" fontId="0" fillId="0" borderId="17" xfId="0" applyNumberFormat="1" applyBorder="1" applyAlignment="1" applyProtection="1">
      <alignment horizontal="right"/>
      <protection locked="0"/>
    </xf>
    <xf numFmtId="0" fontId="7" fillId="0" borderId="16" xfId="0" applyFont="1" applyBorder="1" applyAlignment="1">
      <alignment horizontal="center" wrapText="1"/>
    </xf>
    <xf numFmtId="0" fontId="7" fillId="0" borderId="17" xfId="0" applyFont="1" applyBorder="1" applyAlignment="1">
      <alignment horizontal="center" wrapText="1"/>
    </xf>
    <xf numFmtId="37" fontId="0" fillId="0" borderId="12" xfId="0" applyNumberFormat="1" applyBorder="1" applyAlignment="1" applyProtection="1">
      <alignment horizontal="right"/>
      <protection locked="0"/>
    </xf>
    <xf numFmtId="37" fontId="0" fillId="0" borderId="7" xfId="0" applyNumberFormat="1" applyBorder="1" applyAlignment="1" applyProtection="1">
      <alignment horizontal="right"/>
      <protection locked="0"/>
    </xf>
    <xf numFmtId="37" fontId="0" fillId="0" borderId="13" xfId="0" applyNumberFormat="1" applyBorder="1" applyAlignment="1" applyProtection="1">
      <alignment horizontal="right"/>
      <protection locked="0"/>
    </xf>
    <xf numFmtId="0" fontId="7" fillId="0" borderId="0" xfId="0" applyFont="1" applyAlignment="1">
      <alignment horizontal="center" wrapText="1"/>
    </xf>
    <xf numFmtId="0" fontId="7" fillId="0" borderId="3" xfId="0" applyFont="1" applyBorder="1" applyAlignment="1">
      <alignment horizontal="center" wrapText="1"/>
    </xf>
    <xf numFmtId="37" fontId="51" fillId="0" borderId="10" xfId="0" applyNumberFormat="1" applyFont="1" applyBorder="1"/>
    <xf numFmtId="37" fontId="0" fillId="0" borderId="33" xfId="0" applyNumberFormat="1" applyBorder="1" applyAlignment="1">
      <alignment horizontal="right"/>
    </xf>
    <xf numFmtId="0" fontId="13" fillId="6" borderId="0" xfId="6" applyFont="1" applyFill="1" applyAlignment="1" applyProtection="1">
      <alignment horizontal="left" vertical="center" wrapText="1"/>
    </xf>
    <xf numFmtId="0" fontId="13" fillId="6" borderId="0" xfId="6" applyFont="1" applyFill="1" applyBorder="1" applyAlignment="1" applyProtection="1">
      <alignment horizontal="left" vertical="center" wrapText="1"/>
    </xf>
    <xf numFmtId="37" fontId="51" fillId="0" borderId="10" xfId="0" applyNumberFormat="1" applyFont="1" applyBorder="1" applyAlignment="1" applyProtection="1">
      <alignment vertical="center"/>
      <protection locked="0"/>
    </xf>
    <xf numFmtId="37" fontId="0" fillId="0" borderId="33" xfId="0" applyNumberFormat="1" applyBorder="1" applyAlignment="1" applyProtection="1">
      <alignment horizontal="right" vertical="center"/>
      <protection locked="0"/>
    </xf>
    <xf numFmtId="37" fontId="51" fillId="4" borderId="5" xfId="0" applyNumberFormat="1" applyFont="1" applyFill="1" applyBorder="1"/>
    <xf numFmtId="37" fontId="0" fillId="4" borderId="21" xfId="0" applyNumberFormat="1" applyFill="1" applyBorder="1"/>
    <xf numFmtId="0" fontId="32" fillId="6" borderId="0" xfId="6" applyFont="1" applyFill="1" applyAlignment="1" applyProtection="1">
      <alignment horizontal="left"/>
    </xf>
    <xf numFmtId="0" fontId="0" fillId="0" borderId="0" xfId="6" applyFont="1" applyFill="1" applyBorder="1" applyAlignment="1" applyProtection="1">
      <alignment horizontal="left" wrapText="1"/>
    </xf>
    <xf numFmtId="0" fontId="32" fillId="6" borderId="0" xfId="6" applyFont="1" applyFill="1" applyAlignment="1" applyProtection="1">
      <alignment vertical="top" wrapText="1"/>
    </xf>
    <xf numFmtId="0" fontId="17" fillId="6" borderId="0" xfId="6" applyFont="1" applyFill="1" applyAlignment="1" applyProtection="1">
      <alignment horizontal="center"/>
    </xf>
    <xf numFmtId="0" fontId="32" fillId="6" borderId="0" xfId="6" applyFont="1" applyFill="1" applyBorder="1" applyAlignment="1" applyProtection="1">
      <alignment horizontal="center"/>
    </xf>
    <xf numFmtId="0" fontId="0" fillId="0" borderId="16" xfId="0" applyBorder="1" applyAlignment="1">
      <alignment horizontal="center"/>
    </xf>
    <xf numFmtId="0" fontId="0" fillId="0" borderId="17" xfId="0" applyBorder="1" applyAlignment="1">
      <alignment horizontal="center"/>
    </xf>
    <xf numFmtId="0" fontId="67" fillId="17" borderId="0" xfId="0" applyFont="1" applyFill="1" applyAlignment="1">
      <alignment wrapText="1"/>
    </xf>
    <xf numFmtId="168" fontId="32" fillId="6" borderId="0" xfId="6" applyNumberFormat="1" applyFont="1" applyFill="1" applyBorder="1" applyAlignment="1" applyProtection="1">
      <alignment horizontal="left"/>
    </xf>
    <xf numFmtId="0" fontId="67" fillId="0" borderId="0" xfId="0" applyFont="1" applyAlignment="1">
      <alignment wrapText="1"/>
    </xf>
    <xf numFmtId="168" fontId="67" fillId="5" borderId="0" xfId="0" applyNumberFormat="1" applyFont="1" applyFill="1" applyAlignment="1">
      <alignment horizontal="left"/>
    </xf>
    <xf numFmtId="168" fontId="67" fillId="5" borderId="14" xfId="0" applyNumberFormat="1" applyFont="1" applyFill="1" applyBorder="1" applyAlignment="1">
      <alignment horizontal="left"/>
    </xf>
    <xf numFmtId="168" fontId="0" fillId="5" borderId="0" xfId="0" applyNumberFormat="1" applyFill="1" applyAlignment="1">
      <alignment horizontal="left"/>
    </xf>
    <xf numFmtId="168" fontId="0" fillId="5" borderId="14" xfId="0" applyNumberFormat="1" applyFill="1" applyBorder="1" applyAlignment="1">
      <alignment horizontal="left"/>
    </xf>
    <xf numFmtId="168" fontId="30" fillId="5" borderId="0" xfId="0" applyNumberFormat="1" applyFont="1" applyFill="1" applyAlignment="1">
      <alignment horizontal="left"/>
    </xf>
    <xf numFmtId="0" fontId="0" fillId="0" borderId="0" xfId="0" quotePrefix="1" applyAlignment="1">
      <alignment horizontal="left"/>
    </xf>
    <xf numFmtId="168" fontId="6" fillId="5" borderId="0" xfId="0" applyNumberFormat="1" applyFont="1" applyFill="1" applyAlignment="1">
      <alignment horizontal="center"/>
    </xf>
    <xf numFmtId="0" fontId="0" fillId="0" borderId="1" xfId="0" applyBorder="1" applyAlignment="1">
      <alignment horizontal="center"/>
    </xf>
    <xf numFmtId="168" fontId="30" fillId="5" borderId="14" xfId="0" applyNumberFormat="1" applyFont="1" applyFill="1" applyBorder="1" applyAlignment="1">
      <alignment horizontal="left"/>
    </xf>
    <xf numFmtId="0" fontId="30" fillId="0" borderId="9" xfId="10" applyFont="1" applyBorder="1" applyAlignment="1">
      <alignment horizontal="left"/>
    </xf>
    <xf numFmtId="0" fontId="30" fillId="0" borderId="4" xfId="10" applyFont="1" applyBorder="1" applyAlignment="1">
      <alignment horizontal="left"/>
    </xf>
    <xf numFmtId="0" fontId="30" fillId="0" borderId="8" xfId="10" applyFont="1" applyBorder="1" applyAlignment="1">
      <alignment horizontal="left"/>
    </xf>
    <xf numFmtId="168" fontId="34" fillId="0" borderId="0" xfId="10" applyNumberFormat="1" applyFont="1" applyAlignment="1">
      <alignment horizontal="center" vertical="center" wrapText="1"/>
    </xf>
    <xf numFmtId="168" fontId="34" fillId="0" borderId="0" xfId="10" quotePrefix="1" applyNumberFormat="1" applyFont="1" applyAlignment="1">
      <alignment horizontal="center" vertical="center" wrapText="1"/>
    </xf>
    <xf numFmtId="0" fontId="17" fillId="6" borderId="9" xfId="6" applyFont="1" applyFill="1" applyBorder="1" applyProtection="1"/>
    <xf numFmtId="0" fontId="17" fillId="6" borderId="4" xfId="6" applyFont="1" applyFill="1" applyBorder="1" applyProtection="1"/>
    <xf numFmtId="0" fontId="17" fillId="6" borderId="8" xfId="6" applyFont="1" applyFill="1" applyBorder="1" applyProtection="1"/>
    <xf numFmtId="168" fontId="30" fillId="5" borderId="0" xfId="10" applyNumberFormat="1" applyFont="1" applyFill="1" applyAlignment="1">
      <alignment horizontal="left"/>
    </xf>
    <xf numFmtId="0" fontId="0" fillId="0" borderId="9"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7" fillId="6" borderId="12" xfId="6" applyFont="1" applyFill="1" applyBorder="1" applyProtection="1"/>
    <xf numFmtId="0" fontId="17" fillId="6" borderId="7" xfId="6" applyFont="1" applyFill="1" applyBorder="1" applyProtection="1"/>
    <xf numFmtId="0" fontId="17" fillId="6" borderId="13" xfId="6" applyFont="1" applyFill="1" applyBorder="1" applyProtection="1"/>
    <xf numFmtId="0" fontId="17" fillId="6" borderId="16" xfId="6" applyFont="1" applyFill="1" applyBorder="1" applyProtection="1"/>
    <xf numFmtId="0" fontId="17" fillId="6" borderId="17" xfId="6" applyFont="1" applyFill="1" applyBorder="1" applyProtection="1"/>
    <xf numFmtId="0" fontId="30" fillId="0" borderId="9" xfId="0" applyFont="1" applyBorder="1"/>
    <xf numFmtId="0" fontId="30" fillId="0" borderId="4" xfId="0" applyFont="1" applyBorder="1"/>
    <xf numFmtId="0" fontId="30" fillId="0" borderId="8" xfId="0" applyFont="1" applyBorder="1"/>
    <xf numFmtId="168" fontId="45" fillId="0" borderId="7" xfId="12" applyNumberFormat="1" applyFont="1" applyFill="1" applyBorder="1" applyAlignment="1" applyProtection="1">
      <alignment horizontal="left" vertical="top"/>
    </xf>
    <xf numFmtId="168" fontId="45" fillId="0" borderId="0" xfId="12" applyNumberFormat="1" applyFont="1" applyFill="1" applyBorder="1" applyAlignment="1" applyProtection="1">
      <alignment horizontal="left" vertical="top"/>
    </xf>
    <xf numFmtId="0" fontId="54" fillId="0" borderId="9" xfId="10" applyFont="1" applyBorder="1" applyAlignment="1">
      <alignment horizontal="center"/>
    </xf>
    <xf numFmtId="0" fontId="54" fillId="0" borderId="4" xfId="10" applyFont="1" applyBorder="1" applyAlignment="1">
      <alignment horizontal="center"/>
    </xf>
    <xf numFmtId="0" fontId="54" fillId="0" borderId="8" xfId="10" applyFont="1" applyBorder="1" applyAlignment="1">
      <alignment horizontal="center"/>
    </xf>
    <xf numFmtId="168" fontId="30" fillId="5" borderId="10" xfId="10" applyNumberFormat="1" applyFont="1" applyFill="1" applyBorder="1" applyAlignment="1">
      <alignment horizontal="center" vertical="center"/>
    </xf>
    <xf numFmtId="168" fontId="30" fillId="5" borderId="15" xfId="10" applyNumberFormat="1" applyFont="1" applyFill="1" applyBorder="1" applyAlignment="1">
      <alignment horizontal="center" vertical="center"/>
    </xf>
    <xf numFmtId="168" fontId="30" fillId="5" borderId="5" xfId="10" applyNumberFormat="1" applyFont="1" applyFill="1" applyBorder="1" applyAlignment="1">
      <alignment horizontal="center" vertical="center"/>
    </xf>
    <xf numFmtId="168" fontId="54" fillId="5" borderId="0" xfId="10" applyNumberFormat="1" applyFont="1" applyFill="1"/>
    <xf numFmtId="168" fontId="54" fillId="5" borderId="14" xfId="10" applyNumberFormat="1" applyFont="1" applyFill="1" applyBorder="1"/>
    <xf numFmtId="168" fontId="54" fillId="5" borderId="3" xfId="10" applyNumberFormat="1" applyFont="1" applyFill="1" applyBorder="1"/>
    <xf numFmtId="168" fontId="54" fillId="5" borderId="17" xfId="10" applyNumberFormat="1" applyFont="1" applyFill="1" applyBorder="1"/>
    <xf numFmtId="168" fontId="34" fillId="0" borderId="0" xfId="10" applyNumberFormat="1" applyFont="1" applyAlignment="1">
      <alignment horizontal="center" wrapText="1"/>
    </xf>
    <xf numFmtId="0" fontId="30" fillId="0" borderId="3" xfId="10" applyFont="1" applyBorder="1" applyAlignment="1">
      <alignment horizontal="center"/>
    </xf>
    <xf numFmtId="168" fontId="17" fillId="6" borderId="10" xfId="12" applyNumberFormat="1" applyFont="1" applyFill="1" applyBorder="1" applyAlignment="1" applyProtection="1">
      <alignment horizontal="center" wrapText="1"/>
    </xf>
    <xf numFmtId="168" fontId="17" fillId="6" borderId="5" xfId="12" applyNumberFormat="1" applyFont="1" applyFill="1" applyBorder="1" applyAlignment="1" applyProtection="1">
      <alignment horizontal="center" wrapText="1"/>
    </xf>
    <xf numFmtId="168" fontId="33" fillId="6" borderId="10" xfId="12" applyNumberFormat="1" applyFont="1" applyFill="1" applyBorder="1" applyAlignment="1" applyProtection="1">
      <alignment horizontal="center" wrapText="1"/>
    </xf>
    <xf numFmtId="168" fontId="33" fillId="6" borderId="5" xfId="12" applyNumberFormat="1" applyFont="1" applyFill="1" applyBorder="1" applyAlignment="1" applyProtection="1">
      <alignment horizontal="center" wrapText="1"/>
    </xf>
    <xf numFmtId="49" fontId="0" fillId="5" borderId="2" xfId="0" applyNumberFormat="1" applyFill="1" applyBorder="1" applyAlignment="1">
      <alignment horizontal="left" wrapText="1"/>
    </xf>
    <xf numFmtId="49" fontId="0" fillId="5" borderId="0" xfId="0" applyNumberFormat="1" applyFill="1" applyAlignment="1">
      <alignment horizontal="left" wrapText="1"/>
    </xf>
    <xf numFmtId="0" fontId="66" fillId="0" borderId="0" xfId="0" applyFont="1" applyAlignment="1">
      <alignment horizontal="center"/>
    </xf>
    <xf numFmtId="49" fontId="0" fillId="5" borderId="16" xfId="0" applyNumberFormat="1" applyFill="1" applyBorder="1" applyAlignment="1">
      <alignment wrapText="1"/>
    </xf>
    <xf numFmtId="49" fontId="0" fillId="5" borderId="3" xfId="0" applyNumberFormat="1" applyFill="1" applyBorder="1" applyAlignment="1">
      <alignment wrapText="1"/>
    </xf>
    <xf numFmtId="0" fontId="6" fillId="0" borderId="0" xfId="0" applyFont="1" applyAlignment="1">
      <alignment horizontal="right"/>
    </xf>
    <xf numFmtId="0" fontId="65" fillId="6" borderId="10" xfId="6" applyFont="1" applyFill="1" applyBorder="1" applyAlignment="1" applyProtection="1">
      <alignment horizontal="center"/>
    </xf>
    <xf numFmtId="0" fontId="65" fillId="6" borderId="5" xfId="6" applyFont="1" applyFill="1" applyBorder="1" applyAlignment="1" applyProtection="1">
      <alignment horizontal="center"/>
    </xf>
    <xf numFmtId="0" fontId="65" fillId="6" borderId="10" xfId="6" applyFont="1" applyFill="1" applyBorder="1" applyAlignment="1" applyProtection="1">
      <alignment horizontal="center" wrapText="1"/>
    </xf>
    <xf numFmtId="0" fontId="65" fillId="6" borderId="5" xfId="6" applyFont="1" applyFill="1" applyBorder="1" applyAlignment="1" applyProtection="1">
      <alignment horizontal="center" wrapText="1"/>
    </xf>
    <xf numFmtId="38" fontId="49" fillId="0" borderId="24" xfId="13" applyNumberFormat="1" applyFont="1" applyBorder="1" applyAlignment="1">
      <alignment horizontal="center" wrapText="1"/>
    </xf>
    <xf numFmtId="38" fontId="49" fillId="0" borderId="15" xfId="13" applyNumberFormat="1" applyFont="1" applyBorder="1" applyAlignment="1">
      <alignment horizontal="center" wrapText="1"/>
    </xf>
    <xf numFmtId="38" fontId="49" fillId="0" borderId="10" xfId="13" applyNumberFormat="1" applyFont="1" applyBorder="1" applyAlignment="1">
      <alignment horizontal="center" wrapText="1"/>
    </xf>
    <xf numFmtId="0" fontId="64" fillId="0" borderId="3" xfId="13" applyBorder="1" applyAlignment="1">
      <alignment horizontal="center"/>
    </xf>
    <xf numFmtId="37" fontId="49" fillId="0" borderId="22" xfId="13" applyNumberFormat="1" applyFont="1" applyBorder="1" applyAlignment="1">
      <alignment horizontal="center" wrapText="1"/>
    </xf>
    <xf numFmtId="37" fontId="49" fillId="0" borderId="25" xfId="13" applyNumberFormat="1" applyFont="1" applyBorder="1" applyAlignment="1">
      <alignment horizontal="center" wrapText="1"/>
    </xf>
    <xf numFmtId="37" fontId="49" fillId="0" borderId="27" xfId="13" applyNumberFormat="1" applyFont="1" applyBorder="1" applyAlignment="1">
      <alignment horizontal="center" wrapText="1"/>
    </xf>
    <xf numFmtId="9" fontId="0" fillId="0" borderId="12" xfId="0" applyNumberFormat="1" applyBorder="1" applyAlignment="1" applyProtection="1">
      <alignment horizontal="center" wrapText="1"/>
      <protection locked="0"/>
    </xf>
    <xf numFmtId="9" fontId="0" fillId="0" borderId="7" xfId="0" applyNumberFormat="1" applyBorder="1" applyAlignment="1" applyProtection="1">
      <alignment horizontal="center" wrapText="1"/>
      <protection locked="0"/>
    </xf>
    <xf numFmtId="9" fontId="0" fillId="0" borderId="13" xfId="0" applyNumberFormat="1" applyBorder="1" applyAlignment="1" applyProtection="1">
      <alignment horizontal="center" wrapText="1"/>
      <protection locked="0"/>
    </xf>
    <xf numFmtId="9" fontId="0" fillId="0" borderId="2" xfId="0" applyNumberFormat="1" applyBorder="1" applyAlignment="1" applyProtection="1">
      <alignment horizontal="center" wrapText="1"/>
      <protection locked="0"/>
    </xf>
    <xf numFmtId="9" fontId="0" fillId="0" borderId="0" xfId="0" applyNumberFormat="1" applyAlignment="1" applyProtection="1">
      <alignment horizontal="center" wrapText="1"/>
      <protection locked="0"/>
    </xf>
    <xf numFmtId="9" fontId="0" fillId="0" borderId="14" xfId="0" applyNumberFormat="1" applyBorder="1" applyAlignment="1" applyProtection="1">
      <alignment horizontal="center" wrapText="1"/>
      <protection locked="0"/>
    </xf>
    <xf numFmtId="9" fontId="0" fillId="0" borderId="16" xfId="0" applyNumberFormat="1" applyBorder="1" applyAlignment="1" applyProtection="1">
      <alignment horizontal="center" wrapText="1"/>
      <protection locked="0"/>
    </xf>
    <xf numFmtId="9" fontId="0" fillId="0" borderId="3" xfId="0" applyNumberFormat="1" applyBorder="1" applyAlignment="1" applyProtection="1">
      <alignment horizontal="center" wrapText="1"/>
      <protection locked="0"/>
    </xf>
    <xf numFmtId="9" fontId="0" fillId="0" borderId="17" xfId="0" applyNumberFormat="1" applyBorder="1" applyAlignment="1" applyProtection="1">
      <alignment horizontal="center" wrapText="1"/>
      <protection locked="0"/>
    </xf>
    <xf numFmtId="0" fontId="6" fillId="0" borderId="9" xfId="0" applyFont="1" applyBorder="1" applyAlignment="1">
      <alignment horizontal="left" wrapText="1"/>
    </xf>
    <xf numFmtId="0" fontId="6" fillId="0" borderId="4" xfId="0" applyFont="1" applyBorder="1" applyAlignment="1">
      <alignment horizontal="left" wrapText="1"/>
    </xf>
    <xf numFmtId="0" fontId="6" fillId="0" borderId="8" xfId="0" applyFont="1" applyBorder="1" applyAlignment="1">
      <alignment horizontal="left" wrapText="1"/>
    </xf>
    <xf numFmtId="9" fontId="0" fillId="0" borderId="9" xfId="0" applyNumberFormat="1" applyBorder="1" applyAlignment="1" applyProtection="1">
      <alignment horizontal="center" wrapText="1"/>
      <protection locked="0"/>
    </xf>
    <xf numFmtId="9" fontId="0" fillId="0" borderId="4" xfId="0" applyNumberFormat="1" applyBorder="1" applyAlignment="1" applyProtection="1">
      <alignment horizontal="center" wrapText="1"/>
      <protection locked="0"/>
    </xf>
    <xf numFmtId="9" fontId="0" fillId="0" borderId="8" xfId="0" applyNumberFormat="1"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8" xfId="0" applyBorder="1" applyAlignment="1" applyProtection="1">
      <alignment horizontal="center" wrapText="1"/>
      <protection locked="0"/>
    </xf>
    <xf numFmtId="168" fontId="56" fillId="6" borderId="0" xfId="6" applyNumberFormat="1" applyFont="1" applyFill="1" applyAlignment="1" applyProtection="1">
      <alignment horizontal="left"/>
    </xf>
    <xf numFmtId="0" fontId="0" fillId="0" borderId="0" xfId="0" applyAlignment="1">
      <alignment horizontal="left" vertical="top" wrapText="1"/>
    </xf>
    <xf numFmtId="0" fontId="0" fillId="0" borderId="14" xfId="0" applyBorder="1" applyAlignment="1">
      <alignment horizontal="left" vertical="top" wrapText="1"/>
    </xf>
    <xf numFmtId="37" fontId="6" fillId="0" borderId="0" xfId="8" applyNumberFormat="1" applyFont="1" applyAlignment="1">
      <alignment horizontal="left" wrapText="1"/>
    </xf>
    <xf numFmtId="168" fontId="33" fillId="6" borderId="0" xfId="6" applyNumberFormat="1" applyFont="1" applyFill="1" applyAlignment="1" applyProtection="1">
      <alignment horizontal="left"/>
    </xf>
    <xf numFmtId="0" fontId="0" fillId="0" borderId="0" xfId="0" quotePrefix="1" applyAlignment="1">
      <alignment horizontal="right" vertical="top"/>
    </xf>
    <xf numFmtId="0" fontId="54" fillId="0" borderId="0" xfId="0" applyFont="1"/>
    <xf numFmtId="0" fontId="54" fillId="0" borderId="0" xfId="0" applyFont="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58" fillId="0" borderId="9" xfId="7" applyFont="1" applyBorder="1" applyAlignment="1">
      <alignment horizontal="center"/>
    </xf>
    <xf numFmtId="0" fontId="58" fillId="0" borderId="4" xfId="7" applyFont="1" applyBorder="1" applyAlignment="1">
      <alignment horizontal="center"/>
    </xf>
    <xf numFmtId="0" fontId="58" fillId="0" borderId="8" xfId="7" applyFont="1" applyBorder="1" applyAlignment="1">
      <alignment horizontal="center"/>
    </xf>
    <xf numFmtId="168" fontId="56" fillId="6" borderId="0" xfId="6" applyNumberFormat="1" applyFont="1" applyFill="1" applyAlignment="1" applyProtection="1">
      <alignment horizontal="center"/>
    </xf>
    <xf numFmtId="0" fontId="13" fillId="17" borderId="10" xfId="6" quotePrefix="1" applyFont="1" applyFill="1" applyBorder="1" applyAlignment="1" applyProtection="1">
      <alignment horizontal="center" vertical="top" wrapText="1"/>
    </xf>
    <xf numFmtId="0" fontId="13" fillId="17" borderId="5" xfId="6" quotePrefix="1" applyFont="1" applyFill="1" applyBorder="1" applyAlignment="1" applyProtection="1">
      <alignment horizontal="center" vertical="top" wrapText="1"/>
    </xf>
    <xf numFmtId="0" fontId="67" fillId="17" borderId="10" xfId="0" applyFont="1" applyFill="1" applyBorder="1" applyAlignment="1">
      <alignment horizontal="center" vertical="top" wrapText="1"/>
    </xf>
    <xf numFmtId="0" fontId="67" fillId="17" borderId="16" xfId="0" applyFont="1" applyFill="1" applyBorder="1" applyAlignment="1">
      <alignment horizontal="center" vertical="top" wrapText="1"/>
    </xf>
    <xf numFmtId="168" fontId="13" fillId="5" borderId="12" xfId="6" applyNumberFormat="1" applyFont="1" applyFill="1" applyBorder="1" applyAlignment="1" applyProtection="1">
      <alignment horizontal="center" vertical="center"/>
    </xf>
    <xf numFmtId="168" fontId="13" fillId="5" borderId="13" xfId="6" applyNumberFormat="1" applyFont="1" applyFill="1" applyBorder="1" applyAlignment="1" applyProtection="1">
      <alignment horizontal="center" vertical="center"/>
    </xf>
    <xf numFmtId="168" fontId="13" fillId="5" borderId="2" xfId="6" applyNumberFormat="1" applyFont="1" applyFill="1" applyBorder="1" applyAlignment="1" applyProtection="1">
      <alignment horizontal="center" vertical="center"/>
    </xf>
    <xf numFmtId="168" fontId="13" fillId="5" borderId="14" xfId="6" applyNumberFormat="1" applyFont="1" applyFill="1" applyBorder="1" applyAlignment="1" applyProtection="1">
      <alignment horizontal="center" vertical="center"/>
    </xf>
    <xf numFmtId="168" fontId="13" fillId="5" borderId="16" xfId="6" applyNumberFormat="1" applyFont="1" applyFill="1" applyBorder="1" applyAlignment="1" applyProtection="1">
      <alignment horizontal="center" vertical="center"/>
    </xf>
    <xf numFmtId="168" fontId="13" fillId="5" borderId="17" xfId="6" applyNumberFormat="1" applyFont="1" applyFill="1" applyBorder="1" applyAlignment="1" applyProtection="1">
      <alignment horizontal="center" vertical="center"/>
    </xf>
    <xf numFmtId="168" fontId="32" fillId="5" borderId="10" xfId="6" applyNumberFormat="1" applyFont="1" applyFill="1" applyBorder="1" applyAlignment="1" applyProtection="1">
      <alignment horizontal="center" vertical="top" wrapText="1"/>
    </xf>
    <xf numFmtId="168" fontId="32" fillId="5" borderId="5" xfId="6" applyNumberFormat="1" applyFont="1" applyFill="1" applyBorder="1" applyAlignment="1" applyProtection="1">
      <alignment horizontal="center" vertical="top" wrapText="1"/>
    </xf>
    <xf numFmtId="168" fontId="0" fillId="0" borderId="10" xfId="0" applyNumberFormat="1" applyBorder="1" applyAlignment="1">
      <alignment horizontal="center" vertical="top"/>
    </xf>
    <xf numFmtId="168" fontId="0" fillId="0" borderId="5" xfId="0" applyNumberFormat="1" applyBorder="1" applyAlignment="1">
      <alignment horizontal="center" vertical="top"/>
    </xf>
    <xf numFmtId="0" fontId="13" fillId="0" borderId="13" xfId="6" applyFont="1" applyFill="1" applyBorder="1" applyAlignment="1" applyProtection="1">
      <alignment horizontal="center" vertical="top"/>
    </xf>
    <xf numFmtId="0" fontId="13" fillId="0" borderId="17" xfId="6" applyFont="1" applyFill="1" applyBorder="1" applyAlignment="1" applyProtection="1">
      <alignment horizontal="center" vertical="top"/>
    </xf>
    <xf numFmtId="168" fontId="0" fillId="0" borderId="10" xfId="0" applyNumberFormat="1" applyBorder="1" applyAlignment="1">
      <alignment horizontal="center" vertical="top" wrapText="1"/>
    </xf>
    <xf numFmtId="168" fontId="0" fillId="0" borderId="16" xfId="0" applyNumberFormat="1" applyBorder="1" applyAlignment="1">
      <alignment horizontal="center" vertical="top"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Hyperlink 2" xfId="12" xr:uid="{00000000-0005-0000-0000-00000C000000}"/>
    <cellStyle name="Hyperlink 3" xfId="14" xr:uid="{00000000-0005-0000-0000-00000E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 5" xfId="13" xr:uid="{00000000-0005-0000-0000-00000D000000}"/>
    <cellStyle name="Normal_budget03" xfId="9" xr:uid="{00000000-0005-0000-0000-000009000000}"/>
    <cellStyle name="Percent" xfId="1" xr:uid="{00000000-0005-0000-0000-000001000000}"/>
  </cellStyles>
  <dxfs count="9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5050"/>
        </patternFill>
      </fill>
    </dxf>
    <dxf>
      <fill>
        <patternFill>
          <bgColor rgb="FFFF5050"/>
        </patternFill>
      </fill>
    </dxf>
    <dxf>
      <fill>
        <patternFill>
          <bgColor rgb="FFFF00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ont>
        <b/>
        <i/>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patternType="none"/>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patternType="none"/>
      </fill>
    </dxf>
  </dxfs>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Accounting_Data_Tab"/></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1721485</xdr:colOff>
      <xdr:row>0</xdr:row>
      <xdr:rowOff>261620</xdr:rowOff>
    </xdr:to>
    <xdr:sp macro="" textlink="">
      <xdr:nvSpPr>
        <xdr:cNvPr id="156" name="TextBox 4">
          <a:hlinkClick xmlns:r="http://schemas.openxmlformats.org/officeDocument/2006/relationships" r:id="rId1"/>
          <a:extLst>
            <a:ext uri="{FF2B5EF4-FFF2-40B4-BE49-F238E27FC236}">
              <a16:creationId xmlns:a16="http://schemas.microsoft.com/office/drawing/2014/main" id="{00000000-0008-0000-1100-00009C000000}"/>
            </a:ext>
          </a:extLst>
        </xdr:cNvPr>
        <xdr:cNvSpPr txBox="1"/>
      </xdr:nvSpPr>
      <xdr:spPr>
        <a:xfrm>
          <a:off x="0" y="0"/>
          <a:ext cx="4769485" cy="26162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b="1"/>
            <a:t>Accounting</a:t>
          </a:r>
          <a:r>
            <a:rPr lang="en-US" sz="1200" b="1" baseline="0"/>
            <a:t> data tab instructions </a:t>
          </a:r>
          <a:r>
            <a:rPr lang="en-US" sz="1100" b="1" baseline="0"/>
            <a:t>can</a:t>
          </a:r>
          <a:r>
            <a:rPr lang="en-US" sz="1200" b="1" baseline="0"/>
            <a:t> be </a:t>
          </a:r>
          <a:r>
            <a:rPr lang="en-US" sz="1100" b="1" baseline="0"/>
            <a:t>found</a:t>
          </a:r>
          <a:r>
            <a:rPr lang="en-US" sz="1200" b="1" baseline="0"/>
            <a:t> on the instructions tab.</a:t>
          </a:r>
          <a:endParaRPr lang="en-US" sz="1200" b="1"/>
        </a:p>
      </xdr:txBody>
    </xdr:sp>
    <xdr:clientData fPrintsWithSheet="0"/>
  </xdr:twoCellAnchor>
  <xdr:twoCellAnchor>
    <xdr:from>
      <xdr:col>1</xdr:col>
      <xdr:colOff>1781175</xdr:colOff>
      <xdr:row>0</xdr:row>
      <xdr:rowOff>0</xdr:rowOff>
    </xdr:from>
    <xdr:to>
      <xdr:col>3</xdr:col>
      <xdr:colOff>1295400</xdr:colOff>
      <xdr:row>0</xdr:row>
      <xdr:rowOff>314325</xdr:rowOff>
    </xdr:to>
    <xdr:sp macro="" textlink="">
      <xdr:nvSpPr>
        <xdr:cNvPr id="161" name="Rectangle 1">
          <a:extLst>
            <a:ext uri="{FF2B5EF4-FFF2-40B4-BE49-F238E27FC236}">
              <a16:creationId xmlns:a16="http://schemas.microsoft.com/office/drawing/2014/main" id="{00000000-0008-0000-1100-0000A1000000}"/>
            </a:ext>
          </a:extLst>
        </xdr:cNvPr>
        <xdr:cNvSpPr/>
      </xdr:nvSpPr>
      <xdr:spPr>
        <a:xfrm>
          <a:off x="4524375" y="0"/>
          <a:ext cx="4267200" cy="314325"/>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b="1">
              <a:solidFill>
                <a:schemeClr val="tx1"/>
              </a:solidFill>
            </a:rPr>
            <a:t>Accounting data must be reported</a:t>
          </a:r>
          <a:r>
            <a:rPr lang="en-US" sz="1100" b="1" baseline="0">
              <a:solidFill>
                <a:schemeClr val="tx1"/>
              </a:solidFill>
            </a:rPr>
            <a:t> in accordance with the USFRCS. </a:t>
          </a:r>
          <a:endParaRPr 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dgehs-my.sharepoint.com/personal/anneo_edgehighschool_org/Documents/anneo/My%20Documents/2025/AFR/budget25.xlsx" TargetMode="External"/><Relationship Id="rId1" Type="http://schemas.openxmlformats.org/officeDocument/2006/relationships/externalLinkPath" Target="budget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zauditor.sharepoint.com/sites/ASDonline/AFR%20and%20Budget%20Masks%20from%20ADE/AFR/FY%202025%20Charter%20School%20AFR/afr24.xlsx" TargetMode="External"/><Relationship Id="rId1" Type="http://schemas.openxmlformats.org/officeDocument/2006/relationships/externalLinkPath" Target="af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Project balances"/>
      <sheetName val="Data Entry"/>
      <sheetName val="Calculations"/>
      <sheetName val="BSA55"/>
      <sheetName val="Instructions"/>
      <sheetName val="budget25"/>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IP1072P265F1000" refersTo="='Page 4'!$N$30"/>
      <definedName name="CIP1072P265F2100" refersTo="='Page 4'!$N$32"/>
      <definedName name="CIP1072P265F2200" refersTo="='Page 4'!$N$33"/>
      <definedName name="CIP1072P265F2300" refersTo="='Page 4'!$N$34"/>
      <definedName name="CIP1072P265F2400" refersTo="='Page 4'!$N$35"/>
      <definedName name="CIP1072P265F2500" refersTo="='Page 4'!$N$36"/>
      <definedName name="CIP1072P265F2600" refersTo="='Page 4'!$N$37"/>
      <definedName name="CIP1072P265F2900" refersTo="='Page 4'!$N$38"/>
      <definedName name="CIP1072P435F2700" refersTo="='Page 4'!$N$42"/>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2100" refersTo="='Page 4'!$N$11"/>
      <definedName name="SEIP1071P260F2200" refersTo="='Page 4'!$N$12"/>
      <definedName name="SEIP1071P260F2300" refersTo="='Page 4'!$N$13"/>
      <definedName name="SEIP1071P260F2400" refersTo="='Page 4'!$N$14"/>
      <definedName name="SEIP1071P260F2500" refersTo="='Page 4'!$N$15"/>
      <definedName name="SEIP1071P260F2600" refersTo="='Page 4'!$N$16"/>
      <definedName name="SEIP1071P260F2900" refersTo="='Page 4'!$N$17"/>
      <definedName name="SEIP1071P430F2700" refersTo="='Page 4'!$N$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s>
    <sheetDataSet>
      <sheetData sheetId="0" refreshError="1"/>
      <sheetData sheetId="1" refreshError="1"/>
      <sheetData sheetId="2">
        <row r="8">
          <cell r="E8">
            <v>1</v>
          </cell>
          <cell r="K8">
            <v>627267</v>
          </cell>
          <cell r="L8">
            <v>507445</v>
          </cell>
          <cell r="N8">
            <v>1</v>
          </cell>
        </row>
        <row r="10">
          <cell r="E10">
            <v>2</v>
          </cell>
          <cell r="K10">
            <v>192278</v>
          </cell>
          <cell r="L10">
            <v>161655</v>
          </cell>
          <cell r="N10">
            <v>2</v>
          </cell>
        </row>
        <row r="11">
          <cell r="E11">
            <v>3</v>
          </cell>
          <cell r="K11">
            <v>19099</v>
          </cell>
          <cell r="L11">
            <v>34234</v>
          </cell>
          <cell r="N11">
            <v>3</v>
          </cell>
        </row>
        <row r="12">
          <cell r="E12">
            <v>4</v>
          </cell>
          <cell r="K12">
            <v>27000</v>
          </cell>
          <cell r="L12">
            <v>21518</v>
          </cell>
          <cell r="N12">
            <v>4</v>
          </cell>
        </row>
        <row r="13">
          <cell r="E13">
            <v>5</v>
          </cell>
          <cell r="L13">
            <v>280459</v>
          </cell>
          <cell r="N13">
            <v>5</v>
          </cell>
        </row>
        <row r="14">
          <cell r="E14">
            <v>6</v>
          </cell>
          <cell r="L14">
            <v>155934</v>
          </cell>
          <cell r="N14">
            <v>6</v>
          </cell>
        </row>
        <row r="15">
          <cell r="E15">
            <v>7</v>
          </cell>
          <cell r="L15">
            <v>265564</v>
          </cell>
          <cell r="N15">
            <v>7</v>
          </cell>
        </row>
        <row r="16">
          <cell r="E16">
            <v>8</v>
          </cell>
          <cell r="L16">
            <v>0</v>
          </cell>
          <cell r="N16">
            <v>8</v>
          </cell>
        </row>
        <row r="17">
          <cell r="E17">
            <v>9</v>
          </cell>
          <cell r="L17">
            <v>0</v>
          </cell>
          <cell r="N17">
            <v>9</v>
          </cell>
        </row>
        <row r="18">
          <cell r="E18">
            <v>10</v>
          </cell>
          <cell r="L18">
            <v>0</v>
          </cell>
        </row>
        <row r="19">
          <cell r="E19">
            <v>11</v>
          </cell>
          <cell r="L19">
            <v>183135</v>
          </cell>
        </row>
        <row r="20">
          <cell r="E20">
            <v>12</v>
          </cell>
          <cell r="L20">
            <v>0</v>
          </cell>
        </row>
        <row r="21">
          <cell r="E21">
            <v>13</v>
          </cell>
          <cell r="L21">
            <v>0</v>
          </cell>
          <cell r="N21">
            <v>13</v>
          </cell>
        </row>
        <row r="22">
          <cell r="L22">
            <v>0</v>
          </cell>
          <cell r="N22">
            <v>14</v>
          </cell>
        </row>
        <row r="23">
          <cell r="N23">
            <v>15</v>
          </cell>
        </row>
        <row r="25">
          <cell r="E25">
            <v>16</v>
          </cell>
          <cell r="L25">
            <v>177230</v>
          </cell>
        </row>
        <row r="27">
          <cell r="E27">
            <v>17</v>
          </cell>
          <cell r="L27">
            <v>14811</v>
          </cell>
        </row>
        <row r="28">
          <cell r="E28">
            <v>18</v>
          </cell>
          <cell r="L28">
            <v>20000</v>
          </cell>
        </row>
        <row r="29">
          <cell r="E29">
            <v>19</v>
          </cell>
          <cell r="L29">
            <v>0</v>
          </cell>
        </row>
        <row r="30">
          <cell r="E30">
            <v>20</v>
          </cell>
          <cell r="L30">
            <v>0</v>
          </cell>
          <cell r="N30">
            <v>20</v>
          </cell>
        </row>
        <row r="31">
          <cell r="L31">
            <v>0</v>
          </cell>
        </row>
        <row r="32">
          <cell r="E32">
            <v>22</v>
          </cell>
          <cell r="L32">
            <v>0</v>
          </cell>
          <cell r="N32">
            <v>22</v>
          </cell>
        </row>
        <row r="33">
          <cell r="E33">
            <v>23</v>
          </cell>
          <cell r="L33">
            <v>0</v>
          </cell>
          <cell r="N33">
            <v>23</v>
          </cell>
        </row>
        <row r="34">
          <cell r="L34">
            <v>0</v>
          </cell>
          <cell r="N34">
            <v>24</v>
          </cell>
        </row>
        <row r="35">
          <cell r="E35">
            <v>25</v>
          </cell>
          <cell r="L35">
            <v>0</v>
          </cell>
          <cell r="N35">
            <v>25</v>
          </cell>
        </row>
        <row r="36">
          <cell r="L36">
            <v>0</v>
          </cell>
          <cell r="N36">
            <v>26</v>
          </cell>
        </row>
        <row r="37">
          <cell r="N37">
            <v>27</v>
          </cell>
        </row>
        <row r="38">
          <cell r="N38">
            <v>28</v>
          </cell>
        </row>
        <row r="39">
          <cell r="L39">
            <v>0</v>
          </cell>
        </row>
        <row r="40">
          <cell r="E40">
            <v>29</v>
          </cell>
          <cell r="L40">
            <v>0</v>
          </cell>
        </row>
        <row r="41">
          <cell r="E41">
            <v>30</v>
          </cell>
          <cell r="L41">
            <v>0</v>
          </cell>
        </row>
        <row r="42">
          <cell r="E42">
            <v>31</v>
          </cell>
          <cell r="L42">
            <v>0</v>
          </cell>
          <cell r="N42">
            <v>31</v>
          </cell>
        </row>
        <row r="43">
          <cell r="E43">
            <v>32</v>
          </cell>
        </row>
        <row r="44">
          <cell r="E44">
            <v>33</v>
          </cell>
          <cell r="L44">
            <v>244551</v>
          </cell>
        </row>
        <row r="45">
          <cell r="E45">
            <v>34</v>
          </cell>
          <cell r="L45">
            <v>9234</v>
          </cell>
        </row>
        <row r="46">
          <cell r="L46">
            <v>0</v>
          </cell>
        </row>
        <row r="47">
          <cell r="L47">
            <v>0</v>
          </cell>
        </row>
        <row r="48">
          <cell r="L48">
            <v>255490</v>
          </cell>
        </row>
      </sheetData>
      <sheetData sheetId="3">
        <row r="5">
          <cell r="E5">
            <v>58000</v>
          </cell>
          <cell r="N5">
            <v>213042</v>
          </cell>
        </row>
        <row r="7">
          <cell r="E7">
            <v>10000</v>
          </cell>
        </row>
        <row r="12">
          <cell r="E12">
            <v>29447</v>
          </cell>
          <cell r="N12">
            <v>213042</v>
          </cell>
        </row>
        <row r="14">
          <cell r="N14">
            <v>0</v>
          </cell>
        </row>
        <row r="21">
          <cell r="E21">
            <v>158043</v>
          </cell>
        </row>
        <row r="23">
          <cell r="N23">
            <v>5358</v>
          </cell>
        </row>
        <row r="24">
          <cell r="N24">
            <v>3876</v>
          </cell>
        </row>
        <row r="27">
          <cell r="L27" t="str">
            <v>Selected expenses by type</v>
          </cell>
        </row>
        <row r="28">
          <cell r="L28" t="str">
            <v>(Must be included on page 1)</v>
          </cell>
        </row>
        <row r="29">
          <cell r="L29" t="str">
            <v>Audit services</v>
          </cell>
        </row>
        <row r="30">
          <cell r="L30" t="str">
            <v>Classroom instruction</v>
          </cell>
          <cell r="N30">
            <v>976971</v>
          </cell>
        </row>
        <row r="35">
          <cell r="N35">
            <v>0</v>
          </cell>
        </row>
        <row r="38">
          <cell r="N38">
            <v>183135</v>
          </cell>
        </row>
        <row r="44">
          <cell r="E44">
            <v>3500</v>
          </cell>
        </row>
      </sheetData>
      <sheetData sheetId="4">
        <row r="8">
          <cell r="E8">
            <v>1</v>
          </cell>
          <cell r="K8">
            <v>235551</v>
          </cell>
          <cell r="L8">
            <v>0.50800000000000001</v>
          </cell>
        </row>
        <row r="9">
          <cell r="E9">
            <v>2</v>
          </cell>
          <cell r="K9">
            <v>9000</v>
          </cell>
        </row>
        <row r="10">
          <cell r="E10">
            <v>3</v>
          </cell>
          <cell r="K10">
            <v>0</v>
          </cell>
          <cell r="L10" t="str">
            <v xml:space="preserve"> </v>
          </cell>
        </row>
        <row r="11">
          <cell r="E11">
            <v>4</v>
          </cell>
          <cell r="K11">
            <v>0</v>
          </cell>
          <cell r="L11" t="str">
            <v xml:space="preserve"> </v>
          </cell>
        </row>
        <row r="12">
          <cell r="E12">
            <v>5</v>
          </cell>
          <cell r="K12">
            <v>0</v>
          </cell>
          <cell r="L12" t="str">
            <v xml:space="preserve"> </v>
          </cell>
        </row>
        <row r="13">
          <cell r="E13">
            <v>6</v>
          </cell>
          <cell r="L13">
            <v>0.185</v>
          </cell>
        </row>
      </sheetData>
      <sheetData sheetId="5">
        <row r="6">
          <cell r="N6">
            <v>2025</v>
          </cell>
        </row>
        <row r="9">
          <cell r="E9">
            <v>1</v>
          </cell>
          <cell r="N9">
            <v>0</v>
          </cell>
        </row>
        <row r="11">
          <cell r="E11">
            <v>2</v>
          </cell>
          <cell r="N11">
            <v>0</v>
          </cell>
        </row>
        <row r="12">
          <cell r="E12">
            <v>3</v>
          </cell>
          <cell r="N12">
            <v>0</v>
          </cell>
        </row>
        <row r="13">
          <cell r="E13">
            <v>4</v>
          </cell>
          <cell r="N13">
            <v>0</v>
          </cell>
        </row>
        <row r="14">
          <cell r="E14">
            <v>5</v>
          </cell>
          <cell r="N14">
            <v>0</v>
          </cell>
        </row>
        <row r="15">
          <cell r="E15">
            <v>6</v>
          </cell>
          <cell r="N15">
            <v>0</v>
          </cell>
        </row>
        <row r="16">
          <cell r="E16">
            <v>7</v>
          </cell>
          <cell r="N16">
            <v>0</v>
          </cell>
        </row>
        <row r="17">
          <cell r="E17">
            <v>8</v>
          </cell>
          <cell r="N17">
            <v>0</v>
          </cell>
        </row>
        <row r="18">
          <cell r="E18">
            <v>9</v>
          </cell>
          <cell r="L18">
            <v>0</v>
          </cell>
        </row>
        <row r="21">
          <cell r="E21">
            <v>10</v>
          </cell>
          <cell r="N21">
            <v>0</v>
          </cell>
        </row>
        <row r="22">
          <cell r="L22">
            <v>0</v>
          </cell>
          <cell r="N22">
            <v>0</v>
          </cell>
        </row>
        <row r="27">
          <cell r="L27">
            <v>6800</v>
          </cell>
        </row>
        <row r="30">
          <cell r="E30">
            <v>12</v>
          </cell>
          <cell r="N30">
            <v>0</v>
          </cell>
        </row>
        <row r="32">
          <cell r="E32">
            <v>13</v>
          </cell>
          <cell r="N32">
            <v>0</v>
          </cell>
        </row>
        <row r="33">
          <cell r="E33">
            <v>14</v>
          </cell>
          <cell r="N33">
            <v>0</v>
          </cell>
        </row>
        <row r="34">
          <cell r="N34">
            <v>0</v>
          </cell>
        </row>
        <row r="35">
          <cell r="E35">
            <v>16</v>
          </cell>
          <cell r="N35">
            <v>0</v>
          </cell>
        </row>
        <row r="36">
          <cell r="N36">
            <v>0</v>
          </cell>
        </row>
        <row r="37">
          <cell r="N37">
            <v>0</v>
          </cell>
        </row>
        <row r="38">
          <cell r="N38">
            <v>0</v>
          </cell>
        </row>
        <row r="39">
          <cell r="L39">
            <v>0</v>
          </cell>
        </row>
        <row r="42">
          <cell r="E42">
            <v>21</v>
          </cell>
          <cell r="N42">
            <v>0</v>
          </cell>
        </row>
        <row r="43">
          <cell r="E43">
            <v>22</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Page 1"/>
      <sheetName val="Page 2"/>
      <sheetName val="Page 3"/>
      <sheetName val="Page 4"/>
      <sheetName val="Page 5"/>
      <sheetName val="Page 6"/>
      <sheetName val="Page 7"/>
      <sheetName val="Page 8"/>
      <sheetName val="Page 9"/>
      <sheetName val="Page 10"/>
      <sheetName val="Summary"/>
      <sheetName val="Project balance reserves"/>
      <sheetName val="School listing"/>
      <sheetName val="Alerts"/>
      <sheetName val="Instructions"/>
      <sheetName val="Accounting data"/>
      <sheetName val="Calculations"/>
      <sheetName val="afr24"/>
    </sheetNames>
    <definedNames>
      <definedName name="AddlInstrImprProjEndBal" refersTo="='Page 4'!$F$19"/>
      <definedName name="CashBal" refersTo="='Page 6'!$F$6"/>
      <definedName name="CIP1072EndBal" refersTo="='Page 5'!$O$48"/>
      <definedName name="FP11001130EndBal" refersTo="='Page 8'!$N$6"/>
      <definedName name="FP11401150EndBal" refersTo="='Page 8'!$N$7"/>
      <definedName name="FP1160EndBal" refersTo="='Page 8'!$N$8"/>
      <definedName name="FP11701180EndBal" refersTo="='Page 8'!$N$9"/>
      <definedName name="FP1190EndBal" refersTo="='Page 8'!$N$10"/>
      <definedName name="FP1200EndBal" refersTo="='Page 8'!$N$11"/>
      <definedName name="FP1210EndBal" refersTo="='Page 8'!$N$12"/>
      <definedName name="FP1220EndBal" refersTo="='Page 8'!$N$13"/>
      <definedName name="FP1230EndBal" refersTo="='Page 8'!$N$14"/>
      <definedName name="FP1240EndBal" refersTo="='Page 8'!$N$15"/>
      <definedName name="FP1250EndBal" refersTo="='Page 8'!$N$16"/>
      <definedName name="FP1260EndBal" refersTo="='Page 8'!$N$17"/>
      <definedName name="FP1280EndBal" refersTo="='Page 8'!$N$18"/>
      <definedName name="FP1290EndBal" refersTo="='Page 8'!$N$19"/>
      <definedName name="FP1300EndBal" refersTo="='Page 8'!$N$20"/>
      <definedName name="FP13101399EndBal" refersTo="='Page 8'!$N$22"/>
      <definedName name="FP13XXImpactAidEndBal" refersTo="='Page 8'!$N$21"/>
      <definedName name="SEIP1071EndBal" refersTo="='Page 5'!$O$26"/>
      <definedName name="SP1000ClassSiteProj" refersTo="='Page 2'!$J$43"/>
      <definedName name="SP1000CompInstrProj" refersTo="='Page 2'!$J$46"/>
      <definedName name="SP1000FedStProj" refersTo="='Page 2'!$J$47"/>
      <definedName name="SP1000InstrImpProj" refersTo="='Page 2'!$J$44"/>
      <definedName name="SP1000P100F1000" refersTo="='Page 2'!$J$7"/>
      <definedName name="SP1000P100F2100" refersTo="='Page 2'!$J$9"/>
      <definedName name="SP1000P100F2200" refersTo="='Page 2'!$J$10"/>
      <definedName name="SP1000P100F2300" refersTo="='Page 2'!$J$11"/>
      <definedName name="SP1000P100F2400" refersTo="='Page 2'!$J$12"/>
      <definedName name="SP1000P100F2500" refersTo="='Page 2'!$J$13"/>
      <definedName name="SP1000P100F2600" refersTo="='Page 2'!$J$14"/>
      <definedName name="SP1000P100F2900" refersTo="='Page 2'!$J$15"/>
      <definedName name="SP1000P100F3000" refersTo="='Page 2'!$J$16"/>
      <definedName name="SP1000P100F4000" refersTo="='Page 2'!$J$17"/>
      <definedName name="SP1000P100F5000" refersTo="='Page 2'!$J$18"/>
      <definedName name="SP1000P200F1000" refersTo="='Page 2'!$J$25"/>
      <definedName name="SP1000P200F2100" refersTo="='Page 2'!$J$27"/>
      <definedName name="SP1000P200F2200" refersTo="='Page 2'!$J$28"/>
      <definedName name="SP1000P200F2300" refersTo="='Page 2'!$J$29"/>
      <definedName name="SP1000P200F2400" refersTo="='Page 2'!$J$30"/>
      <definedName name="SP1000P200F2500" refersTo="='Page 2'!$J$31"/>
      <definedName name="SP1000P200F2600" refersTo="='Page 2'!$J$32"/>
      <definedName name="SP1000P200F2900" refersTo="='Page 2'!$J$33"/>
      <definedName name="SP1000P200F3000" refersTo="='Page 2'!$J$34"/>
      <definedName name="SP1000P200F4000" refersTo="='Page 2'!$J$35"/>
      <definedName name="SP1000P200F5000" refersTo="='Page 2'!$J$36"/>
      <definedName name="SP1000P400" refersTo="='Page 2'!$J$38"/>
      <definedName name="SP1000P530" refersTo="='Page 2'!$J$39"/>
      <definedName name="SP1000P540" refersTo="='Page 2'!$J$40"/>
      <definedName name="SP1000P550" refersTo="='Page 2'!$J$41"/>
      <definedName name="SP1000P610" refersTo="='Page 2'!$J$19"/>
      <definedName name="SP1000P620" refersTo="='Page 2'!$J$20"/>
      <definedName name="SP1000P630700800900" refersTo="='Page 2'!$J$22"/>
      <definedName name="SP1000StruEngImmProj" refersTo="='Page 2'!$J$45"/>
      <definedName name="StP1400EndBal" refersTo="='Page 8'!$N$28"/>
      <definedName name="StP1410EndBal" refersTo="='Page 8'!$N$29"/>
      <definedName name="StP1420EndBal" refersTo="='Page 8'!$N$30"/>
      <definedName name="StP1425EndBal" refersTo="='Page 8'!$N$31"/>
      <definedName name="StP1430EndBal" refersTo="='Page 8'!$N$32"/>
      <definedName name="StP1435EndBal" refersTo="='Page 8'!$N$33"/>
      <definedName name="StP1450EndBal" refersTo="='Page 8'!$N$34"/>
      <definedName name="StP1456EndBal" refersTo="='Page 8'!$N$35"/>
      <definedName name="StP1460EndBal" refersTo="='Page 8'!$N$36"/>
      <definedName name="StP1465EndBal" refersTo="='Page 8'!$N$37"/>
      <definedName name="StP14701499EndBal" refersTo="='Page 8'!$N$39"/>
      <definedName name="StP14XXEndBal" refersTo="='Page 8'!$N$38"/>
    </definedNames>
    <sheetDataSet>
      <sheetData sheetId="0"/>
      <sheetData sheetId="1"/>
      <sheetData sheetId="2">
        <row r="7">
          <cell r="J7">
            <v>632838</v>
          </cell>
        </row>
        <row r="9">
          <cell r="J9">
            <v>182641</v>
          </cell>
        </row>
        <row r="10">
          <cell r="J10">
            <v>9566</v>
          </cell>
        </row>
        <row r="11">
          <cell r="J11">
            <v>27131</v>
          </cell>
        </row>
        <row r="12">
          <cell r="J12">
            <v>288188</v>
          </cell>
        </row>
        <row r="13">
          <cell r="J13">
            <v>189965</v>
          </cell>
        </row>
        <row r="14">
          <cell r="J14">
            <v>209271</v>
          </cell>
        </row>
        <row r="15">
          <cell r="J15">
            <v>0</v>
          </cell>
        </row>
        <row r="16">
          <cell r="J16">
            <v>0</v>
          </cell>
        </row>
        <row r="17">
          <cell r="J17">
            <v>0</v>
          </cell>
        </row>
        <row r="18">
          <cell r="J18">
            <v>191047</v>
          </cell>
        </row>
        <row r="19">
          <cell r="J19">
            <v>0</v>
          </cell>
        </row>
        <row r="20">
          <cell r="J20">
            <v>0</v>
          </cell>
        </row>
        <row r="21">
          <cell r="J21">
            <v>0</v>
          </cell>
        </row>
        <row r="22">
          <cell r="J22">
            <v>0</v>
          </cell>
        </row>
        <row r="25">
          <cell r="J25">
            <v>161220</v>
          </cell>
        </row>
        <row r="27">
          <cell r="J27">
            <v>18164</v>
          </cell>
        </row>
        <row r="28">
          <cell r="J28">
            <v>19623</v>
          </cell>
        </row>
        <row r="29">
          <cell r="J29">
            <v>0</v>
          </cell>
        </row>
        <row r="30">
          <cell r="J30">
            <v>0</v>
          </cell>
        </row>
        <row r="31">
          <cell r="J31">
            <v>0</v>
          </cell>
        </row>
        <row r="32">
          <cell r="J32">
            <v>0</v>
          </cell>
        </row>
        <row r="33">
          <cell r="J33">
            <v>0</v>
          </cell>
        </row>
        <row r="34">
          <cell r="J34">
            <v>0</v>
          </cell>
        </row>
        <row r="35">
          <cell r="J35">
            <v>0</v>
          </cell>
        </row>
        <row r="36">
          <cell r="J36">
            <v>0</v>
          </cell>
        </row>
        <row r="38">
          <cell r="J38">
            <v>0</v>
          </cell>
        </row>
        <row r="39">
          <cell r="J39">
            <v>0</v>
          </cell>
        </row>
        <row r="40">
          <cell r="J40">
            <v>0</v>
          </cell>
        </row>
        <row r="41">
          <cell r="J41">
            <v>0</v>
          </cell>
        </row>
        <row r="43">
          <cell r="J43">
            <v>192127</v>
          </cell>
        </row>
        <row r="44">
          <cell r="J44">
            <v>13434</v>
          </cell>
        </row>
        <row r="45">
          <cell r="J45">
            <v>0</v>
          </cell>
        </row>
        <row r="46">
          <cell r="J46">
            <v>0</v>
          </cell>
        </row>
        <row r="47">
          <cell r="J47">
            <v>367319</v>
          </cell>
        </row>
      </sheetData>
      <sheetData sheetId="3">
        <row r="30">
          <cell r="F30">
            <v>100320</v>
          </cell>
        </row>
      </sheetData>
      <sheetData sheetId="4">
        <row r="19">
          <cell r="F19">
            <v>5659</v>
          </cell>
        </row>
      </sheetData>
      <sheetData sheetId="5">
        <row r="26">
          <cell r="O26">
            <v>0</v>
          </cell>
        </row>
        <row r="48">
          <cell r="O48">
            <v>0</v>
          </cell>
        </row>
      </sheetData>
      <sheetData sheetId="6">
        <row r="6">
          <cell r="F6">
            <v>470192</v>
          </cell>
        </row>
        <row r="29">
          <cell r="T29">
            <v>55402</v>
          </cell>
        </row>
      </sheetData>
      <sheetData sheetId="7"/>
      <sheetData sheetId="8">
        <row r="6">
          <cell r="N6">
            <v>0</v>
          </cell>
        </row>
        <row r="7">
          <cell r="N7">
            <v>0</v>
          </cell>
        </row>
        <row r="8">
          <cell r="N8">
            <v>0</v>
          </cell>
        </row>
        <row r="9">
          <cell r="N9">
            <v>0</v>
          </cell>
        </row>
        <row r="10">
          <cell r="N10">
            <v>0</v>
          </cell>
        </row>
        <row r="11">
          <cell r="N11">
            <v>0</v>
          </cell>
        </row>
        <row r="12">
          <cell r="N12">
            <v>0</v>
          </cell>
        </row>
        <row r="13">
          <cell r="N13">
            <v>0</v>
          </cell>
        </row>
        <row r="14">
          <cell r="N14">
            <v>0</v>
          </cell>
        </row>
        <row r="15">
          <cell r="N15">
            <v>0</v>
          </cell>
        </row>
        <row r="16">
          <cell r="N16">
            <v>0</v>
          </cell>
        </row>
        <row r="17">
          <cell r="N17">
            <v>0</v>
          </cell>
        </row>
        <row r="18">
          <cell r="N18">
            <v>0</v>
          </cell>
        </row>
        <row r="19">
          <cell r="N19">
            <v>0</v>
          </cell>
        </row>
        <row r="20">
          <cell r="N20">
            <v>0</v>
          </cell>
        </row>
        <row r="21">
          <cell r="N21">
            <v>0</v>
          </cell>
        </row>
        <row r="22">
          <cell r="N22">
            <v>0</v>
          </cell>
        </row>
        <row r="25">
          <cell r="N25">
            <v>0</v>
          </cell>
        </row>
        <row r="28">
          <cell r="N28">
            <v>0</v>
          </cell>
        </row>
        <row r="29">
          <cell r="N29">
            <v>0</v>
          </cell>
        </row>
        <row r="30">
          <cell r="N30">
            <v>0</v>
          </cell>
        </row>
        <row r="31">
          <cell r="N31">
            <v>0</v>
          </cell>
        </row>
        <row r="32">
          <cell r="N32">
            <v>0</v>
          </cell>
        </row>
        <row r="33">
          <cell r="N33">
            <v>0</v>
          </cell>
        </row>
        <row r="34">
          <cell r="N34">
            <v>0</v>
          </cell>
        </row>
        <row r="35">
          <cell r="N35">
            <v>0</v>
          </cell>
        </row>
        <row r="36">
          <cell r="N36">
            <v>0</v>
          </cell>
        </row>
        <row r="37">
          <cell r="N37">
            <v>0</v>
          </cell>
        </row>
        <row r="38">
          <cell r="N38">
            <v>0</v>
          </cell>
        </row>
        <row r="39">
          <cell r="N39">
            <v>0</v>
          </cell>
        </row>
      </sheetData>
      <sheetData sheetId="9"/>
      <sheetData sheetId="10"/>
      <sheetData sheetId="11">
        <row r="17">
          <cell r="K17">
            <v>454494</v>
          </cell>
        </row>
      </sheetData>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CS%20FINAL%20FILES%20FROM%20ADE/Program_200_Budget_and_Program_200_Actual_column_totals_should_equal_line_27_on_page_2." TargetMode="External"/><Relationship Id="rId1" Type="http://schemas.openxmlformats.org/officeDocument/2006/relationships/hyperlink" Target="CS%20FINAL%20FILES%20FROM%20ADE/Program_200_Budget_and_Program_200_Actual_column_totals_should_equal_line_27_on_page_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CS%20FINAL%20FILES%20FROM%20ADE/BegFundBalance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hyperlink" Target="https://www.azed.gov/titlei/sample-page/rural-low-income-schools-rlis/" TargetMode="External"/><Relationship Id="rId7" Type="http://schemas.openxmlformats.org/officeDocument/2006/relationships/hyperlink" Target="https://www.azed.gov/sites/default/files/2022/09/How%20to%20Complete%20USDA%20Foods%20AFR%20Calculations.pdf" TargetMode="External"/><Relationship Id="rId2" Type="http://schemas.openxmlformats.org/officeDocument/2006/relationships/hyperlink" Target="https://www.azed.gov/21stcclc/federal-and-state-regulations/" TargetMode="External"/><Relationship Id="rId1" Type="http://schemas.openxmlformats.org/officeDocument/2006/relationships/hyperlink" Target="https://www.azed.gov/titleiv-a/" TargetMode="External"/><Relationship Id="rId6" Type="http://schemas.openxmlformats.org/officeDocument/2006/relationships/hyperlink" Target="https://www.azauditor.gov/District_charter_ADE_COVID-19_spending_special_report_FY_2022" TargetMode="External"/><Relationship Id="rId5" Type="http://schemas.openxmlformats.org/officeDocument/2006/relationships/hyperlink" Target="https://www.azed.gov/grants-management/contact/" TargetMode="External"/><Relationship Id="rId4" Type="http://schemas.openxmlformats.org/officeDocument/2006/relationships/hyperlink" Target="https://www.azed.gov/titlei/re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E37A-9784-4E92-A38B-92FC1796372E}">
  <sheetPr>
    <pageSetUpPr fitToPage="1"/>
  </sheetPr>
  <dimension ref="A1:AB35"/>
  <sheetViews>
    <sheetView showGridLines="0" workbookViewId="0">
      <selection activeCell="X28" sqref="X28"/>
    </sheetView>
  </sheetViews>
  <sheetFormatPr defaultColWidth="9.33203125" defaultRowHeight="13.2" x14ac:dyDescent="0.25"/>
  <cols>
    <col min="1" max="1" width="22.21875" customWidth="1"/>
    <col min="2" max="2" width="6.33203125" customWidth="1"/>
    <col min="3" max="3" width="5.33203125" customWidth="1"/>
    <col min="4" max="4" width="9.33203125" customWidth="1"/>
    <col min="5" max="5" width="6.33203125" customWidth="1"/>
    <col min="6" max="6" width="13" customWidth="1"/>
    <col min="7" max="7" width="7.77734375" customWidth="1"/>
    <col min="8" max="8" width="3.33203125" customWidth="1"/>
    <col min="9" max="9" width="13" customWidth="1"/>
    <col min="10" max="12" width="9.33203125" customWidth="1"/>
    <col min="13" max="13" width="11" customWidth="1"/>
    <col min="14" max="14" width="20" customWidth="1"/>
    <col min="15" max="15" width="17.33203125" customWidth="1"/>
    <col min="16" max="16" width="7" customWidth="1"/>
    <col min="17" max="17" width="3.33203125" customWidth="1"/>
    <col min="18" max="18" width="16" customWidth="1"/>
    <col min="19" max="26" width="9.33203125" customWidth="1"/>
    <col min="27" max="27" width="18" customWidth="1"/>
    <col min="28" max="28" width="11.77734375" customWidth="1"/>
    <col min="29" max="29" width="9.33203125" customWidth="1"/>
  </cols>
  <sheetData>
    <row r="1" spans="1:28" ht="12.75" customHeight="1" x14ac:dyDescent="0.3">
      <c r="A1" s="802" t="s">
        <v>0</v>
      </c>
      <c r="B1" s="802"/>
      <c r="C1" s="802"/>
      <c r="D1" s="784" t="s">
        <v>1386</v>
      </c>
      <c r="E1" s="783"/>
      <c r="F1" s="783"/>
      <c r="G1" s="783"/>
      <c r="H1" s="783"/>
      <c r="I1" s="783"/>
      <c r="L1" s="572" t="s">
        <v>1</v>
      </c>
      <c r="M1" s="782" t="s">
        <v>1388</v>
      </c>
      <c r="N1" s="783"/>
      <c r="Q1" s="61" t="s">
        <v>2</v>
      </c>
      <c r="R1" s="543" t="s">
        <v>1389</v>
      </c>
      <c r="AA1" s="548" t="s">
        <v>3</v>
      </c>
      <c r="AB1" s="699">
        <v>45883</v>
      </c>
    </row>
    <row r="2" spans="1:28" ht="12.75" customHeight="1" x14ac:dyDescent="0.25">
      <c r="A2" s="105"/>
      <c r="B2" s="105"/>
      <c r="C2" s="105"/>
      <c r="D2" s="781" t="s">
        <v>4</v>
      </c>
      <c r="E2" s="781"/>
      <c r="F2" s="781"/>
      <c r="G2" s="781"/>
      <c r="H2" s="781"/>
      <c r="I2" s="781"/>
      <c r="L2" s="785" t="str">
        <f>IF('Page 2'!J48=0,"",IF(OR(Alerts!A2&lt;&gt;"",Alerts!A3&lt;&gt;"",Alerts!A4&lt;&gt;"",Alerts!A5&lt;&gt;"",Alerts!A6&lt;&gt;"",Alerts!A7&lt;&gt;"",Alerts!A8&lt;&gt;"",Alerts!A9&lt;&gt;"",Alerts!A10&lt;&gt;"",Alerts!A11&lt;&gt;"",Alerts!A12&lt;&gt;"",Alerts!A13&lt;&gt;"",Alerts!A14&lt;&gt;"",Alerts!A15&lt;&gt;""),"ALERT: The following item(s) need to be addressed before the AFR is submitted. See the Alerts Tab for more detailed information, including guidance on how to resolve the alerts.",""))</f>
        <v>ALERT: The following item(s) need to be addressed before the AFR is submitted. See the Alerts Tab for more detailed information, including guidance on how to resolve the alerts.</v>
      </c>
      <c r="M2" s="787"/>
      <c r="N2" s="787"/>
      <c r="O2" s="787"/>
      <c r="P2" s="787"/>
      <c r="Q2" s="787"/>
      <c r="R2" s="787"/>
    </row>
    <row r="3" spans="1:28" ht="12.75" customHeight="1" x14ac:dyDescent="0.3">
      <c r="A3" s="105"/>
      <c r="B3" s="105"/>
      <c r="C3" s="105"/>
      <c r="D3" s="784" t="s">
        <v>1387</v>
      </c>
      <c r="E3" s="783"/>
      <c r="F3" s="783"/>
      <c r="G3" s="783"/>
      <c r="H3" s="783"/>
      <c r="I3" s="783"/>
      <c r="L3" s="787"/>
      <c r="M3" s="787"/>
      <c r="N3" s="787"/>
      <c r="O3" s="787"/>
      <c r="P3" s="787"/>
      <c r="Q3" s="787"/>
      <c r="R3" s="787"/>
    </row>
    <row r="4" spans="1:28" ht="12.75" customHeight="1" x14ac:dyDescent="0.25">
      <c r="A4" s="105"/>
      <c r="B4" s="105"/>
      <c r="C4" s="105"/>
      <c r="D4" s="781" t="s">
        <v>5</v>
      </c>
      <c r="E4" s="781"/>
      <c r="F4" s="781"/>
      <c r="G4" s="781"/>
      <c r="H4" s="781"/>
      <c r="I4" s="781"/>
      <c r="L4" s="785" t="str">
        <f>IF(L2="","",CONCATENATE(Alerts!B3,CHAR(10),Alerts!B4,CHAR(10),Alerts!B5,CHAR(10),Alerts!B6,CHAR(10),Alerts!B7,CHAR(10),Alerts!B8,CHAR(10),Alerts!B9,CHAR(10),Alerts!B10,CHAR(10),Alerts!B11,CHAR(10),Alerts!B12,CHAR(10),Alerts!B13,CHAR(10),Alerts!B14,CHAR(10),Alerts!B15,CHAR(10),Alerts!B16))</f>
        <v>Restricted revenues-3200 on page 1 are not complete.
COVID-19 information on page 8, line 19 is not complete.</v>
      </c>
      <c r="M4" s="786"/>
      <c r="N4" s="786"/>
      <c r="O4" s="786"/>
      <c r="P4" s="786"/>
      <c r="Q4" s="786"/>
      <c r="R4" s="786"/>
    </row>
    <row r="5" spans="1:28" ht="12.75" customHeight="1" x14ac:dyDescent="0.25">
      <c r="A5" s="638" t="s">
        <v>726</v>
      </c>
      <c r="B5" s="105"/>
      <c r="C5" s="105"/>
      <c r="L5" s="786"/>
      <c r="M5" s="786"/>
      <c r="N5" s="786"/>
      <c r="O5" s="786"/>
      <c r="P5" s="786"/>
      <c r="Q5" s="786"/>
      <c r="R5" s="786"/>
    </row>
    <row r="6" spans="1:28" ht="17.55" customHeight="1" x14ac:dyDescent="0.3">
      <c r="A6" s="793" t="s">
        <v>1272</v>
      </c>
      <c r="B6" s="788" t="s">
        <v>1298</v>
      </c>
      <c r="C6" s="788"/>
      <c r="D6" s="788"/>
      <c r="E6" s="788"/>
      <c r="F6" s="788"/>
      <c r="G6" s="788"/>
      <c r="H6" s="788"/>
      <c r="I6" s="788"/>
      <c r="J6" s="81"/>
      <c r="L6" s="786"/>
      <c r="M6" s="786"/>
      <c r="N6" s="786"/>
      <c r="O6" s="786"/>
      <c r="P6" s="786"/>
      <c r="Q6" s="786"/>
      <c r="R6" s="786"/>
    </row>
    <row r="7" spans="1:28" ht="18" customHeight="1" x14ac:dyDescent="0.3">
      <c r="A7" s="793"/>
      <c r="B7" s="788" t="s">
        <v>6</v>
      </c>
      <c r="C7" s="788"/>
      <c r="D7" s="788"/>
      <c r="E7" s="788"/>
      <c r="F7" s="788"/>
      <c r="G7" s="788"/>
      <c r="H7" s="788"/>
      <c r="I7" s="788"/>
      <c r="J7" s="77"/>
      <c r="L7" s="786"/>
      <c r="M7" s="786"/>
      <c r="N7" s="786"/>
      <c r="O7" s="786"/>
      <c r="P7" s="786"/>
      <c r="Q7" s="786"/>
      <c r="R7" s="786"/>
    </row>
    <row r="8" spans="1:28" ht="18" customHeight="1" x14ac:dyDescent="0.3">
      <c r="A8" s="654"/>
      <c r="B8" s="789" t="s">
        <v>7</v>
      </c>
      <c r="C8" s="789"/>
      <c r="D8" s="789"/>
      <c r="E8" s="789"/>
      <c r="F8" s="789"/>
      <c r="G8" s="789"/>
      <c r="H8" s="789"/>
      <c r="I8" s="789"/>
      <c r="J8" s="81"/>
      <c r="L8" s="786"/>
      <c r="M8" s="786"/>
      <c r="N8" s="786"/>
      <c r="O8" s="786"/>
      <c r="P8" s="786"/>
      <c r="Q8" s="786"/>
      <c r="R8" s="786"/>
    </row>
    <row r="9" spans="1:28" ht="12.75" customHeight="1" x14ac:dyDescent="0.25">
      <c r="C9" s="106"/>
      <c r="D9" s="106"/>
      <c r="E9" s="106"/>
      <c r="F9" s="106"/>
      <c r="G9" s="106"/>
      <c r="H9" s="106"/>
      <c r="I9" s="106"/>
      <c r="J9" s="107"/>
      <c r="L9" s="786"/>
      <c r="M9" s="786"/>
      <c r="N9" s="786"/>
      <c r="O9" s="786"/>
      <c r="P9" s="785"/>
      <c r="Q9" s="786"/>
      <c r="R9" s="786"/>
    </row>
    <row r="10" spans="1:28" ht="26.25" customHeight="1" x14ac:dyDescent="0.3">
      <c r="A10" s="25"/>
      <c r="B10" s="791" t="str">
        <f>IF('Page 2'!N9="","","Checking the box to the left certifies the Charter did not incur any expenses for student support services, as defined in the USFRCS and reported on Page 2, Line 2, during the fiscal year.")</f>
        <v/>
      </c>
      <c r="C10" s="791"/>
      <c r="D10" s="791"/>
      <c r="E10" s="791"/>
      <c r="F10" s="791"/>
      <c r="G10" s="791"/>
      <c r="H10" s="791"/>
      <c r="I10" s="791"/>
      <c r="J10" s="792"/>
      <c r="L10" s="786"/>
      <c r="M10" s="786"/>
      <c r="N10" s="786"/>
      <c r="O10" s="786"/>
      <c r="P10" s="786"/>
      <c r="Q10" s="786"/>
      <c r="R10" s="786"/>
    </row>
    <row r="11" spans="1:28" x14ac:dyDescent="0.25">
      <c r="A11" s="794" t="s">
        <v>1286</v>
      </c>
      <c r="B11" s="794"/>
      <c r="C11" s="794"/>
      <c r="D11" s="795" t="s">
        <v>1390</v>
      </c>
      <c r="E11" s="795"/>
      <c r="F11" s="795"/>
      <c r="G11" s="795"/>
      <c r="H11" s="795"/>
      <c r="I11" s="795"/>
      <c r="J11" s="796"/>
      <c r="L11" s="786"/>
      <c r="M11" s="786"/>
      <c r="N11" s="786"/>
      <c r="O11" s="786"/>
      <c r="P11" s="786"/>
      <c r="Q11" s="786"/>
      <c r="R11" s="786"/>
    </row>
    <row r="12" spans="1:28" ht="25.5" customHeight="1" x14ac:dyDescent="0.3">
      <c r="A12" s="25"/>
      <c r="B12" s="791" t="str">
        <f>IF('Page 2'!N10="","","Checking the box to the left certifies the Charter did not incur any expenses for instructional support services, as defined in the USFRCS and reported on Page 2, Line 3, during the fiscal year.")</f>
        <v/>
      </c>
      <c r="C12" s="791"/>
      <c r="D12" s="791"/>
      <c r="E12" s="791"/>
      <c r="F12" s="791"/>
      <c r="G12" s="791"/>
      <c r="H12" s="791"/>
      <c r="I12" s="791"/>
      <c r="J12" s="792"/>
      <c r="K12" s="65"/>
      <c r="L12" s="786"/>
      <c r="M12" s="786"/>
      <c r="N12" s="786"/>
      <c r="O12" s="786"/>
      <c r="P12" s="786"/>
      <c r="Q12" s="786"/>
      <c r="R12" s="786"/>
    </row>
    <row r="13" spans="1:28" x14ac:dyDescent="0.25">
      <c r="A13" s="108"/>
      <c r="C13" s="106"/>
      <c r="D13" s="106"/>
      <c r="E13" s="106"/>
      <c r="F13" s="106"/>
      <c r="G13" s="106"/>
      <c r="H13" s="106"/>
      <c r="I13" s="106"/>
      <c r="J13" s="107"/>
      <c r="L13" s="786"/>
      <c r="M13" s="786"/>
      <c r="N13" s="786"/>
      <c r="O13" s="786"/>
      <c r="P13" s="786"/>
      <c r="Q13" s="786"/>
      <c r="R13" s="786"/>
    </row>
    <row r="14" spans="1:28" ht="25.5" customHeight="1" x14ac:dyDescent="0.3">
      <c r="A14" s="25"/>
      <c r="B14" s="800" t="str">
        <f>IF('Page 3'!M12="","","Checking the box to the left certifies the Charter did not incur any expenses for Classroom Site Project, as reported on Page 3, during the fiscal year.")</f>
        <v/>
      </c>
      <c r="C14" s="800"/>
      <c r="D14" s="800"/>
      <c r="E14" s="800"/>
      <c r="F14" s="800"/>
      <c r="G14" s="800"/>
      <c r="H14" s="800"/>
      <c r="I14" s="800"/>
      <c r="J14" s="801"/>
      <c r="L14" s="786"/>
      <c r="M14" s="786"/>
      <c r="N14" s="786"/>
      <c r="O14" s="786"/>
      <c r="P14" s="786"/>
      <c r="Q14" s="786"/>
      <c r="R14" s="786"/>
    </row>
    <row r="15" spans="1:28" x14ac:dyDescent="0.25">
      <c r="A15" s="108"/>
      <c r="C15" s="106"/>
      <c r="D15" s="106"/>
      <c r="E15" s="106"/>
      <c r="F15" s="106"/>
      <c r="G15" s="106"/>
      <c r="H15" s="106"/>
      <c r="I15" s="106"/>
      <c r="J15" s="107"/>
      <c r="L15" s="786"/>
      <c r="M15" s="786"/>
      <c r="N15" s="786"/>
      <c r="O15" s="786"/>
      <c r="P15" s="786"/>
      <c r="Q15" s="786"/>
      <c r="R15" s="786"/>
    </row>
    <row r="16" spans="1:28" ht="39.75" customHeight="1" x14ac:dyDescent="0.3">
      <c r="A16" s="25"/>
      <c r="B16" s="791" t="str">
        <f>IF('Page 6'!H33="","","Checking the box to the left certifies the Charter did not incur any current expenses for student support services, as defined in the USFRCS and reported on Page 6-Section E-Line 4, during the fiscal year.")</f>
        <v/>
      </c>
      <c r="C16" s="791"/>
      <c r="D16" s="791"/>
      <c r="E16" s="791"/>
      <c r="F16" s="791"/>
      <c r="G16" s="791"/>
      <c r="H16" s="791"/>
      <c r="I16" s="791"/>
      <c r="J16" s="792"/>
      <c r="L16" s="786"/>
      <c r="M16" s="786"/>
      <c r="N16" s="786"/>
      <c r="O16" s="786"/>
      <c r="P16" s="786"/>
      <c r="Q16" s="786"/>
      <c r="R16" s="786"/>
    </row>
    <row r="17" spans="1:26" x14ac:dyDescent="0.25">
      <c r="A17" s="108"/>
      <c r="C17" s="106"/>
      <c r="D17" s="106"/>
      <c r="E17" s="106"/>
      <c r="F17" s="106"/>
      <c r="G17" s="106"/>
      <c r="H17" s="106"/>
      <c r="I17" s="106"/>
      <c r="J17" s="107"/>
      <c r="L17" s="786"/>
      <c r="M17" s="786"/>
      <c r="N17" s="786"/>
      <c r="O17" s="786"/>
      <c r="P17" s="786"/>
      <c r="Q17" s="786"/>
      <c r="R17" s="786"/>
    </row>
    <row r="18" spans="1:26" ht="48" customHeight="1" x14ac:dyDescent="0.3">
      <c r="A18" s="25"/>
      <c r="B18" s="791" t="str">
        <f>IF('Page 4'!K10="","","Checking the box to the left certifies the Charter did not incur any expenses for Instructional Improvement Project, as defined in the USFRCS and reported on Page 4, Line 5, during the fiscal year.")</f>
        <v/>
      </c>
      <c r="C18" s="791"/>
      <c r="D18" s="791"/>
      <c r="E18" s="791"/>
      <c r="F18" s="791"/>
      <c r="G18" s="791"/>
      <c r="H18" s="791"/>
      <c r="I18" s="791"/>
      <c r="J18" s="792"/>
      <c r="L18" s="786"/>
      <c r="M18" s="786"/>
      <c r="N18" s="786"/>
      <c r="O18" s="786"/>
      <c r="P18" s="786"/>
      <c r="Q18" s="786"/>
      <c r="R18" s="786"/>
      <c r="S18" s="4"/>
      <c r="T18" s="4"/>
    </row>
    <row r="19" spans="1:26" ht="12.75" customHeight="1" x14ac:dyDescent="0.25">
      <c r="B19" s="797" t="s">
        <v>1299</v>
      </c>
      <c r="C19" s="797"/>
      <c r="D19" s="797"/>
      <c r="E19" s="797"/>
      <c r="F19" s="797"/>
      <c r="G19" s="797"/>
      <c r="H19" s="797"/>
      <c r="I19" s="797"/>
      <c r="J19" s="81"/>
      <c r="L19" s="804" t="s">
        <v>1300</v>
      </c>
      <c r="M19" s="804"/>
      <c r="N19" s="804"/>
      <c r="O19" s="804"/>
      <c r="P19" s="804"/>
      <c r="Q19" s="804"/>
      <c r="R19" s="804"/>
      <c r="S19" s="4"/>
      <c r="T19" s="4"/>
    </row>
    <row r="20" spans="1:26" ht="25.5" customHeight="1" thickBot="1" x14ac:dyDescent="0.35">
      <c r="B20" s="797"/>
      <c r="C20" s="797"/>
      <c r="D20" s="797"/>
      <c r="E20" s="797"/>
      <c r="F20" s="797"/>
      <c r="G20" s="797"/>
      <c r="H20" s="797"/>
      <c r="I20" s="797"/>
      <c r="J20" s="81"/>
      <c r="L20" t="s">
        <v>8</v>
      </c>
      <c r="N20" s="767">
        <v>45916</v>
      </c>
      <c r="O20" s="805" t="s">
        <v>9</v>
      </c>
      <c r="P20" s="805"/>
      <c r="Q20" s="805"/>
      <c r="R20" s="805"/>
      <c r="T20" s="807" t="str">
        <f>IF(Z20="X","","Charters schools must review the FY 2025 AFR Formula Corrections file and make any required formula corrections before finalizing and submitting the AFR. Select the X in the dropdown box in cell Z20 once this step is complete.")</f>
        <v/>
      </c>
      <c r="U20" s="807"/>
      <c r="V20" s="807"/>
      <c r="W20" s="807"/>
      <c r="X20" s="807"/>
      <c r="Z20" s="691" t="s">
        <v>1397</v>
      </c>
    </row>
    <row r="21" spans="1:26" ht="12.75" customHeight="1" x14ac:dyDescent="0.25">
      <c r="A21" s="790"/>
      <c r="B21" s="790"/>
      <c r="C21" s="790"/>
      <c r="D21" s="790"/>
      <c r="E21" s="790"/>
      <c r="F21" s="4"/>
      <c r="G21" s="799"/>
      <c r="H21" s="799"/>
      <c r="I21" s="799"/>
      <c r="J21" s="81"/>
      <c r="L21" s="790" t="s">
        <v>10</v>
      </c>
      <c r="M21" s="790"/>
      <c r="N21" s="790"/>
      <c r="O21" s="109"/>
      <c r="P21" s="109"/>
      <c r="Q21" s="109"/>
      <c r="R21" s="109"/>
      <c r="T21" s="807"/>
      <c r="U21" s="807"/>
      <c r="V21" s="807"/>
      <c r="W21" s="807"/>
      <c r="X21" s="807"/>
    </row>
    <row r="22" spans="1:26" ht="13.5" customHeight="1" x14ac:dyDescent="0.3">
      <c r="A22" s="780"/>
      <c r="B22" s="780"/>
      <c r="C22" s="780"/>
      <c r="D22" s="780"/>
      <c r="E22" s="780"/>
      <c r="F22" s="4"/>
      <c r="G22" s="782" t="s">
        <v>1392</v>
      </c>
      <c r="H22" s="783"/>
      <c r="I22" s="783"/>
      <c r="J22" s="81"/>
      <c r="M22" s="109"/>
      <c r="N22" s="109"/>
      <c r="O22" s="109"/>
      <c r="P22" s="109"/>
      <c r="Q22" s="109"/>
      <c r="R22" s="109"/>
      <c r="T22" s="807"/>
      <c r="U22" s="807"/>
      <c r="V22" s="807"/>
      <c r="W22" s="807"/>
      <c r="X22" s="807"/>
    </row>
    <row r="23" spans="1:26" ht="12.75" customHeight="1" x14ac:dyDescent="0.3">
      <c r="H23" s="4"/>
      <c r="I23" s="4"/>
      <c r="J23" s="77"/>
      <c r="L23" s="780"/>
      <c r="M23" s="780"/>
      <c r="N23" s="780"/>
      <c r="P23" s="784" t="s">
        <v>1393</v>
      </c>
      <c r="Q23" s="783"/>
      <c r="R23" s="783"/>
      <c r="T23" s="807"/>
      <c r="U23" s="807"/>
      <c r="V23" s="807"/>
      <c r="W23" s="807"/>
      <c r="X23" s="807"/>
    </row>
    <row r="24" spans="1:26" ht="14.25" customHeight="1" x14ac:dyDescent="0.3">
      <c r="A24" s="780"/>
      <c r="B24" s="780"/>
      <c r="C24" s="780"/>
      <c r="D24" s="780"/>
      <c r="E24" s="780"/>
      <c r="F24" s="4"/>
      <c r="G24" s="782" t="s">
        <v>1391</v>
      </c>
      <c r="H24" s="783"/>
      <c r="I24" s="783"/>
      <c r="J24" s="77"/>
      <c r="L24" s="798" t="s">
        <v>11</v>
      </c>
      <c r="M24" s="798"/>
      <c r="N24" s="798"/>
      <c r="P24" s="798" t="s">
        <v>12</v>
      </c>
      <c r="Q24" s="798"/>
      <c r="R24" s="798"/>
    </row>
    <row r="25" spans="1:26" ht="12.75" customHeight="1" x14ac:dyDescent="0.3">
      <c r="J25" s="77"/>
      <c r="L25" s="784" t="s">
        <v>1395</v>
      </c>
      <c r="M25" s="806"/>
      <c r="N25" s="806"/>
    </row>
    <row r="26" spans="1:26" ht="14.25" customHeight="1" x14ac:dyDescent="0.3">
      <c r="A26" s="780"/>
      <c r="B26" s="780"/>
      <c r="C26" s="780"/>
      <c r="D26" s="780"/>
      <c r="E26" s="780"/>
      <c r="F26" s="4"/>
      <c r="G26" s="782" t="s">
        <v>1391</v>
      </c>
      <c r="H26" s="783"/>
      <c r="I26" s="783"/>
      <c r="J26" s="77"/>
      <c r="L26" s="798" t="s">
        <v>13</v>
      </c>
      <c r="M26" s="798"/>
      <c r="N26" s="798"/>
    </row>
    <row r="27" spans="1:26" ht="12.75" customHeight="1" x14ac:dyDescent="0.25">
      <c r="J27" s="77"/>
      <c r="L27" s="790"/>
      <c r="M27" s="790"/>
      <c r="N27" s="790"/>
      <c r="O27" s="110"/>
      <c r="P27" s="808"/>
      <c r="Q27" s="808"/>
      <c r="R27" s="808"/>
    </row>
    <row r="28" spans="1:26" ht="12.75" customHeight="1" x14ac:dyDescent="0.3">
      <c r="A28" s="780"/>
      <c r="B28" s="780"/>
      <c r="C28" s="780"/>
      <c r="D28" s="780"/>
      <c r="E28" s="780"/>
      <c r="F28" s="4"/>
      <c r="G28" s="782" t="s">
        <v>1391</v>
      </c>
      <c r="H28" s="783"/>
      <c r="I28" s="783"/>
      <c r="J28" s="77"/>
      <c r="L28" s="780"/>
      <c r="M28" s="780"/>
      <c r="N28" s="780"/>
      <c r="P28" s="784" t="s">
        <v>1394</v>
      </c>
      <c r="Q28" s="783"/>
      <c r="R28" s="783"/>
    </row>
    <row r="29" spans="1:26" ht="14.25" customHeight="1" x14ac:dyDescent="0.25">
      <c r="D29" s="4"/>
      <c r="E29" s="4"/>
      <c r="F29" s="4"/>
      <c r="G29" s="4"/>
      <c r="J29" s="77"/>
      <c r="L29" s="798" t="s">
        <v>11</v>
      </c>
      <c r="M29" s="798"/>
      <c r="N29" s="798"/>
      <c r="P29" s="798" t="s">
        <v>12</v>
      </c>
      <c r="Q29" s="798"/>
      <c r="R29" s="798"/>
    </row>
    <row r="30" spans="1:26" ht="12.75" customHeight="1" x14ac:dyDescent="0.3">
      <c r="A30" s="780"/>
      <c r="B30" s="780"/>
      <c r="C30" s="780"/>
      <c r="D30" s="780"/>
      <c r="E30" s="780"/>
      <c r="F30" s="4"/>
      <c r="G30" s="782"/>
      <c r="H30" s="783"/>
      <c r="I30" s="783"/>
      <c r="K30" s="88"/>
      <c r="L30" s="784" t="s">
        <v>1396</v>
      </c>
      <c r="M30" s="806"/>
      <c r="N30" s="806"/>
    </row>
    <row r="31" spans="1:26" ht="30.75" customHeight="1" x14ac:dyDescent="0.3">
      <c r="A31" s="780"/>
      <c r="B31" s="780"/>
      <c r="C31" s="780"/>
      <c r="D31" s="780"/>
      <c r="E31" s="780"/>
      <c r="F31" s="4"/>
      <c r="G31" s="782"/>
      <c r="H31" s="783"/>
      <c r="I31" s="783"/>
      <c r="J31" s="77"/>
      <c r="K31" s="88"/>
      <c r="L31" s="798" t="s">
        <v>13</v>
      </c>
      <c r="M31" s="798"/>
      <c r="N31" s="798"/>
    </row>
    <row r="32" spans="1:26" ht="12.75" customHeight="1" x14ac:dyDescent="0.25">
      <c r="J32" s="77"/>
      <c r="K32" s="70"/>
      <c r="L32" s="71" t="s">
        <v>14</v>
      </c>
      <c r="M32" s="71"/>
      <c r="N32" s="71"/>
      <c r="O32" s="71"/>
      <c r="P32" s="71"/>
      <c r="Q32" s="71"/>
      <c r="R32" s="71"/>
    </row>
    <row r="33" spans="1:18" ht="12.75" customHeight="1" x14ac:dyDescent="0.3">
      <c r="A33" s="780"/>
      <c r="B33" s="780"/>
      <c r="C33" s="780"/>
      <c r="D33" s="780"/>
      <c r="E33" s="780"/>
      <c r="F33" s="4"/>
      <c r="G33" s="784"/>
      <c r="H33" s="783"/>
      <c r="I33" s="783"/>
      <c r="J33" s="77"/>
      <c r="L33" t="s">
        <v>15</v>
      </c>
      <c r="P33" s="7" t="s">
        <v>16</v>
      </c>
      <c r="Q33" s="803">
        <f>TotExpSchoolwide</f>
        <v>1834343</v>
      </c>
      <c r="R33" s="803"/>
    </row>
    <row r="34" spans="1:18" ht="12.75" customHeight="1" x14ac:dyDescent="0.25">
      <c r="A34" s="781" t="s">
        <v>17</v>
      </c>
      <c r="B34" s="781"/>
      <c r="C34" s="781"/>
      <c r="D34" s="781"/>
      <c r="E34" s="781"/>
      <c r="F34" s="4"/>
      <c r="G34" s="781" t="s">
        <v>18</v>
      </c>
      <c r="H34" s="781"/>
      <c r="I34" s="781"/>
      <c r="J34" s="77"/>
      <c r="L34" t="s">
        <v>19</v>
      </c>
      <c r="P34" s="7" t="s">
        <v>16</v>
      </c>
      <c r="Q34" s="803">
        <f>SP1000ClassSiteProj</f>
        <v>257066</v>
      </c>
      <c r="R34" s="803"/>
    </row>
    <row r="35" spans="1:18" ht="12.75" customHeight="1" x14ac:dyDescent="0.25">
      <c r="J35" s="77"/>
    </row>
  </sheetData>
  <sheetProtection sheet="1" formatCells="0" formatColumns="0" formatRows="0"/>
  <mergeCells count="58">
    <mergeCell ref="T20:X23"/>
    <mergeCell ref="L28:N28"/>
    <mergeCell ref="L29:N29"/>
    <mergeCell ref="L26:N26"/>
    <mergeCell ref="P23:R23"/>
    <mergeCell ref="P24:R24"/>
    <mergeCell ref="P27:R27"/>
    <mergeCell ref="L23:N23"/>
    <mergeCell ref="Q34:R34"/>
    <mergeCell ref="L31:N31"/>
    <mergeCell ref="L19:R19"/>
    <mergeCell ref="L21:N21"/>
    <mergeCell ref="O20:R20"/>
    <mergeCell ref="Q33:R33"/>
    <mergeCell ref="P29:R29"/>
    <mergeCell ref="P28:R28"/>
    <mergeCell ref="L25:N25"/>
    <mergeCell ref="L30:N30"/>
    <mergeCell ref="M1:N1"/>
    <mergeCell ref="D2:I2"/>
    <mergeCell ref="D3:I3"/>
    <mergeCell ref="D4:I4"/>
    <mergeCell ref="L27:N27"/>
    <mergeCell ref="B19:I20"/>
    <mergeCell ref="A26:E26"/>
    <mergeCell ref="L24:N24"/>
    <mergeCell ref="G21:I21"/>
    <mergeCell ref="B14:J14"/>
    <mergeCell ref="A22:E22"/>
    <mergeCell ref="G22:I22"/>
    <mergeCell ref="A1:C1"/>
    <mergeCell ref="D1:I1"/>
    <mergeCell ref="B12:J12"/>
    <mergeCell ref="B18:J18"/>
    <mergeCell ref="L4:R18"/>
    <mergeCell ref="L2:R3"/>
    <mergeCell ref="B6:I6"/>
    <mergeCell ref="B8:I8"/>
    <mergeCell ref="A21:E21"/>
    <mergeCell ref="B7:I7"/>
    <mergeCell ref="B10:J10"/>
    <mergeCell ref="B16:J16"/>
    <mergeCell ref="A6:A7"/>
    <mergeCell ref="A11:C11"/>
    <mergeCell ref="D11:J11"/>
    <mergeCell ref="G34:I34"/>
    <mergeCell ref="G24:I24"/>
    <mergeCell ref="G26:I26"/>
    <mergeCell ref="G28:I28"/>
    <mergeCell ref="G30:I30"/>
    <mergeCell ref="G31:I31"/>
    <mergeCell ref="G33:I33"/>
    <mergeCell ref="A24:E24"/>
    <mergeCell ref="A28:E28"/>
    <mergeCell ref="A30:E30"/>
    <mergeCell ref="A31:E31"/>
    <mergeCell ref="A34:E34"/>
    <mergeCell ref="A33:E33"/>
  </mergeCells>
  <conditionalFormatting sqref="A16:B16">
    <cfRule type="expression" priority="23" stopIfTrue="1">
      <formula>$A$16="X"</formula>
    </cfRule>
  </conditionalFormatting>
  <conditionalFormatting sqref="B10">
    <cfRule type="expression" dxfId="90" priority="28" stopIfTrue="1">
      <formula>$A$10="X"</formula>
    </cfRule>
  </conditionalFormatting>
  <conditionalFormatting sqref="B12 B14">
    <cfRule type="expression" priority="26" stopIfTrue="1">
      <formula>$A$14="X"</formula>
    </cfRule>
  </conditionalFormatting>
  <conditionalFormatting sqref="B12 D11">
    <cfRule type="expression" priority="27" stopIfTrue="1">
      <formula>$A$12="X"</formula>
    </cfRule>
  </conditionalFormatting>
  <conditionalFormatting sqref="D1 M1 R1">
    <cfRule type="expression" dxfId="89" priority="6" stopIfTrue="1">
      <formula>D1=""</formula>
    </cfRule>
  </conditionalFormatting>
  <conditionalFormatting sqref="D3:I3">
    <cfRule type="expression" dxfId="88" priority="4" stopIfTrue="1">
      <formula>$D$3=""</formula>
    </cfRule>
  </conditionalFormatting>
  <conditionalFormatting sqref="G22 G24 G26 G28 G30:G31 G33">
    <cfRule type="expression" dxfId="87" priority="5" stopIfTrue="1">
      <formula>$G22=""</formula>
    </cfRule>
  </conditionalFormatting>
  <conditionalFormatting sqref="L2:R3">
    <cfRule type="expression" dxfId="86" priority="15" stopIfTrue="1">
      <formula>$L$4&lt;&gt;""</formula>
    </cfRule>
  </conditionalFormatting>
  <conditionalFormatting sqref="N20 P23 L25 P28 L30">
    <cfRule type="expression" dxfId="85" priority="3" stopIfTrue="1">
      <formula>L20=""</formula>
    </cfRule>
  </conditionalFormatting>
  <conditionalFormatting sqref="T20">
    <cfRule type="expression" dxfId="84" priority="1" stopIfTrue="1">
      <formula>$Z$20="X"</formula>
    </cfRule>
  </conditionalFormatting>
  <dataValidations xWindow="701" yWindow="156" count="3">
    <dataValidation type="textLength" operator="equal" showInputMessage="1" showErrorMessage="1" prompt="This cell will only accept entries equal to 9 digits.  Charter schools must enter their CTD number plus 3 zeros." sqref="R1" xr:uid="{00000000-0002-0000-0100-000000000000}">
      <formula1>9</formula1>
    </dataValidation>
    <dataValidation type="date" operator="greaterThanOrEqual" allowBlank="1" showInputMessage="1" showErrorMessage="1" errorTitle="Date" error="Enter Valid Date_x000a_MM/DD/YYYY" promptTitle="Enter Date as" prompt="MM/DD/YYYY" sqref="N20" xr:uid="{00000000-0002-0000-0100-000001000000}">
      <formula1>42962</formula1>
    </dataValidation>
    <dataValidation type="list" allowBlank="1" showInputMessage="1" showErrorMessage="1" sqref="A14 A16 A12 A10 A18 Z20" xr:uid="{00000000-0002-0000-0100-000002000000}">
      <formula1>"X"</formula1>
    </dataValidation>
  </dataValidations>
  <hyperlinks>
    <hyperlink ref="A5" location="Instructions!A1" display="Instructions" xr:uid="{2B861A0A-DFC1-49B7-96B3-7836031BE8DE}"/>
    <hyperlink ref="A6:A7" location="Instructions!C4" display="Complete the Cover, School listing, and Accounting data tabs first. See instructions." xr:uid="{C77033CF-216B-4EE9-AB21-BE48DA9EFF98}"/>
    <hyperlink ref="A11:C11" location="websitelink" display="Charter website link of posted AFR" xr:uid="{D5CF705E-272C-4A1F-87E7-D9E01DFAACEB}"/>
  </hyperlinks>
  <pageMargins left="0.7" right="0.7" top="0.75" bottom="0.75" header="0.3" footer="0.3"/>
  <pageSetup scale="72" orientation="landscape" r:id="rId1"/>
  <headerFooter>
    <oddFooter>&amp;LRev. 8/25 Arizona Department of Education and Auditor General&amp;CFY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C66D-3F01-418F-9848-776D9E4BD0C0}">
  <sheetPr>
    <pageSetUpPr fitToPage="1"/>
  </sheetPr>
  <dimension ref="A1:AA43"/>
  <sheetViews>
    <sheetView showGridLines="0" topLeftCell="A24" zoomScaleNormal="100" workbookViewId="0">
      <selection activeCell="K42" sqref="K42"/>
    </sheetView>
  </sheetViews>
  <sheetFormatPr defaultColWidth="9.33203125" defaultRowHeight="13.2" x14ac:dyDescent="0.25"/>
  <cols>
    <col min="1" max="1" width="3.33203125" customWidth="1"/>
    <col min="2" max="2" width="17.77734375" customWidth="1"/>
    <col min="3" max="3" width="33.33203125" customWidth="1"/>
    <col min="4" max="4" width="13.77734375" customWidth="1"/>
    <col min="5" max="5" width="5" customWidth="1"/>
    <col min="6" max="6" width="14" customWidth="1"/>
    <col min="7" max="7" width="7.33203125" customWidth="1"/>
    <col min="8" max="8" width="13.77734375" customWidth="1"/>
    <col min="9" max="11" width="9.33203125" customWidth="1"/>
    <col min="12" max="12" width="10.33203125" customWidth="1"/>
    <col min="13" max="13" width="11.33203125" customWidth="1"/>
    <col min="14" max="17" width="9.33203125" customWidth="1"/>
    <col min="18" max="26" width="9.33203125" hidden="1" customWidth="1"/>
    <col min="27" max="27" width="9.33203125" customWidth="1"/>
  </cols>
  <sheetData>
    <row r="1" spans="1:14" x14ac:dyDescent="0.25">
      <c r="A1" s="802" t="s">
        <v>0</v>
      </c>
      <c r="B1" s="802"/>
      <c r="C1" s="1" t="str">
        <f>'Cover Page'!D1</f>
        <v>The Edge School, Inc</v>
      </c>
      <c r="G1" s="61" t="s">
        <v>1</v>
      </c>
      <c r="H1" s="810" t="str">
        <f>'Cover Page'!M1</f>
        <v>Pima</v>
      </c>
      <c r="I1" s="810"/>
      <c r="L1" s="61" t="s">
        <v>2</v>
      </c>
      <c r="M1" s="809" t="str">
        <f>'Cover Page'!R1</f>
        <v>108653000</v>
      </c>
      <c r="N1" s="810"/>
    </row>
    <row r="2" spans="1:14" x14ac:dyDescent="0.25">
      <c r="F2" s="4"/>
      <c r="G2" s="4"/>
      <c r="H2" t="s">
        <v>20</v>
      </c>
    </row>
    <row r="3" spans="1:14" x14ac:dyDescent="0.25">
      <c r="A3" s="548" t="s">
        <v>21</v>
      </c>
      <c r="B3" s="548"/>
      <c r="D3" s="815" t="s">
        <v>726</v>
      </c>
      <c r="E3" s="815"/>
      <c r="F3" s="815"/>
    </row>
    <row r="4" spans="1:14" x14ac:dyDescent="0.25">
      <c r="A4" s="548" t="s">
        <v>22</v>
      </c>
      <c r="H4" s="62" t="s">
        <v>23</v>
      </c>
      <c r="J4" s="63"/>
      <c r="K4" s="63"/>
      <c r="L4" s="63"/>
    </row>
    <row r="5" spans="1:14" x14ac:dyDescent="0.25">
      <c r="A5" s="7" t="s">
        <v>24</v>
      </c>
      <c r="B5" s="816" t="s">
        <v>25</v>
      </c>
      <c r="C5" s="816"/>
      <c r="D5" s="816"/>
      <c r="H5" s="551">
        <f>-(SUMIFS('Accounting data'!$G$2:$G$37000,'Accounting data'!$K$2:$K$37000,"1310*"))+SUMIFS('Accounting data'!$G$2:$G$37000,'Accounting data'!$H$2:$H$37000,"9999*",'Accounting data'!$K$2:$K$37000,"1310*")</f>
        <v>0</v>
      </c>
      <c r="I5" s="566" t="s">
        <v>24</v>
      </c>
      <c r="J5" s="63"/>
      <c r="K5" s="63"/>
      <c r="L5" s="63"/>
    </row>
    <row r="6" spans="1:14" x14ac:dyDescent="0.25">
      <c r="A6" s="7" t="s">
        <v>26</v>
      </c>
      <c r="B6" s="816" t="s">
        <v>27</v>
      </c>
      <c r="C6" s="816"/>
      <c r="D6" s="816"/>
      <c r="H6" s="551">
        <f>-(SUMIFS('Accounting data'!$G$2:$G$37000,'Accounting data'!$K$2:$K$37000,"1320*"))+SUMIFS('Accounting data'!$G$2:$G$37000,'Accounting data'!$H$2:$H$37000,"9999*",'Accounting data'!$K$2:$K$37000,"1320*")</f>
        <v>0</v>
      </c>
      <c r="I6" s="566" t="s">
        <v>26</v>
      </c>
      <c r="J6" s="63"/>
      <c r="K6" s="63"/>
      <c r="L6" s="63"/>
    </row>
    <row r="7" spans="1:14" ht="12.75" customHeight="1" x14ac:dyDescent="0.25">
      <c r="A7" s="7" t="s">
        <v>28</v>
      </c>
      <c r="B7" s="790" t="s">
        <v>29</v>
      </c>
      <c r="C7" s="790"/>
      <c r="D7" s="790"/>
      <c r="H7" s="551">
        <f>-(SUMIFS('Accounting data'!$G$2:$G$37000,'Accounting data'!$K$2:$K$37000,"1410*"))+SUMIFS('Accounting data'!$G$2:$G$37000,'Accounting data'!$H$2:$H$37000,"9999*",'Accounting data'!$K$2:$K$37000,"1410*")</f>
        <v>0</v>
      </c>
      <c r="I7" s="566" t="s">
        <v>28</v>
      </c>
      <c r="J7" s="813" t="s">
        <v>30</v>
      </c>
      <c r="K7" s="813"/>
      <c r="L7" s="63"/>
    </row>
    <row r="8" spans="1:14" x14ac:dyDescent="0.25">
      <c r="A8" s="7" t="s">
        <v>31</v>
      </c>
      <c r="B8" s="790" t="s">
        <v>32</v>
      </c>
      <c r="C8" s="790"/>
      <c r="D8" s="790"/>
      <c r="H8" s="551">
        <f>-(SUMIFS('Accounting data'!$G$2:$G$37000,'Accounting data'!$K$2:$K$37000,"1420*"))+SUMIFS('Accounting data'!$G$2:$G$37000,'Accounting data'!$H$2:$H$37000,"9999*",'Accounting data'!$K$2:$K$37000,"1420*")</f>
        <v>0</v>
      </c>
      <c r="I8" s="566" t="s">
        <v>31</v>
      </c>
      <c r="J8" s="813"/>
      <c r="K8" s="813"/>
      <c r="L8" s="63"/>
    </row>
    <row r="9" spans="1:14" x14ac:dyDescent="0.25">
      <c r="A9" s="7" t="s">
        <v>33</v>
      </c>
      <c r="B9" s="790" t="s">
        <v>34</v>
      </c>
      <c r="C9" s="790"/>
      <c r="H9" s="551">
        <f>-(SUMIFS('Accounting data'!$G$2:$G$37000,'Accounting data'!$K$2:$K$37000,"1500*"))+SUMIFS('Accounting data'!$G$2:$G$37000,'Accounting data'!$H$2:$H$37000,"9999*",'Accounting data'!$K$2:$K$37000,"1500*")</f>
        <v>4304</v>
      </c>
      <c r="I9" s="566" t="s">
        <v>33</v>
      </c>
      <c r="J9" s="813"/>
      <c r="K9" s="813"/>
      <c r="L9" s="63"/>
    </row>
    <row r="10" spans="1:14" x14ac:dyDescent="0.25">
      <c r="A10" s="666" t="s">
        <v>35</v>
      </c>
      <c r="B10" s="804" t="s">
        <v>1301</v>
      </c>
      <c r="C10" s="804"/>
      <c r="H10" s="551">
        <f>IF('Food Service'!$E$7="",J10,'Food Service'!$E$7)</f>
        <v>0</v>
      </c>
      <c r="I10" s="566" t="s">
        <v>35</v>
      </c>
      <c r="J10" s="814">
        <f>-(SUMIFS('Accounting data'!$G$2:$G$37000,'Accounting data'!$K$2:$K$37000,"1600*"))+SUMIFS('Accounting data'!$G$2:$G$37000,'Accounting data'!$H$2:$H$37000,"9999*",'Accounting data'!$K$2:$K$37000,"1600*")</f>
        <v>0</v>
      </c>
      <c r="K10" s="814"/>
      <c r="L10" s="63" t="str">
        <f>IF(H10&lt;&gt;J10,"The amount reported for 1600 food service revenue from the Food Service AFR does not agree to the amount in the Accounting Data Tab. Please verify the amounts and ensure they agree.","")</f>
        <v/>
      </c>
    </row>
    <row r="11" spans="1:14" x14ac:dyDescent="0.25">
      <c r="A11" s="7" t="s">
        <v>36</v>
      </c>
      <c r="B11" s="790" t="s">
        <v>37</v>
      </c>
      <c r="C11" s="790"/>
      <c r="H11" s="551">
        <f>-(SUMIFS('Accounting data'!$G$2:$G$37000,'Accounting data'!$K$2:$K$37000,"1700*"))+SUMIFS('Accounting data'!$G$2:$G$37000,'Accounting data'!$H$2:$H$37000,"9999*",'Accounting data'!$K$2:$K$37000,"1700*")</f>
        <v>0</v>
      </c>
      <c r="I11" s="566" t="s">
        <v>36</v>
      </c>
      <c r="J11" s="63"/>
      <c r="K11" s="63"/>
      <c r="L11" s="63"/>
    </row>
    <row r="12" spans="1:14" x14ac:dyDescent="0.25">
      <c r="A12" s="64" t="s">
        <v>38</v>
      </c>
      <c r="B12" s="790" t="s">
        <v>39</v>
      </c>
      <c r="C12" s="790"/>
      <c r="D12" s="790"/>
      <c r="E12" s="790"/>
      <c r="F12" s="790"/>
      <c r="H12" s="551">
        <f>-(SUMIFS('Accounting data'!$G$2:$G$37000,'Accounting data'!$K$2:$K$37000,"1750*"))+SUMIFS('Accounting data'!$G$2:$G$37000,'Accounting data'!$H$2:$H$37000,"9999*",'Accounting data'!$K$2:$K$37000,"1750*")</f>
        <v>0</v>
      </c>
      <c r="I12" s="578" t="s">
        <v>38</v>
      </c>
      <c r="J12" s="63"/>
      <c r="K12" s="63"/>
      <c r="L12" s="63"/>
    </row>
    <row r="13" spans="1:14" x14ac:dyDescent="0.25">
      <c r="A13" s="65" t="s">
        <v>40</v>
      </c>
      <c r="B13" s="790" t="s">
        <v>41</v>
      </c>
      <c r="C13" s="790"/>
      <c r="H13" s="551">
        <f>-(SUMIFS('Accounting data'!$G$2:$G$37000,'Accounting data'!$K$2:$K$37000,"1790*"))+SUMIFS('Accounting data'!$G$2:$G$37000,'Accounting data'!$H$2:$H$37000,"9999*",'Accounting data'!$K$2:$K$37000,"1790*")</f>
        <v>10400</v>
      </c>
      <c r="I13" s="578" t="s">
        <v>40</v>
      </c>
      <c r="J13" s="66"/>
      <c r="K13" s="63"/>
      <c r="L13" s="63"/>
    </row>
    <row r="14" spans="1:14" x14ac:dyDescent="0.25">
      <c r="A14" s="65" t="s">
        <v>42</v>
      </c>
      <c r="B14" s="790" t="s">
        <v>43</v>
      </c>
      <c r="C14" s="790"/>
      <c r="H14" s="671">
        <f>-(SUMIFS('Accounting data'!$G$2:$G$37000,'Accounting data'!$K$2:$K$37000,"1800*"))+SUMIFS('Accounting data'!$G$2:$G$37000,'Accounting data'!$H$2:$H$37000,"9999*",'Accounting data'!$K$2:$K$37000,"1800*")</f>
        <v>0</v>
      </c>
      <c r="I14" s="578" t="s">
        <v>42</v>
      </c>
      <c r="J14" s="63"/>
      <c r="K14" s="63"/>
      <c r="L14" s="63"/>
    </row>
    <row r="15" spans="1:14" x14ac:dyDescent="0.25">
      <c r="A15" s="65" t="s">
        <v>44</v>
      </c>
      <c r="B15" s="698" t="s">
        <v>1293</v>
      </c>
      <c r="C15" s="696"/>
      <c r="D15" s="697"/>
      <c r="E15" s="696"/>
      <c r="F15" s="697"/>
      <c r="H15" s="671">
        <f>-(SUMIFS('Accounting data'!$G$2:$G$37000,'Accounting data'!$K$2:$K$37000,"1900*"))+SUMIFS('Accounting data'!$G$2:$G$37000,'Accounting data'!$H$2:$H$37000,"9999*",'Accounting data'!$K$2:$K$37000,"1900*")</f>
        <v>40</v>
      </c>
      <c r="I15" s="578" t="s">
        <v>44</v>
      </c>
      <c r="J15" s="63"/>
      <c r="K15" s="63"/>
      <c r="L15" s="63"/>
    </row>
    <row r="16" spans="1:14" x14ac:dyDescent="0.25">
      <c r="A16" s="65" t="s">
        <v>45</v>
      </c>
      <c r="B16" s="698" t="s">
        <v>1280</v>
      </c>
      <c r="C16" s="698"/>
      <c r="D16" s="698"/>
      <c r="E16" s="698"/>
      <c r="F16" s="698"/>
      <c r="H16" s="671">
        <f>-(SUMIFS('Accounting data'!$G$2:$G$37000,'Accounting data'!$K$2:$K$37000,"1910*"))+SUMIFS('Accounting data'!$G$2:$G$37000,'Accounting data'!$H$2:$H$37000,"9999*",'Accounting data'!$K$2:$K$37000,"1910*")</f>
        <v>8342</v>
      </c>
      <c r="I16" s="578" t="s">
        <v>45</v>
      </c>
      <c r="J16" s="63"/>
      <c r="K16" s="63"/>
      <c r="L16" s="63"/>
    </row>
    <row r="17" spans="1:27" x14ac:dyDescent="0.25">
      <c r="A17" s="65" t="s">
        <v>47</v>
      </c>
      <c r="B17" s="790" t="s">
        <v>46</v>
      </c>
      <c r="C17" s="790"/>
      <c r="H17" s="671">
        <f>-(SUMIFS('Accounting data'!$G$2:$G$37000,'Accounting data'!$K$2:$K$37000,"1920*"))+SUMIFS('Accounting data'!$G$2:$G$37000,'Accounting data'!$H$2:$H$37000,"9999*",'Accounting data'!$K$2:$K$37000,"1920*")</f>
        <v>148439</v>
      </c>
      <c r="I17" s="578" t="s">
        <v>47</v>
      </c>
      <c r="J17" s="63"/>
      <c r="K17" s="63"/>
      <c r="L17" s="63"/>
    </row>
    <row r="18" spans="1:27" x14ac:dyDescent="0.25">
      <c r="A18" s="65" t="s">
        <v>49</v>
      </c>
      <c r="B18" s="698" t="s">
        <v>1281</v>
      </c>
      <c r="C18" s="698"/>
      <c r="D18" s="698"/>
      <c r="E18" s="698"/>
      <c r="F18" s="698"/>
      <c r="H18" s="671">
        <f>-(SUMIFS('Accounting data'!$G$2:$G$37000,'Accounting data'!$K$2:$K$37000,"1950*"))+SUMIFS('Accounting data'!$G$2:$G$37000,'Accounting data'!$H$2:$H$37000,"9999*",'Accounting data'!$K$2:$K$37000,"1950*")</f>
        <v>3448</v>
      </c>
      <c r="I18" s="578" t="s">
        <v>49</v>
      </c>
      <c r="J18" s="63"/>
      <c r="K18" s="63"/>
      <c r="L18" s="63"/>
    </row>
    <row r="19" spans="1:27" x14ac:dyDescent="0.25">
      <c r="A19" s="65" t="s">
        <v>51</v>
      </c>
      <c r="B19" s="698" t="s">
        <v>1282</v>
      </c>
      <c r="C19" s="698"/>
      <c r="D19" s="698"/>
      <c r="E19" s="698"/>
      <c r="F19" s="698"/>
      <c r="H19" s="671">
        <f>-(SUMIFS('Accounting data'!$G$2:$G$37000,'Accounting data'!$K$2:$K$37000,"1960*"))+SUMIFS('Accounting data'!$G$2:$G$37000,'Accounting data'!$H$2:$H$37000,"9999*",'Accounting data'!$K$2:$K$37000,"1960*")</f>
        <v>0</v>
      </c>
      <c r="I19" s="578" t="s">
        <v>51</v>
      </c>
      <c r="J19" s="63"/>
      <c r="K19" s="63"/>
      <c r="L19" s="63"/>
    </row>
    <row r="20" spans="1:27" ht="14.4" x14ac:dyDescent="0.3">
      <c r="A20" s="670" t="s">
        <v>53</v>
      </c>
      <c r="B20" s="804" t="s">
        <v>48</v>
      </c>
      <c r="C20" s="804"/>
      <c r="D20" s="811"/>
      <c r="E20" s="812"/>
      <c r="F20" s="812"/>
      <c r="H20" s="671">
        <f>-(SUMIFS('Accounting data'!$G$2:$G$37000,'Accounting data'!$K$2:$K$37000,"Other Revenue from Local Sources"))+SUMIFS('Accounting data'!$G$2:$G$37000,'Accounting data'!$H$2:$H$37000,"9999*",'Accounting data'!$K$2:$K$37000,"Other Revenue from Local Sources")</f>
        <v>0</v>
      </c>
      <c r="I20" s="578" t="s">
        <v>53</v>
      </c>
      <c r="J20" s="63"/>
      <c r="K20" s="63"/>
      <c r="L20" s="63"/>
      <c r="AA20" s="50" t="str">
        <f>IF(OR(AND(D20="",H20&lt;&gt;0),AND(D25="",H25&lt;&gt;0),AND(D32="",H32&lt;&gt;0),AND(D40="",H40&lt;&gt;0)),"yes","")</f>
        <v/>
      </c>
    </row>
    <row r="21" spans="1:27" x14ac:dyDescent="0.25">
      <c r="A21" s="670" t="s">
        <v>55</v>
      </c>
      <c r="B21" s="804" t="s">
        <v>1302</v>
      </c>
      <c r="C21" s="804"/>
      <c r="H21" s="550">
        <f>-(SUMIFS('Accounting data'!$G$2:$G$37000,'Accounting data'!$K$2:$K$37000,"1*"))+SUMIFS('Accounting data'!$G$2:$G$37000,'Accounting data'!$H$2:$H$37000,"9999*",'Accounting data'!$K$2:$K$37000,"1*")+H20</f>
        <v>174973</v>
      </c>
      <c r="I21" s="578" t="s">
        <v>55</v>
      </c>
      <c r="J21" s="63"/>
      <c r="K21" s="63"/>
      <c r="L21" s="63"/>
    </row>
    <row r="22" spans="1:27" x14ac:dyDescent="0.25">
      <c r="A22" s="548" t="s">
        <v>50</v>
      </c>
      <c r="B22" s="548"/>
      <c r="H22" s="28"/>
      <c r="I22" s="566" t="s">
        <v>20</v>
      </c>
      <c r="J22" s="63"/>
      <c r="K22" s="63"/>
      <c r="L22" s="63"/>
    </row>
    <row r="23" spans="1:27" x14ac:dyDescent="0.25">
      <c r="A23" s="670" t="s">
        <v>57</v>
      </c>
      <c r="B23" s="804" t="s">
        <v>52</v>
      </c>
      <c r="C23" s="804"/>
      <c r="H23" s="551">
        <f>-(SUMIFS('Accounting data'!$G$2:$G$37000,'Accounting data'!$K$2:$K$37000,"2100*"))+SUMIFS('Accounting data'!$G$2:$G$37000,'Accounting data'!$H$2:$H$37000,"9999*",'Accounting data'!$K$2:$K$37000,"2100*")</f>
        <v>0</v>
      </c>
      <c r="I23" s="578" t="s">
        <v>57</v>
      </c>
      <c r="J23" s="63"/>
      <c r="K23" s="63"/>
      <c r="L23" s="63"/>
    </row>
    <row r="24" spans="1:27" x14ac:dyDescent="0.25">
      <c r="A24" s="670" t="s">
        <v>59</v>
      </c>
      <c r="B24" s="804" t="s">
        <v>54</v>
      </c>
      <c r="C24" s="804"/>
      <c r="H24" s="551">
        <f>-(SUMIFS('Accounting data'!$G$2:$G$37000,'Accounting data'!$K$2:$K$37000,"2200*"))+SUMIFS('Accounting data'!$G$2:$G$37000,'Accounting data'!$H$2:$H$37000,"9999*",'Accounting data'!$K$2:$K$37000,"2200*")</f>
        <v>0</v>
      </c>
      <c r="I24" s="578" t="s">
        <v>59</v>
      </c>
      <c r="J24" s="63"/>
      <c r="K24" s="63"/>
      <c r="L24" s="63"/>
    </row>
    <row r="25" spans="1:27" ht="14.4" x14ac:dyDescent="0.3">
      <c r="A25" s="670" t="s">
        <v>61</v>
      </c>
      <c r="B25" s="804" t="s">
        <v>56</v>
      </c>
      <c r="C25" s="804"/>
      <c r="D25" s="811"/>
      <c r="E25" s="812"/>
      <c r="F25" s="812"/>
      <c r="H25" s="551">
        <f>-(SUMIFS('Accounting data'!$G$2:$G$37000,'Accounting data'!$K$2:$K$37000,"Other Revenue from Intermediate Sources"))+SUMIFS('Accounting data'!$G$2:$G$37000,'Accounting data'!$H$2:$H$37000,"9999*",'Accounting data'!$K$2:$K$37000,"Other Revenue from Intermediate Sources")</f>
        <v>0</v>
      </c>
      <c r="I25" s="578" t="s">
        <v>61</v>
      </c>
      <c r="J25" s="67"/>
      <c r="K25" s="67"/>
      <c r="L25" s="67"/>
      <c r="M25" s="68"/>
    </row>
    <row r="26" spans="1:27" x14ac:dyDescent="0.25">
      <c r="A26" s="670" t="s">
        <v>63</v>
      </c>
      <c r="B26" s="804" t="s">
        <v>1303</v>
      </c>
      <c r="C26" s="804"/>
      <c r="H26" s="550">
        <f>-(SUMIFS('Accounting data'!$G$2:$G$37000,'Accounting data'!$K$2:$K$37000,"2*"))+SUMIFS('Accounting data'!$G$2:$G$37000,'Accounting data'!$H$2:$H$37000,"9999*",'Accounting data'!$K$2:$K$37000,"2*")+H25</f>
        <v>0</v>
      </c>
      <c r="I26" s="578" t="s">
        <v>63</v>
      </c>
      <c r="J26" s="63"/>
      <c r="K26" s="63"/>
      <c r="L26" s="63"/>
    </row>
    <row r="27" spans="1:27" x14ac:dyDescent="0.25">
      <c r="A27" s="548" t="s">
        <v>58</v>
      </c>
      <c r="B27" s="548"/>
      <c r="H27" s="28"/>
      <c r="I27" s="566"/>
      <c r="J27" s="63"/>
      <c r="K27" s="63"/>
      <c r="L27" s="63"/>
    </row>
    <row r="28" spans="1:27" x14ac:dyDescent="0.25">
      <c r="A28" s="65" t="s">
        <v>65</v>
      </c>
      <c r="B28" s="790" t="s">
        <v>60</v>
      </c>
      <c r="C28" s="790"/>
      <c r="H28" s="551">
        <f>-(SUMIFS('Accounting data'!$G$2:$G$37000,'Accounting data'!$K$2:$K$37000,"3110*"))+SUMIFS('Accounting data'!$G$2:$G$37000,'Accounting data'!$H$2:$H$37000,"9999*",'Accounting data'!$K$2:$K$37000,"3110*")</f>
        <v>1641780</v>
      </c>
      <c r="I28" s="578" t="s">
        <v>65</v>
      </c>
      <c r="J28" s="63"/>
      <c r="K28" s="63"/>
      <c r="L28" s="63"/>
    </row>
    <row r="29" spans="1:27" x14ac:dyDescent="0.25">
      <c r="A29" s="64" t="s">
        <v>67</v>
      </c>
      <c r="B29" s="790" t="s">
        <v>62</v>
      </c>
      <c r="C29" s="790"/>
      <c r="H29" s="551">
        <f>-(SUMIFS('Accounting data'!$G$2:$G$37000,'Accounting data'!$K$2:$K$37000,"3130*"))+SUMIFS('Accounting data'!$G$2:$G$37000,'Accounting data'!$H$2:$H$37000,"9999*",'Accounting data'!$K$2:$K$37000,"3130*")</f>
        <v>22224</v>
      </c>
      <c r="I29" s="578" t="s">
        <v>67</v>
      </c>
      <c r="J29" s="63"/>
      <c r="K29" s="63"/>
      <c r="L29" s="63"/>
    </row>
    <row r="30" spans="1:27" x14ac:dyDescent="0.25">
      <c r="A30" s="667" t="s">
        <v>69</v>
      </c>
      <c r="B30" s="790" t="s">
        <v>64</v>
      </c>
      <c r="C30" s="790"/>
      <c r="H30" s="551">
        <f>-(SUMIFS('Accounting data'!$G$2:$G$37000,'Accounting data'!$K$2:$K$37000,"3200*"))+SUMIFS('Accounting data'!$G$2:$G$37000,'Accounting data'!$H$2:$H$37000,"9999*",'Accounting data'!$K$2:$K$37000,"3200*")</f>
        <v>0</v>
      </c>
      <c r="I30" s="578" t="s">
        <v>69</v>
      </c>
      <c r="J30" s="67"/>
      <c r="K30" s="67"/>
      <c r="L30" s="67"/>
      <c r="M30" s="68"/>
    </row>
    <row r="31" spans="1:27" x14ac:dyDescent="0.25">
      <c r="A31" s="65" t="s">
        <v>71</v>
      </c>
      <c r="B31" s="790" t="s">
        <v>66</v>
      </c>
      <c r="C31" s="790"/>
      <c r="H31" s="551">
        <f>-(SUMIFS('Accounting data'!$G$2:$G$37000,'Accounting data'!$K$2:$K$37000,"3900*"))+SUMIFS('Accounting data'!$G$2:$G$37000,'Accounting data'!$H$2:$H$37000,"9999*",'Accounting data'!$K$2:$K$37000,"3900*")</f>
        <v>184864</v>
      </c>
      <c r="I31" s="578" t="s">
        <v>71</v>
      </c>
      <c r="J31" s="63"/>
      <c r="K31" s="63"/>
      <c r="L31" s="63"/>
    </row>
    <row r="32" spans="1:27" ht="14.4" x14ac:dyDescent="0.3">
      <c r="A32" s="65" t="s">
        <v>73</v>
      </c>
      <c r="B32" s="790" t="s">
        <v>68</v>
      </c>
      <c r="C32" s="790"/>
      <c r="D32" s="811"/>
      <c r="E32" s="812"/>
      <c r="F32" s="812"/>
      <c r="H32" s="551">
        <f>-(SUMIFS('Accounting data'!$G$2:$G$37000,'Accounting data'!$K$2:$K$37000,"Other Revenue from State Sources"))+SUMIFS('Accounting data'!$G$2:$G$37000,'Accounting data'!$H$2:$H$37000,"9999*",'Accounting data'!$K$2:$K$37000,"Other Revenue from State Sources")</f>
        <v>0</v>
      </c>
      <c r="I32" s="578" t="s">
        <v>73</v>
      </c>
      <c r="J32" s="63"/>
      <c r="K32" s="63"/>
      <c r="L32" s="63"/>
    </row>
    <row r="33" spans="1:13" x14ac:dyDescent="0.25">
      <c r="A33" s="65" t="s">
        <v>75</v>
      </c>
      <c r="B33" s="804" t="s">
        <v>1304</v>
      </c>
      <c r="C33" s="804"/>
      <c r="H33" s="550">
        <f>-(SUMIFS('Accounting data'!$G$2:$G$37000,'Accounting data'!$K$2:$K$37000,"3*"))+SUMIFS('Accounting data'!$G$2:$G$37000,'Accounting data'!$H$2:$H$37000,"9999*",'Accounting data'!$K$2:$K$37000,"3*")+H32</f>
        <v>1848868</v>
      </c>
      <c r="I33" s="578" t="s">
        <v>75</v>
      </c>
      <c r="J33" s="63"/>
      <c r="K33" s="63"/>
      <c r="L33" s="63"/>
    </row>
    <row r="34" spans="1:13" x14ac:dyDescent="0.25">
      <c r="A34" s="3" t="s">
        <v>70</v>
      </c>
      <c r="B34" s="548"/>
      <c r="H34" s="28"/>
      <c r="I34" s="566"/>
      <c r="J34" s="63"/>
      <c r="K34" s="63"/>
      <c r="L34" s="63"/>
    </row>
    <row r="35" spans="1:13" x14ac:dyDescent="0.25">
      <c r="A35" s="667" t="s">
        <v>77</v>
      </c>
      <c r="B35" s="790" t="s">
        <v>72</v>
      </c>
      <c r="C35" s="790"/>
      <c r="D35" s="790"/>
      <c r="E35" s="790"/>
      <c r="F35" s="790"/>
      <c r="H35" s="551">
        <f>-(SUMIFS('Accounting data'!$G$2:$G$37000,'Accounting data'!$K$2:$K$37000,"4100*"))+SUMIFS('Accounting data'!$G$2:$G$37000,'Accounting data'!$H$2:$H$37000,"9999*",'Accounting data'!$K$2:$K$37000,"4100*")</f>
        <v>39879</v>
      </c>
      <c r="I35" s="578" t="s">
        <v>77</v>
      </c>
      <c r="J35" s="63"/>
      <c r="K35" s="63"/>
      <c r="L35" s="63"/>
      <c r="M35" s="547"/>
    </row>
    <row r="36" spans="1:13" x14ac:dyDescent="0.25">
      <c r="A36" s="667" t="s">
        <v>79</v>
      </c>
      <c r="B36" s="790" t="s">
        <v>74</v>
      </c>
      <c r="C36" s="790"/>
      <c r="D36" s="790"/>
      <c r="E36" s="790"/>
      <c r="F36" s="790"/>
      <c r="H36" s="551">
        <f>-(SUMIFS('Accounting data'!$G$2:$G$37000,'Accounting data'!$K$2:$K$37000,"4200*"))+SUMIFS('Accounting data'!$G$2:$G$37000,'Accounting data'!$H$2:$H$37000,"9999*",'Accounting data'!$K$2:$K$37000,"4200*")</f>
        <v>240511</v>
      </c>
      <c r="I36" s="578" t="s">
        <v>79</v>
      </c>
      <c r="J36" s="67"/>
      <c r="K36" s="67"/>
      <c r="L36" s="63"/>
    </row>
    <row r="37" spans="1:13" x14ac:dyDescent="0.25">
      <c r="A37" s="69" t="s">
        <v>81</v>
      </c>
      <c r="B37" s="790" t="s">
        <v>76</v>
      </c>
      <c r="C37" s="790"/>
      <c r="D37" s="790"/>
      <c r="E37" s="790"/>
      <c r="F37" s="790"/>
      <c r="G37" s="790"/>
      <c r="H37" s="551">
        <f>-(SUMIFS('Accounting data'!$G$2:$G$37000,'Accounting data'!$K$2:$K$37000,"4700*"))+SUMIFS('Accounting data'!$G$2:$G$37000,'Accounting data'!$H$2:$H$37000,"9999*",'Accounting data'!$K$2:$K$37000,"4700*")</f>
        <v>0</v>
      </c>
      <c r="I37" s="578" t="s">
        <v>81</v>
      </c>
      <c r="J37" s="67"/>
      <c r="K37" s="67"/>
      <c r="L37" s="63"/>
    </row>
    <row r="38" spans="1:13" x14ac:dyDescent="0.25">
      <c r="A38" s="69" t="s">
        <v>83</v>
      </c>
      <c r="B38" s="566" t="s">
        <v>78</v>
      </c>
      <c r="H38" s="551">
        <f>-(SUMIFS('Accounting data'!$G$2:$G$37000,'Accounting data'!$K$2:$K$37000,"4800*"))+SUMIFS('Accounting data'!$G$2:$G$37000,'Accounting data'!$H$2:$H$37000,"9999*",'Accounting data'!$K$2:$K$37000,"4800*")</f>
        <v>0</v>
      </c>
      <c r="I38" s="578" t="s">
        <v>83</v>
      </c>
      <c r="J38" s="63"/>
      <c r="K38" s="63"/>
      <c r="L38" s="63"/>
    </row>
    <row r="39" spans="1:13" x14ac:dyDescent="0.25">
      <c r="A39" s="69" t="s">
        <v>84</v>
      </c>
      <c r="B39" s="790" t="s">
        <v>80</v>
      </c>
      <c r="C39" s="790"/>
      <c r="D39" s="790"/>
      <c r="E39" s="790"/>
      <c r="F39" s="790"/>
      <c r="G39" s="790"/>
      <c r="H39" s="551">
        <f>-(SUMIFS('Accounting data'!$G$2:$G$37000,'Accounting data'!$K$2:$K$37000,"4900*"))+SUMIFS('Accounting data'!$G$2:$G$37000,'Accounting data'!$H$2:$H$37000,"9999*",'Accounting data'!$K$2:$K$37000,"4900*")</f>
        <v>0</v>
      </c>
      <c r="I39" s="578" t="s">
        <v>84</v>
      </c>
      <c r="J39" s="63"/>
      <c r="K39" s="63"/>
      <c r="L39" s="63"/>
    </row>
    <row r="40" spans="1:13" ht="14.4" x14ac:dyDescent="0.3">
      <c r="A40" s="69" t="s">
        <v>137</v>
      </c>
      <c r="B40" s="790" t="s">
        <v>82</v>
      </c>
      <c r="C40" s="790"/>
      <c r="D40" s="811"/>
      <c r="E40" s="812"/>
      <c r="F40" s="812"/>
      <c r="H40" s="551">
        <f>-(SUMIFS('Accounting data'!$G$2:$G$37000,'Accounting data'!$K$2:$K$37000,"Other Revenue from Federal Sources"))+SUMIFS('Accounting data'!$G$2:$G$37000,'Accounting data'!$H$2:$H$37000,"9999*",'Accounting data'!$K$2:$K$37000,"Other Revenue from Federal Sources")</f>
        <v>0</v>
      </c>
      <c r="I40" s="578" t="s">
        <v>137</v>
      </c>
      <c r="J40" s="63"/>
      <c r="K40" s="63"/>
      <c r="L40" s="63"/>
    </row>
    <row r="41" spans="1:13" x14ac:dyDescent="0.25">
      <c r="A41" s="69" t="s">
        <v>138</v>
      </c>
      <c r="B41" s="804" t="s">
        <v>1305</v>
      </c>
      <c r="C41" s="804"/>
      <c r="H41" s="604">
        <f>-(SUMIFS('Accounting data'!$G$2:$G$37000,'Accounting data'!$K$2:$K$37000,"4*"))+SUMIFS('Accounting data'!$G$2:$G$37000,'Accounting data'!$H$2:$H$37000,"9999*",'Accounting data'!$K$2:$K$37000,"4*")+H40</f>
        <v>280390</v>
      </c>
      <c r="I41" s="578" t="s">
        <v>138</v>
      </c>
      <c r="J41" s="63"/>
      <c r="K41" s="63"/>
      <c r="L41" s="63"/>
    </row>
    <row r="42" spans="1:13" x14ac:dyDescent="0.25">
      <c r="A42" s="7"/>
      <c r="B42" s="548"/>
      <c r="H42" s="28"/>
      <c r="I42" s="566"/>
      <c r="J42" s="63"/>
      <c r="K42" s="63"/>
      <c r="L42" s="63"/>
    </row>
    <row r="43" spans="1:13" x14ac:dyDescent="0.25">
      <c r="A43" s="69" t="s">
        <v>140</v>
      </c>
      <c r="B43" s="817" t="s">
        <v>1306</v>
      </c>
      <c r="C43" s="817"/>
      <c r="D43" s="817"/>
      <c r="H43" s="551">
        <f>SUM(H21,H26,H33,H41)</f>
        <v>2304231</v>
      </c>
      <c r="I43" s="578" t="s">
        <v>140</v>
      </c>
      <c r="J43" s="63"/>
      <c r="K43" s="63"/>
      <c r="L43" s="63"/>
    </row>
  </sheetData>
  <sheetProtection sheet="1" formatCells="0" formatColumns="0" formatRows="0"/>
  <mergeCells count="41">
    <mergeCell ref="B36:F36"/>
    <mergeCell ref="B5:D5"/>
    <mergeCell ref="B43:D43"/>
    <mergeCell ref="B37:G37"/>
    <mergeCell ref="B39:G39"/>
    <mergeCell ref="B40:C40"/>
    <mergeCell ref="B41:C41"/>
    <mergeCell ref="D40:F40"/>
    <mergeCell ref="B6:D6"/>
    <mergeCell ref="B11:C11"/>
    <mergeCell ref="B33:C33"/>
    <mergeCell ref="B31:C31"/>
    <mergeCell ref="B35:F35"/>
    <mergeCell ref="D32:F32"/>
    <mergeCell ref="B30:C30"/>
    <mergeCell ref="B21:C21"/>
    <mergeCell ref="M1:N1"/>
    <mergeCell ref="D12:F12"/>
    <mergeCell ref="B7:D7"/>
    <mergeCell ref="D25:F25"/>
    <mergeCell ref="B24:C24"/>
    <mergeCell ref="J7:K9"/>
    <mergeCell ref="J10:K10"/>
    <mergeCell ref="H1:I1"/>
    <mergeCell ref="B8:D8"/>
    <mergeCell ref="B9:C9"/>
    <mergeCell ref="B10:C10"/>
    <mergeCell ref="D20:F20"/>
    <mergeCell ref="A1:B1"/>
    <mergeCell ref="B25:C25"/>
    <mergeCell ref="B12:C12"/>
    <mergeCell ref="D3:F3"/>
    <mergeCell ref="B32:C32"/>
    <mergeCell ref="B13:C13"/>
    <mergeCell ref="B14:C14"/>
    <mergeCell ref="B20:C20"/>
    <mergeCell ref="B29:C29"/>
    <mergeCell ref="B17:C17"/>
    <mergeCell ref="B26:C26"/>
    <mergeCell ref="B28:C28"/>
    <mergeCell ref="B23:C23"/>
  </mergeCells>
  <conditionalFormatting sqref="D20 D25 D32 D40">
    <cfRule type="expression" dxfId="83" priority="1" stopIfTrue="1">
      <formula>AND($D20="",$H20&lt;&gt;0)</formula>
    </cfRule>
  </conditionalFormatting>
  <hyperlinks>
    <hyperlink ref="A30" location="Restricted3200" display="16." xr:uid="{00000000-0004-0000-0200-000000000000}"/>
    <hyperlink ref="A35" location="Unrestricted_Restricted_4100_4300" display="20." xr:uid="{00000000-0004-0000-0200-000001000000}"/>
    <hyperlink ref="A10" location="Food_Service_1600" display="6." xr:uid="{00000000-0004-0000-0200-000002000000}"/>
    <hyperlink ref="A36" location="Unrestricted_Restricted_4200_4500" display="26." xr:uid="{00000000-0004-0000-0200-000003000000}"/>
    <hyperlink ref="D3:E3" location="GeneralPage1" display="Instructions" xr:uid="{3384DA67-5AC0-4DB9-9663-555DC28FA9B1}"/>
  </hyperlinks>
  <pageMargins left="0.7" right="0.7" top="0.75" bottom="0.75" header="0.3" footer="0.3"/>
  <pageSetup scale="81" orientation="landscape" r:id="rId1"/>
  <headerFooter>
    <oddFooter>&amp;LRev. 8/25 Arizona Department of Education and Auditor General&amp;CFY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6C69-F4DB-4029-9EA2-B293F2D70C6A}">
  <sheetPr>
    <pageSetUpPr fitToPage="1"/>
  </sheetPr>
  <dimension ref="A1:AF48"/>
  <sheetViews>
    <sheetView showGridLines="0" topLeftCell="A33" workbookViewId="0">
      <selection activeCell="E7" sqref="E7"/>
    </sheetView>
  </sheetViews>
  <sheetFormatPr defaultColWidth="9.33203125" defaultRowHeight="12.75" customHeight="1" x14ac:dyDescent="0.25"/>
  <cols>
    <col min="1" max="1" width="20.77734375" customWidth="1"/>
    <col min="2" max="2" width="34.21875" customWidth="1"/>
    <col min="3" max="3" width="3.77734375" customWidth="1"/>
    <col min="4" max="5" width="12.77734375" customWidth="1"/>
    <col min="6" max="6" width="14.77734375" customWidth="1"/>
    <col min="7" max="12" width="12.77734375" customWidth="1"/>
    <col min="13" max="13" width="3" customWidth="1"/>
    <col min="14" max="14" width="9.33203125" customWidth="1"/>
  </cols>
  <sheetData>
    <row r="1" spans="1:32" ht="12" customHeight="1" x14ac:dyDescent="0.25">
      <c r="A1" s="548" t="s">
        <v>0</v>
      </c>
      <c r="B1" s="810" t="str">
        <f>'Cover Page'!D1</f>
        <v>The Edge School, Inc</v>
      </c>
      <c r="C1" s="810"/>
      <c r="F1" s="61" t="s">
        <v>1</v>
      </c>
      <c r="G1" s="1" t="str">
        <f>'Cover Page'!M1</f>
        <v>Pima</v>
      </c>
      <c r="J1" s="61"/>
      <c r="K1" s="61" t="s">
        <v>2</v>
      </c>
      <c r="L1" s="2" t="str">
        <f>'Cover Page'!R1</f>
        <v>108653000</v>
      </c>
    </row>
    <row r="2" spans="1:32" ht="3.75" customHeight="1" x14ac:dyDescent="0.25">
      <c r="L2" s="4"/>
    </row>
    <row r="3" spans="1:32" ht="15.75" customHeight="1" x14ac:dyDescent="0.25">
      <c r="A3" s="70"/>
      <c r="B3" s="692" t="s">
        <v>726</v>
      </c>
      <c r="C3" s="639"/>
      <c r="D3" s="640"/>
      <c r="E3" s="74" t="s">
        <v>85</v>
      </c>
      <c r="F3" s="569" t="s">
        <v>86</v>
      </c>
      <c r="G3" s="74"/>
      <c r="H3" s="75"/>
      <c r="I3" s="824" t="s">
        <v>87</v>
      </c>
      <c r="J3" s="824"/>
      <c r="K3" s="824"/>
      <c r="L3" s="821" t="s">
        <v>88</v>
      </c>
    </row>
    <row r="4" spans="1:32" ht="12" customHeight="1" x14ac:dyDescent="0.25">
      <c r="A4" s="76" t="s">
        <v>89</v>
      </c>
      <c r="C4" s="77"/>
      <c r="D4" s="78" t="s">
        <v>90</v>
      </c>
      <c r="E4" s="79" t="s">
        <v>91</v>
      </c>
      <c r="F4" s="80" t="s">
        <v>92</v>
      </c>
      <c r="G4" s="81" t="s">
        <v>93</v>
      </c>
      <c r="H4" s="78" t="s">
        <v>94</v>
      </c>
      <c r="I4" s="82"/>
      <c r="J4" s="82"/>
      <c r="K4" s="569" t="s">
        <v>95</v>
      </c>
      <c r="L4" s="822"/>
    </row>
    <row r="5" spans="1:32" ht="11.25" customHeight="1" x14ac:dyDescent="0.25">
      <c r="A5" s="83" t="s">
        <v>96</v>
      </c>
      <c r="B5" s="6"/>
      <c r="C5" s="84"/>
      <c r="D5" s="574">
        <v>6100</v>
      </c>
      <c r="E5" s="85">
        <v>6200</v>
      </c>
      <c r="F5" s="85" t="s">
        <v>97</v>
      </c>
      <c r="G5" s="575">
        <v>6600</v>
      </c>
      <c r="H5" s="574">
        <v>6800</v>
      </c>
      <c r="I5" s="568" t="s">
        <v>98</v>
      </c>
      <c r="J5" s="85" t="s">
        <v>23</v>
      </c>
      <c r="K5" s="85" t="s">
        <v>99</v>
      </c>
      <c r="L5" s="823"/>
    </row>
    <row r="6" spans="1:32" ht="12" customHeight="1" x14ac:dyDescent="0.25">
      <c r="A6" s="86" t="s">
        <v>100</v>
      </c>
      <c r="B6" s="71"/>
      <c r="C6" s="72"/>
      <c r="D6" s="87"/>
      <c r="E6" s="87"/>
      <c r="F6" s="87"/>
      <c r="G6" s="87"/>
      <c r="H6" s="87"/>
      <c r="I6" s="87"/>
      <c r="J6" s="87"/>
      <c r="K6" s="87"/>
      <c r="L6" s="828">
        <f>IF(J7=K7,0,IF(K7&gt;0,(J7-K7)/K7,"--"))</f>
        <v>-0.19789999999999999</v>
      </c>
      <c r="S6" s="547"/>
    </row>
    <row r="7" spans="1:32" ht="12" customHeight="1" x14ac:dyDescent="0.25">
      <c r="A7" s="88" t="s">
        <v>101</v>
      </c>
      <c r="C7" s="89" t="s">
        <v>24</v>
      </c>
      <c r="D7" s="554">
        <f>SUMIFS('Accounting data'!$G$2:$G$37000,'Accounting data'!$H$2:$H$37000,"1000*",'Accounting data'!$I$2:$I$37000,"1*",'Accounting data'!$J$2:$J$37000,"1*",'Accounting data'!$K$2:$K$37000,"61*")+SUMIFS('Accounting data'!$G$2:$G$37000,'Accounting data'!$H$2:$H$37000,"1500*",'Accounting data'!$I$2:$I$37000,"1*",'Accounting data'!$J$2:$J$37000,"1*",'Accounting data'!$K$2:$K$37000,"61*")</f>
        <v>323295</v>
      </c>
      <c r="E7" s="554">
        <f>SUMIFS('Accounting data'!$G$2:$G$37000,'Accounting data'!$H$2:$H$37000,"1000*",'Accounting data'!$I$2:$I$37000,"1*",'Accounting data'!$J$2:$J$37000,"1*",'Accounting data'!$K$2:$K$37000,"62*")+SUMIFS('Accounting data'!$G$2:$G$37000,'Accounting data'!$H$2:$H$37000,"1500*",'Accounting data'!$I$2:$I$37000,"1*",'Accounting data'!$J$2:$J$37000,"1*",'Accounting data'!$K$2:$K$37000,"62*")</f>
        <v>112832</v>
      </c>
      <c r="F7" s="554">
        <f>SUMIFS('Accounting data'!$G$2:$G$37000,'Accounting data'!$H$2:$H$37000,"1000*",'Accounting data'!$I$2:$I$37000,"1*",'Accounting data'!$J$2:$J$37000,"1*",'Accounting data'!$K$2:$K$37000,"63*")+SUMIFS('Accounting data'!$G$2:$G$37000,'Accounting data'!$H$2:$H$37000,"1500*",'Accounting data'!$I$2:$I$37000,"1*",'Accounting data'!$J$2:$J$37000,"1*",'Accounting data'!$K$2:$K$37000,"63*")+SUMIFS('Accounting data'!$G$2:$G$37000,'Accounting data'!$H$2:$H$37000,"1500*",'Accounting data'!$I$2:$I$37000,"1*",'Accounting data'!$J$2:$J$37000,"1*",'Accounting data'!$K$2:$K$37000,"6432*")+SUMIFS('Accounting data'!$G$2:$G$37000,'Accounting data'!$H$2:$H$37000,"1500*",'Accounting data'!$I$2:$I$37000,"1*",'Accounting data'!$J$2:$J$37000,"1*",'Accounting data'!$K$2:$K$37000,"6432*")+SUMIFS('Accounting data'!$G$2:$G$37000,'Accounting data'!$H$2:$H$37000,"1500*",'Accounting data'!$I$2:$I$37000,"1*",'Accounting data'!$J$2:$J$37000,"1*",'Accounting data'!$K$2:$K$37000,"6441*")+SUMIFS('Accounting data'!$G$2:$G$37000,'Accounting data'!$H$2:$H$37000,"1500*",'Accounting data'!$I$2:$I$37000,"1*",'Accounting data'!$J$2:$J$37000,"1*",'Accounting data'!$K$2:$K$37000,"6441*")+SUMIFS('Accounting data'!$G$2:$G$37000,'Accounting data'!$H$2:$H$37000,"1500*",'Accounting data'!$I$2:$I$37000,"1*",'Accounting data'!$J$2:$J$37000,"1*",'Accounting data'!$K$2:$K$37000,"6531*")+SUMIFS('Accounting data'!$G$2:$G$37000,'Accounting data'!$H$2:$H$37000,"1500*",'Accounting data'!$I$2:$I$37000,"1*",'Accounting data'!$J$2:$J$37000,"1*",'Accounting data'!$K$2:$K$37000,"6531*")</f>
        <v>21238</v>
      </c>
      <c r="G7" s="554">
        <f>SUMIFS('Accounting data'!$G$2:$G$37000,'Accounting data'!$H$2:$H$37000,"1000*",'Accounting data'!$I$2:$I$37000,"1*",'Accounting data'!$J$2:$J$37000,"1*",'Accounting data'!$K$2:$K$37000,"66*")+SUMIFS('Accounting data'!$G$2:$G$37000,'Accounting data'!$H$2:$H$37000,"1500*",'Accounting data'!$I$2:$I$37000,"1*",'Accounting data'!$J$2:$J$37000,"1*",'Accounting data'!$K$2:$K$37000,"66*")</f>
        <v>49405</v>
      </c>
      <c r="H7" s="554">
        <f>SUMIFS('Accounting data'!$G$2:$G$37000,'Accounting data'!$H$2:$H$37000,"1000*",'Accounting data'!$I$2:$I$37000,"1*",'Accounting data'!$J$2:$J$37000,"1*",'Accounting data'!$K$2:$K$37000,"68*")+SUMIFS('Accounting data'!$G$2:$G$37000,'Accounting data'!$H$2:$H$37000,"1500*",'Accounting data'!$I$2:$I$37000,"1*",'Accounting data'!$J$2:$J$37000,"1*",'Accounting data'!$K$2:$K$37000,"68*")</f>
        <v>809</v>
      </c>
      <c r="I7" s="554">
        <f>[1]!SP1000P100F1000</f>
        <v>507445</v>
      </c>
      <c r="J7" s="554">
        <f>SUM(D7:H7)</f>
        <v>507579</v>
      </c>
      <c r="K7" s="554">
        <f>[2]!SP1000P100F1000</f>
        <v>632838</v>
      </c>
      <c r="L7" s="829"/>
      <c r="M7" s="90" t="s">
        <v>24</v>
      </c>
      <c r="S7" s="547"/>
    </row>
    <row r="8" spans="1:32" ht="12" customHeight="1" x14ac:dyDescent="0.25">
      <c r="A8" s="88" t="s">
        <v>102</v>
      </c>
      <c r="C8" s="77"/>
      <c r="D8" s="87"/>
      <c r="E8" s="87"/>
      <c r="F8" s="87"/>
      <c r="G8" s="91"/>
      <c r="H8" s="87"/>
      <c r="I8" s="87"/>
      <c r="J8" s="87"/>
      <c r="K8" s="87"/>
      <c r="L8" s="818">
        <f>IF(J9=K9,0,IF(K9&gt;0,(J9-K9)/K9,"--"))</f>
        <v>-7.4399999999999994E-2</v>
      </c>
      <c r="M8" s="566"/>
      <c r="S8" s="547"/>
    </row>
    <row r="9" spans="1:32" ht="12" customHeight="1" x14ac:dyDescent="0.25">
      <c r="A9" s="88" t="s">
        <v>103</v>
      </c>
      <c r="C9" s="89" t="s">
        <v>26</v>
      </c>
      <c r="D9" s="554">
        <f>SUMIFS('Accounting data'!$G$2:$G$37000,'Accounting data'!$H$2:$H$37000,"1000*",'Accounting data'!$I$2:$I$37000,"1*",'Accounting data'!$J$2:$J$37000,"21*",'Accounting data'!$K$2:$K$37000,"61*")+SUMIFS('Accounting data'!$G$2:$G$37000,'Accounting data'!$H$2:$H$37000,"1500*",'Accounting data'!$I$2:$I$37000,"1*",'Accounting data'!$J$2:$J$37000,"21*",'Accounting data'!$K$2:$K$37000,"61*")</f>
        <v>109052</v>
      </c>
      <c r="E9" s="554">
        <f>SUMIFS('Accounting data'!$G$2:$G$37000,'Accounting data'!$H$2:$H$37000,"1000*",'Accounting data'!$I$2:$I$37000,"1*",'Accounting data'!$J$2:$J$37000,"21*",'Accounting data'!$K$2:$K$37000,"62*")+SUMIFS('Accounting data'!$G$2:$G$37000,'Accounting data'!$H$2:$H$37000,"1500*",'Accounting data'!$I$2:$I$37000,"1*",'Accounting data'!$J$2:$J$37000,"21*",'Accounting data'!$K$2:$K$37000,"62*")</f>
        <v>26338</v>
      </c>
      <c r="F9" s="554">
        <f>SUMIFS('Accounting data'!$G$2:$G$37000,'Accounting data'!$H$2:$H$37000,"1000*",'Accounting data'!$I$2:$I$37000,"1*",'Accounting data'!$J$2:$J$37000,"21*",'Accounting data'!$K$2:$K$37000,"63*")+SUMIFS('Accounting data'!$G$2:$G$37000,'Accounting data'!$H$2:$H$37000,"1500*",'Accounting data'!$I$2:$I$37000,"1*",'Accounting data'!$J$2:$J$37000,"21*",'Accounting data'!$K$2:$K$37000,"63*")</f>
        <v>24667</v>
      </c>
      <c r="G9" s="554">
        <f>SUMIFS('Accounting data'!$G$2:$G$37000,'Accounting data'!$H$2:$H$37000,"1000*",'Accounting data'!$I$2:$I$37000,"1*",'Accounting data'!$J$2:$J$37000,"21*",'Accounting data'!$K$2:$K$37000,"66*")+SUMIFS('Accounting data'!$G$2:$G$37000,'Accounting data'!$H$2:$H$37000,"1500*",'Accounting data'!$I$2:$I$37000,"1*",'Accounting data'!$J$2:$J$37000,"21*",'Accounting data'!$K$2:$K$37000,"66*")</f>
        <v>8890</v>
      </c>
      <c r="H9" s="554">
        <f>SUMIFS('Accounting data'!$G$2:$G$37000,'Accounting data'!$H$2:$H$37000,"1000*",'Accounting data'!$I$2:$I$37000,"1*",'Accounting data'!$J$2:$J$37000,"21*",'Accounting data'!$K$2:$K$37000,"68*")+SUMIFS('Accounting data'!$G$2:$G$37000,'Accounting data'!$H$2:$H$37000,"1500*",'Accounting data'!$I$2:$I$37000,"1*",'Accounting data'!$J$2:$J$37000,"21*",'Accounting data'!$K$2:$K$37000,"68*")</f>
        <v>99</v>
      </c>
      <c r="I9" s="554">
        <f>[1]!SP1000P100F2100</f>
        <v>161655</v>
      </c>
      <c r="J9" s="554">
        <f>SUM(D9:H9)</f>
        <v>169046</v>
      </c>
      <c r="K9" s="554">
        <f>[2]!SP1000P100F2100</f>
        <v>182641</v>
      </c>
      <c r="L9" s="819"/>
      <c r="M9" s="90" t="s">
        <v>26</v>
      </c>
      <c r="N9" s="827" t="str">
        <f>IF('Page 2'!J48=0,"",IF(OR('Page 2'!J9&lt;=0),"The Charter did not report any expenses for student support services on line 2. If the Charter did not have any expense, verify by checking the box in A10 on the Cover Page.",""))</f>
        <v/>
      </c>
      <c r="O9" s="827"/>
      <c r="P9" s="827"/>
      <c r="Q9" s="827"/>
      <c r="R9" s="827"/>
      <c r="S9" s="827"/>
      <c r="T9" s="827"/>
      <c r="U9" s="827"/>
      <c r="V9" s="827"/>
      <c r="W9" s="827"/>
      <c r="X9" s="827"/>
      <c r="Y9" s="827"/>
      <c r="Z9" s="827"/>
      <c r="AA9" s="827"/>
      <c r="AB9" s="827"/>
      <c r="AC9" s="827"/>
      <c r="AD9" s="827"/>
      <c r="AE9" s="827"/>
      <c r="AF9" s="827"/>
    </row>
    <row r="10" spans="1:32" ht="12" customHeight="1" x14ac:dyDescent="0.25">
      <c r="A10" s="88" t="s">
        <v>104</v>
      </c>
      <c r="C10" s="89" t="s">
        <v>28</v>
      </c>
      <c r="D10" s="550">
        <f>SUMIFS('Accounting data'!$G$2:$G$37000,'Accounting data'!$H$2:$H$37000,"1000*",'Accounting data'!$I$2:$I$37000,"1*",'Accounting data'!$J$2:$J$37000,"22*",'Accounting data'!$K$2:$K$37000,"61*")+SUMIFS('Accounting data'!$G$2:$G$37000,'Accounting data'!$H$2:$H$37000,"1500*",'Accounting data'!$I$2:$I$37000,"1*",'Accounting data'!$J$2:$J$37000,"22*",'Accounting data'!$K$2:$K$37000,"61*")</f>
        <v>8186</v>
      </c>
      <c r="E10" s="550">
        <f>SUMIFS('Accounting data'!$G$2:$G$37000,'Accounting data'!$H$2:$H$37000,"1000*",'Accounting data'!$I$2:$I$37000,"1*",'Accounting data'!$J$2:$J$37000,"22*",'Accounting data'!$K$2:$K$37000,"62*")+SUMIFS('Accounting data'!$G$2:$G$37000,'Accounting data'!$H$2:$H$37000,"1500*",'Accounting data'!$I$2:$I$37000,"1*",'Accounting data'!$J$2:$J$37000,"22*",'Accounting data'!$K$2:$K$37000,"62*")</f>
        <v>1952</v>
      </c>
      <c r="F10" s="550">
        <f>SUMIFS('Accounting data'!$G$2:$G$37000,'Accounting data'!$H$2:$H$37000,"1000*",'Accounting data'!$I$2:$I$37000,"1*",'Accounting data'!$J$2:$J$37000,"22*",'Accounting data'!$K$2:$K$37000,"63*")+SUMIFS('Accounting data'!$G$2:$G$37000,'Accounting data'!$H$2:$H$37000,"1500*",'Accounting data'!$I$2:$I$37000,"1*",'Accounting data'!$J$2:$J$37000,"22*",'Accounting data'!$K$2:$K$37000,"63*")</f>
        <v>22152</v>
      </c>
      <c r="G10" s="550">
        <f>SUMIFS('Accounting data'!$G$2:$G$37000,'Accounting data'!$H$2:$H$37000,"1000*",'Accounting data'!$I$2:$I$37000,"1*",'Accounting data'!$J$2:$J$37000,"22*",'Accounting data'!$K$2:$K$37000,"66*")+SUMIFS('Accounting data'!$G$2:$G$37000,'Accounting data'!$H$2:$H$37000,"1500*",'Accounting data'!$I$2:$I$37000,"1*",'Accounting data'!$J$2:$J$37000,"22*",'Accounting data'!$K$2:$K$37000,"66*")</f>
        <v>3312</v>
      </c>
      <c r="H10" s="550">
        <f>SUMIFS('Accounting data'!$G$2:$G$37000,'Accounting data'!$H$2:$H$37000,"1000*",'Accounting data'!$I$2:$I$37000,"1*",'Accounting data'!$J$2:$J$37000,"22*",'Accounting data'!$K$2:$K$37000,"68*")+SUMIFS('Accounting data'!$G$2:$G$37000,'Accounting data'!$H$2:$H$37000,"1500*",'Accounting data'!$I$2:$I$37000,"1*",'Accounting data'!$J$2:$J$37000,"22*",'Accounting data'!$K$2:$K$37000,"68*")</f>
        <v>0</v>
      </c>
      <c r="I10" s="549">
        <f>[1]!SP1000P100F2200</f>
        <v>34234</v>
      </c>
      <c r="J10" s="551">
        <f t="shared" ref="J10:J22" si="0">SUM(D10:H10)</f>
        <v>35602</v>
      </c>
      <c r="K10" s="549">
        <f>[2]!SP1000P100F2200</f>
        <v>9566</v>
      </c>
      <c r="L10" s="552">
        <f t="shared" ref="L10:L20" si="1">IF(J10=K10,0,IF(K10&gt;0,(J10-K10)/K10,"--"))</f>
        <v>2.7216999999999998</v>
      </c>
      <c r="M10" s="90" t="s">
        <v>28</v>
      </c>
      <c r="N10" s="827" t="str">
        <f>IF('Page 2'!J48=0,"",IF(OR('Page 2'!J10&lt;=0),"The Charter did not report any expenses for instructional support services on line 3. If the Charter did not have any expense, verify by checking the box in A12 on the Cover Page.",""))</f>
        <v/>
      </c>
      <c r="O10" s="827"/>
      <c r="P10" s="827"/>
      <c r="Q10" s="827"/>
      <c r="R10" s="827"/>
      <c r="S10" s="827"/>
      <c r="T10" s="827"/>
      <c r="U10" s="827"/>
      <c r="V10" s="827"/>
      <c r="W10" s="827"/>
      <c r="X10" s="827"/>
      <c r="Y10" s="827"/>
      <c r="Z10" s="827"/>
      <c r="AA10" s="827"/>
      <c r="AB10" s="827"/>
      <c r="AC10" s="827"/>
      <c r="AD10" s="827"/>
      <c r="AE10" s="827"/>
      <c r="AF10" s="827"/>
    </row>
    <row r="11" spans="1:32" ht="12" customHeight="1" x14ac:dyDescent="0.25">
      <c r="A11" s="88" t="s">
        <v>105</v>
      </c>
      <c r="C11" s="89" t="s">
        <v>31</v>
      </c>
      <c r="D11" s="550">
        <f>SUMIFS('Accounting data'!$G$2:$G$37000,'Accounting data'!$H$2:$H$37000,"1000*",'Accounting data'!$I$2:$I$37000,"1*",'Accounting data'!$J$2:$J$37000,"23*",'Accounting data'!$K$2:$K$37000,"61*")+SUMIFS('Accounting data'!$G$2:$G$37000,'Accounting data'!$H$2:$H$37000,"1500*",'Accounting data'!$I$2:$I$37000,"1*",'Accounting data'!$J$2:$J$37000,"23*",'Accounting data'!$K$2:$K$37000,"61*")</f>
        <v>0</v>
      </c>
      <c r="E11" s="550">
        <f>SUMIFS('Accounting data'!$G$2:$G$37000,'Accounting data'!$H$2:$H$37000,"1000*",'Accounting data'!$I$2:$I$37000,"1*",'Accounting data'!$J$2:$J$37000,"23*",'Accounting data'!$K$2:$K$37000,"62*")+SUMIFS('Accounting data'!$G$2:$G$37000,'Accounting data'!$H$2:$H$37000,"1500*",'Accounting data'!$I$2:$I$37000,"1*",'Accounting data'!$J$2:$J$37000,"23*",'Accounting data'!$K$2:$K$37000,"62*")</f>
        <v>0</v>
      </c>
      <c r="F11" s="550">
        <f>SUMIFS('Accounting data'!$G$2:$G$37000,'Accounting data'!$H$2:$H$37000,"1000*",'Accounting data'!$I$2:$I$37000,"1*",'Accounting data'!$J$2:$J$37000,"23*",'Accounting data'!$K$2:$K$37000,"63*")+SUMIFS('Accounting data'!$G$2:$G$37000,'Accounting data'!$H$2:$H$37000,"1500*",'Accounting data'!$I$2:$I$37000,"1*",'Accounting data'!$J$2:$J$37000,"23*",'Accounting data'!$K$2:$K$37000,"63*")</f>
        <v>21384</v>
      </c>
      <c r="G11" s="550">
        <f>SUMIFS('Accounting data'!$G$2:$G$37000,'Accounting data'!$H$2:$H$37000,"1000*",'Accounting data'!$I$2:$I$37000,"1*",'Accounting data'!$J$2:$J$37000,"23*",'Accounting data'!$K$2:$K$37000,"66*")+SUMIFS('Accounting data'!$G$2:$G$37000,'Accounting data'!$H$2:$H$37000,"1500*",'Accounting data'!$I$2:$I$37000,"1*",'Accounting data'!$J$2:$J$37000,"23*",'Accounting data'!$K$2:$K$37000,"66*")</f>
        <v>299</v>
      </c>
      <c r="H11" s="550">
        <f>SUMIFS('Accounting data'!$G$2:$G$37000,'Accounting data'!$H$2:$H$37000,"1000*",'Accounting data'!$I$2:$I$37000,"1*",'Accounting data'!$J$2:$J$37000,"23*",'Accounting data'!$K$2:$K$37000,"68*")+SUMIFS('Accounting data'!$G$2:$G$37000,'Accounting data'!$H$2:$H$37000,"1500*",'Accounting data'!$I$2:$I$37000,"1*",'Accounting data'!$J$2:$J$37000,"23*",'Accounting data'!$K$2:$K$37000,"68*")</f>
        <v>2210</v>
      </c>
      <c r="I11" s="549">
        <f>[1]!SP1000P100F2300</f>
        <v>21518</v>
      </c>
      <c r="J11" s="551">
        <f t="shared" si="0"/>
        <v>23893</v>
      </c>
      <c r="K11" s="549">
        <f>[2]!SP1000P100F2300</f>
        <v>27131</v>
      </c>
      <c r="L11" s="552">
        <f t="shared" si="1"/>
        <v>-0.1193</v>
      </c>
      <c r="M11" s="90" t="s">
        <v>31</v>
      </c>
      <c r="N11" s="8"/>
      <c r="O11" s="8"/>
      <c r="P11" s="8"/>
      <c r="Q11" s="8"/>
      <c r="R11" s="8"/>
      <c r="S11" s="8"/>
      <c r="T11" s="8"/>
      <c r="U11" s="8"/>
    </row>
    <row r="12" spans="1:32" ht="12" customHeight="1" x14ac:dyDescent="0.25">
      <c r="A12" s="88" t="s">
        <v>106</v>
      </c>
      <c r="C12" s="89" t="s">
        <v>33</v>
      </c>
      <c r="D12" s="550">
        <f>SUMIFS('Accounting data'!$G$2:$G$37000,'Accounting data'!$H$2:$H$37000,"1000*",'Accounting data'!$I$2:$I$37000,"1*",'Accounting data'!$J$2:$J$37000,"24*",'Accounting data'!$K$2:$K$37000,"61*")+SUMIFS('Accounting data'!$G$2:$G$37000,'Accounting data'!$H$2:$H$37000,"1500*",'Accounting data'!$I$2:$I$37000,"1*",'Accounting data'!$J$2:$J$37000,"24*",'Accounting data'!$K$2:$K$37000,"61*")</f>
        <v>189922</v>
      </c>
      <c r="E12" s="550">
        <f>SUMIFS('Accounting data'!$G$2:$G$37000,'Accounting data'!$H$2:$H$37000,"1000*",'Accounting data'!$I$2:$I$37000,"1*",'Accounting data'!$J$2:$J$37000,"24*",'Accounting data'!$K$2:$K$37000,"62*")+SUMIFS('Accounting data'!$G$2:$G$37000,'Accounting data'!$H$2:$H$37000,"1500*",'Accounting data'!$I$2:$I$37000,"1*",'Accounting data'!$J$2:$J$37000,"24*",'Accounting data'!$K$2:$K$37000,"62*")</f>
        <v>54693</v>
      </c>
      <c r="F12" s="550">
        <f>SUMIFS('Accounting data'!$G$2:$G$37000,'Accounting data'!$H$2:$H$37000,"1000*",'Accounting data'!$I$2:$I$37000,"1*",'Accounting data'!$J$2:$J$37000,"24*",'Accounting data'!$K$2:$K$37000,"63*")+SUMIFS('Accounting data'!$G$2:$G$37000,'Accounting data'!$H$2:$H$37000,"1500*",'Accounting data'!$I$2:$I$37000,"1*",'Accounting data'!$J$2:$J$37000,"24*",'Accounting data'!$K$2:$K$37000,"63*")</f>
        <v>32907</v>
      </c>
      <c r="G12" s="550">
        <f>SUMIFS('Accounting data'!$G$2:$G$37000,'Accounting data'!$H$2:$H$37000,"1000*",'Accounting data'!$I$2:$I$37000,"1*",'Accounting data'!$J$2:$J$37000,"24*",'Accounting data'!$K$2:$K$37000,"66*")+SUMIFS('Accounting data'!$G$2:$G$37000,'Accounting data'!$H$2:$H$37000,"1500*",'Accounting data'!$I$2:$I$37000,"1*",'Accounting data'!$J$2:$J$37000,"24*",'Accounting data'!$K$2:$K$37000,"66*")</f>
        <v>4407</v>
      </c>
      <c r="H12" s="550">
        <f>SUMIFS('Accounting data'!$G$2:$G$37000,'Accounting data'!$H$2:$H$37000,"1000*",'Accounting data'!$I$2:$I$37000,"1*",'Accounting data'!$J$2:$J$37000,"24*",'Accounting data'!$K$2:$K$37000,"68*")+SUMIFS('Accounting data'!$G$2:$G$37000,'Accounting data'!$H$2:$H$37000,"1500*",'Accounting data'!$I$2:$I$37000,"1*",'Accounting data'!$J$2:$J$37000,"24*",'Accounting data'!$K$2:$K$37000,"68*")</f>
        <v>3384</v>
      </c>
      <c r="I12" s="549">
        <f>[1]!SP1000P100F2400</f>
        <v>280459</v>
      </c>
      <c r="J12" s="551">
        <f t="shared" si="0"/>
        <v>285313</v>
      </c>
      <c r="K12" s="549">
        <f>[2]!SP1000P100F2400</f>
        <v>288188</v>
      </c>
      <c r="L12" s="552">
        <f t="shared" si="1"/>
        <v>-0.01</v>
      </c>
      <c r="M12" s="90" t="s">
        <v>33</v>
      </c>
    </row>
    <row r="13" spans="1:32" ht="12" customHeight="1" x14ac:dyDescent="0.25">
      <c r="A13" s="88" t="s">
        <v>107</v>
      </c>
      <c r="C13" s="89" t="s">
        <v>35</v>
      </c>
      <c r="D13" s="550">
        <f>SUMIFS('Accounting data'!$G$2:$G$37000,'Accounting data'!$H$2:$H$37000,"1000*",'Accounting data'!$I$2:$I$37000,"1*",'Accounting data'!$J$2:$J$37000,"25*",'Accounting data'!$K$2:$K$37000,"61*")+SUMIFS('Accounting data'!$G$2:$G$37000,'Accounting data'!$H$2:$H$37000,"1500*",'Accounting data'!$I$2:$I$37000,"1*",'Accounting data'!$J$2:$J$37000,"25*",'Accounting data'!$K$2:$K$37000,"61*")</f>
        <v>77630</v>
      </c>
      <c r="E13" s="550">
        <f>SUMIFS('Accounting data'!$G$2:$G$37000,'Accounting data'!$H$2:$H$37000,"1000*",'Accounting data'!$I$2:$I$37000,"1*",'Accounting data'!$J$2:$J$37000,"25*",'Accounting data'!$K$2:$K$37000,"62*")+SUMIFS('Accounting data'!$G$2:$G$37000,'Accounting data'!$H$2:$H$37000,"1500*",'Accounting data'!$I$2:$I$37000,"1*",'Accounting data'!$J$2:$J$37000,"25*",'Accounting data'!$K$2:$K$37000,"62*")</f>
        <v>22646</v>
      </c>
      <c r="F13" s="550">
        <f>SUMIFS('Accounting data'!$G$2:$G$37000,'Accounting data'!$H$2:$H$37000,"1000*",'Accounting data'!$I$2:$I$37000,"1*",'Accounting data'!$J$2:$J$37000,"25*",'Accounting data'!$K$2:$K$37000,"63*")+SUMIFS('Accounting data'!$G$2:$G$37000,'Accounting data'!$H$2:$H$37000,"1500*",'Accounting data'!$I$2:$I$37000,"1*",'Accounting data'!$J$2:$J$37000,"25*",'Accounting data'!$K$2:$K$37000,"63*")</f>
        <v>40418</v>
      </c>
      <c r="G13" s="550">
        <f>SUMIFS('Accounting data'!$G$2:$G$37000,'Accounting data'!$H$2:$H$37000,"1000*",'Accounting data'!$I$2:$I$37000,"1*",'Accounting data'!$J$2:$J$37000,"25*",'Accounting data'!$K$2:$K$37000,"66*")+SUMIFS('Accounting data'!$G$2:$G$37000,'Accounting data'!$H$2:$H$37000,"1500*",'Accounting data'!$I$2:$I$37000,"1*",'Accounting data'!$J$2:$J$37000,"25*",'Accounting data'!$K$2:$K$37000,"66*")</f>
        <v>159</v>
      </c>
      <c r="H13" s="550">
        <f>SUMIFS('Accounting data'!$G$2:$G$37000,'Accounting data'!$H$2:$H$37000,"1000*",'Accounting data'!$I$2:$I$37000,"1*",'Accounting data'!$J$2:$J$37000,"25*",'Accounting data'!$K$2:$K$37000,"68*")+SUMIFS('Accounting data'!$G$2:$G$37000,'Accounting data'!$H$2:$H$37000,"1500*",'Accounting data'!$I$2:$I$37000,"1*",'Accounting data'!$J$2:$J$37000,"25*",'Accounting data'!$K$2:$K$37000,"68*")</f>
        <v>17307</v>
      </c>
      <c r="I13" s="549">
        <f>[1]!SP1000P100F2500</f>
        <v>155934</v>
      </c>
      <c r="J13" s="551">
        <f t="shared" si="0"/>
        <v>158160</v>
      </c>
      <c r="K13" s="549">
        <f>[2]!SP1000P100F2500</f>
        <v>189965</v>
      </c>
      <c r="L13" s="552">
        <f t="shared" si="1"/>
        <v>-0.16739999999999999</v>
      </c>
      <c r="M13" s="90" t="s">
        <v>35</v>
      </c>
    </row>
    <row r="14" spans="1:32" ht="12" customHeight="1" x14ac:dyDescent="0.25">
      <c r="A14" s="88" t="s">
        <v>108</v>
      </c>
      <c r="C14" s="89" t="s">
        <v>36</v>
      </c>
      <c r="D14" s="550">
        <f>SUMIFS('Accounting data'!$G$2:$G$37000,'Accounting data'!$H$2:$H$37000,"1000*",'Accounting data'!$I$2:$I$37000,"1*",'Accounting data'!$J$2:$J$37000,"26*",'Accounting data'!$K$2:$K$37000,"61*")+SUMIFS('Accounting data'!$G$2:$G$37000,'Accounting data'!$H$2:$H$37000,"1500*",'Accounting data'!$I$2:$I$37000,"1*",'Accounting data'!$J$2:$J$37000,"26*",'Accounting data'!$K$2:$K$37000,"61*")</f>
        <v>1504</v>
      </c>
      <c r="E14" s="550">
        <f>SUMIFS('Accounting data'!$G$2:$G$37000,'Accounting data'!$H$2:$H$37000,"1000*",'Accounting data'!$I$2:$I$37000,"1*",'Accounting data'!$J$2:$J$37000,"26*",'Accounting data'!$K$2:$K$37000,"62*")+SUMIFS('Accounting data'!$G$2:$G$37000,'Accounting data'!$H$2:$H$37000,"1500*",'Accounting data'!$I$2:$I$37000,"1*",'Accounting data'!$J$2:$J$37000,"26*",'Accounting data'!$K$2:$K$37000,"62*")</f>
        <v>301</v>
      </c>
      <c r="F14" s="550">
        <f>SUMIFS('Accounting data'!$G$2:$G$37000,'Accounting data'!$H$2:$H$37000,"1000*",'Accounting data'!$I$2:$I$37000,"1*",'Accounting data'!$J$2:$J$37000,"26*",'Accounting data'!$K$2:$K$37000,"63*")+SUMIFS('Accounting data'!$G$2:$G$37000,'Accounting data'!$H$2:$H$37000,"1500*",'Accounting data'!$I$2:$I$37000,"1*",'Accounting data'!$J$2:$J$37000,"26*",'Accounting data'!$K$2:$K$37000,"63*")</f>
        <v>251840</v>
      </c>
      <c r="G14" s="550">
        <f>SUMIFS('Accounting data'!$G$2:$G$37000,'Accounting data'!$H$2:$H$37000,"1000*",'Accounting data'!$I$2:$I$37000,"1*",'Accounting data'!$J$2:$J$37000,"26*",'Accounting data'!$K$2:$K$37000,"66*")+SUMIFS('Accounting data'!$G$2:$G$37000,'Accounting data'!$H$2:$H$37000,"1500*",'Accounting data'!$I$2:$I$37000,"1*",'Accounting data'!$J$2:$J$37000,"26*",'Accounting data'!$K$2:$K$37000,"66*")</f>
        <v>18492</v>
      </c>
      <c r="H14" s="550">
        <f>SUMIFS('Accounting data'!$G$2:$G$37000,'Accounting data'!$H$2:$H$37000,"1000*",'Accounting data'!$I$2:$I$37000,"1*",'Accounting data'!$J$2:$J$37000,"26*",'Accounting data'!$K$2:$K$37000,"68*")+SUMIFS('Accounting data'!$G$2:$G$37000,'Accounting data'!$H$2:$H$37000,"1500*",'Accounting data'!$I$2:$I$37000,"1*",'Accounting data'!$J$2:$J$37000,"26*",'Accounting data'!$K$2:$K$37000,"68*")</f>
        <v>705</v>
      </c>
      <c r="I14" s="549">
        <f>[1]!SP1000P100F2600</f>
        <v>265564</v>
      </c>
      <c r="J14" s="551">
        <f t="shared" si="0"/>
        <v>272842</v>
      </c>
      <c r="K14" s="549">
        <f>[2]!SP1000P100F2600</f>
        <v>209271</v>
      </c>
      <c r="L14" s="552">
        <f t="shared" si="1"/>
        <v>0.30380000000000001</v>
      </c>
      <c r="M14" s="90" t="s">
        <v>36</v>
      </c>
    </row>
    <row r="15" spans="1:32" ht="12" customHeight="1" x14ac:dyDescent="0.25">
      <c r="A15" s="88" t="s">
        <v>109</v>
      </c>
      <c r="C15" s="89" t="s">
        <v>38</v>
      </c>
      <c r="D15" s="550">
        <f>SUMIFS('Accounting data'!$G$2:$G$37000,'Accounting data'!$H$2:$H$37000,"1000*",'Accounting data'!$I$2:$I$37000,"1*",'Accounting data'!$J$2:$J$37000,"29*",'Accounting data'!$K$2:$K$37000,"61*")+SUMIFS('Accounting data'!$G$2:$G$37000,'Accounting data'!$H$2:$H$37000,"1500*",'Accounting data'!$I$2:$I$37000,"1*",'Accounting data'!$J$2:$J$37000,"29*",'Accounting data'!$K$2:$K$37000,"61*")</f>
        <v>0</v>
      </c>
      <c r="E15" s="550">
        <f>SUMIFS('Accounting data'!$G$2:$G$37000,'Accounting data'!$H$2:$H$37000,"1000*",'Accounting data'!$I$2:$I$37000,"1*",'Accounting data'!$J$2:$J$37000,"29*",'Accounting data'!$K$2:$K$37000,"62*")+SUMIFS('Accounting data'!$G$2:$G$37000,'Accounting data'!$H$2:$H$37000,"1500*",'Accounting data'!$I$2:$I$37000,"1*",'Accounting data'!$J$2:$J$37000,"29*",'Accounting data'!$K$2:$K$37000,"62*")</f>
        <v>0</v>
      </c>
      <c r="F15" s="550">
        <f>SUMIFS('Accounting data'!$G$2:$G$37000,'Accounting data'!$H$2:$H$37000,"1000*",'Accounting data'!$I$2:$I$37000,"1*",'Accounting data'!$J$2:$J$37000,"29*",'Accounting data'!$K$2:$K$37000,"63*")+SUMIFS('Accounting data'!$G$2:$G$37000,'Accounting data'!$H$2:$H$37000,"1500*",'Accounting data'!$I$2:$I$37000,"1*",'Accounting data'!$J$2:$J$37000,"29*",'Accounting data'!$K$2:$K$37000,"63*")</f>
        <v>0</v>
      </c>
      <c r="G15" s="550">
        <f>SUMIFS('Accounting data'!$G$2:$G$37000,'Accounting data'!$H$2:$H$37000,"1000*",'Accounting data'!$I$2:$I$37000,"1*",'Accounting data'!$J$2:$J$37000,"29*",'Accounting data'!$K$2:$K$37000,"66*")+SUMIFS('Accounting data'!$G$2:$G$37000,'Accounting data'!$H$2:$H$37000,"1500*",'Accounting data'!$I$2:$I$37000,"1*",'Accounting data'!$J$2:$J$37000,"29*",'Accounting data'!$K$2:$K$37000,"66*")</f>
        <v>0</v>
      </c>
      <c r="H15" s="550">
        <f>SUMIFS('Accounting data'!$G$2:$G$37000,'Accounting data'!$H$2:$H$37000,"1000*",'Accounting data'!$I$2:$I$37000,"1*",'Accounting data'!$J$2:$J$37000,"29*",'Accounting data'!$K$2:$K$37000,"68*")+SUMIFS('Accounting data'!$G$2:$G$37000,'Accounting data'!$H$2:$H$37000,"1500*",'Accounting data'!$I$2:$I$37000,"1*",'Accounting data'!$J$2:$J$37000,"29*",'Accounting data'!$K$2:$K$37000,"68*")</f>
        <v>0</v>
      </c>
      <c r="I15" s="549">
        <f>[1]!SP1000P100F2900</f>
        <v>0</v>
      </c>
      <c r="J15" s="551">
        <f t="shared" si="0"/>
        <v>0</v>
      </c>
      <c r="K15" s="549">
        <f>[2]!SP1000P100F2900</f>
        <v>0</v>
      </c>
      <c r="L15" s="552">
        <f t="shared" si="1"/>
        <v>0</v>
      </c>
      <c r="M15" s="90" t="s">
        <v>38</v>
      </c>
    </row>
    <row r="16" spans="1:32" ht="12" customHeight="1" x14ac:dyDescent="0.25">
      <c r="A16" s="88" t="s">
        <v>110</v>
      </c>
      <c r="C16" s="89" t="s">
        <v>40</v>
      </c>
      <c r="D16" s="550">
        <f>SUMIFS('Accounting data'!$G$2:$G$37000,'Accounting data'!$H$2:$H$37000,"1000*",'Accounting data'!$I$2:$I$37000,"1*",'Accounting data'!$J$2:$J$37000,"3*",'Accounting data'!$K$2:$K$37000,"61*")+SUMIFS('Accounting data'!$G$2:$G$37000,'Accounting data'!$H$2:$H$37000,"1500*",'Accounting data'!$I$2:$I$37000,"1*",'Accounting data'!$J$2:$J$37000,"3*",'Accounting data'!$K$2:$K$37000,"61*")</f>
        <v>0</v>
      </c>
      <c r="E16" s="550">
        <f>SUMIFS('Accounting data'!$G$2:$G$37000,'Accounting data'!$H$2:$H$37000,"1000*",'Accounting data'!$I$2:$I$37000,"1*",'Accounting data'!$J$2:$J$37000,"3*",'Accounting data'!$K$2:$K$37000,"62*")+SUMIFS('Accounting data'!$G$2:$G$37000,'Accounting data'!$H$2:$H$37000,"1500*",'Accounting data'!$I$2:$I$37000,"1*",'Accounting data'!$J$2:$J$37000,"3*",'Accounting data'!$K$2:$K$37000,"62*")</f>
        <v>0</v>
      </c>
      <c r="F16" s="550">
        <f>SUMIFS('Accounting data'!$G$2:$G$37000,'Accounting data'!$H$2:$H$37000,"1000*",'Accounting data'!$I$2:$I$37000,"1*",'Accounting data'!$J$2:$J$37000,"3*",'Accounting data'!$K$2:$K$37000,"63*")+SUMIFS('Accounting data'!$G$2:$G$37000,'Accounting data'!$H$2:$H$37000,"1500*",'Accounting data'!$I$2:$I$37000,"1*",'Accounting data'!$J$2:$J$37000,"3*",'Accounting data'!$K$2:$K$37000,"63*")</f>
        <v>0</v>
      </c>
      <c r="G16" s="550">
        <f>SUMIFS('Accounting data'!$G$2:$G$37000,'Accounting data'!$H$2:$H$37000,"1000*",'Accounting data'!$I$2:$I$37000,"1*",'Accounting data'!$J$2:$J$37000,"3*",'Accounting data'!$K$2:$K$37000,"66*")+SUMIFS('Accounting data'!$G$2:$G$37000,'Accounting data'!$H$2:$H$37000,"1500*",'Accounting data'!$I$2:$I$37000,"1*",'Accounting data'!$J$2:$J$37000,"3*",'Accounting data'!$K$2:$K$37000,"66*")</f>
        <v>0</v>
      </c>
      <c r="H16" s="550">
        <f>SUMIFS('Accounting data'!$G$2:$G$37000,'Accounting data'!$H$2:$H$37000,"1000*",'Accounting data'!$I$2:$I$37000,"1*",'Accounting data'!$J$2:$J$37000,"3*",'Accounting data'!$K$2:$K$37000,"68*")+SUMIFS('Accounting data'!$G$2:$G$37000,'Accounting data'!$H$2:$H$37000,"1500*",'Accounting data'!$I$2:$I$37000,"1*",'Accounting data'!$J$2:$J$37000,"3*",'Accounting data'!$K$2:$K$37000,"68*")</f>
        <v>0</v>
      </c>
      <c r="I16" s="549">
        <f>[1]!SP1000P100F3000</f>
        <v>0</v>
      </c>
      <c r="J16" s="551">
        <f t="shared" si="0"/>
        <v>0</v>
      </c>
      <c r="K16" s="549">
        <f>[2]!SP1000P100F3000</f>
        <v>0</v>
      </c>
      <c r="L16" s="552">
        <f t="shared" si="1"/>
        <v>0</v>
      </c>
      <c r="M16" s="90" t="s">
        <v>40</v>
      </c>
    </row>
    <row r="17" spans="1:25" ht="12" customHeight="1" x14ac:dyDescent="0.25">
      <c r="A17" s="88" t="s">
        <v>111</v>
      </c>
      <c r="C17" s="89" t="s">
        <v>42</v>
      </c>
      <c r="D17" s="550">
        <f>SUMIFS('Accounting data'!$G$2:$G$37000,'Accounting data'!$H$2:$H$37000,"1000*",'Accounting data'!$I$2:$I$37000,"1*",'Accounting data'!$J$2:$J$37000,"4*",'Accounting data'!$K$2:$K$37000,"61*")+SUMIFS('Accounting data'!$G$2:$G$37000,'Accounting data'!$H$2:$H$37000,"1500*",'Accounting data'!$I$2:$I$37000,"1*",'Accounting data'!$J$2:$J$37000,"4*",'Accounting data'!$K$2:$K$37000,"61*")</f>
        <v>0</v>
      </c>
      <c r="E17" s="550">
        <f>SUMIFS('Accounting data'!$G$2:$G$37000,'Accounting data'!$H$2:$H$37000,"1000*",'Accounting data'!$I$2:$I$37000,"1*",'Accounting data'!$J$2:$J$37000,"4*",'Accounting data'!$K$2:$K$37000,"62*")+SUMIFS('Accounting data'!$G$2:$G$37000,'Accounting data'!$H$2:$H$37000,"1500*",'Accounting data'!$I$2:$I$37000,"1*",'Accounting data'!$J$2:$J$37000,"4*",'Accounting data'!$K$2:$K$37000,"62*")</f>
        <v>0</v>
      </c>
      <c r="F17" s="550">
        <f>SUMIFS('Accounting data'!$G$2:$G$37000,'Accounting data'!$H$2:$H$37000,"1000*",'Accounting data'!$I$2:$I$37000,"1*",'Accounting data'!$J$2:$J$37000,"4*",'Accounting data'!$K$2:$K$37000,"63*")+SUMIFS('Accounting data'!$G$2:$G$37000,'Accounting data'!$H$2:$H$37000,"1500*",'Accounting data'!$I$2:$I$37000,"1*",'Accounting data'!$J$2:$J$37000,"4*",'Accounting data'!$K$2:$K$37000,"63*")</f>
        <v>0</v>
      </c>
      <c r="G17" s="550">
        <f>SUMIFS('Accounting data'!$G$2:$G$37000,'Accounting data'!$H$2:$H$37000,"1000*",'Accounting data'!$I$2:$I$37000,"1*",'Accounting data'!$J$2:$J$37000,"4*",'Accounting data'!$K$2:$K$37000,"66*")+SUMIFS('Accounting data'!$G$2:$G$37000,'Accounting data'!$H$2:$H$37000,"1500*",'Accounting data'!$I$2:$I$37000,"1*",'Accounting data'!$J$2:$J$37000,"4*",'Accounting data'!$K$2:$K$37000,"66*")</f>
        <v>0</v>
      </c>
      <c r="H17" s="550">
        <f>SUMIFS('Accounting data'!$G$2:$G$37000,'Accounting data'!$H$2:$H$37000,"1000*",'Accounting data'!$I$2:$I$37000,"1*",'Accounting data'!$J$2:$J$37000,"4*",'Accounting data'!$K$2:$K$37000,"68*")+SUMIFS('Accounting data'!$G$2:$G$37000,'Accounting data'!$H$2:$H$37000,"1500*",'Accounting data'!$I$2:$I$37000,"1*",'Accounting data'!$J$2:$J$37000,"4*",'Accounting data'!$K$2:$K$37000,"68*")</f>
        <v>0</v>
      </c>
      <c r="I17" s="549">
        <f>[1]!SP1000P100F4000</f>
        <v>0</v>
      </c>
      <c r="J17" s="551">
        <f t="shared" si="0"/>
        <v>0</v>
      </c>
      <c r="K17" s="549">
        <f>[2]!SP1000P100F4000</f>
        <v>0</v>
      </c>
      <c r="L17" s="552">
        <f t="shared" si="1"/>
        <v>0</v>
      </c>
      <c r="M17" s="90" t="s">
        <v>42</v>
      </c>
    </row>
    <row r="18" spans="1:25" ht="12" customHeight="1" x14ac:dyDescent="0.25">
      <c r="A18" s="88" t="s">
        <v>112</v>
      </c>
      <c r="C18" s="89" t="s">
        <v>44</v>
      </c>
      <c r="D18" s="550">
        <f>SUMIFS('Accounting data'!$G$2:$G$37000,'Accounting data'!$H$2:$H$37000,"1000*",'Accounting data'!$I$2:$I$37000,"1*",'Accounting data'!$J$2:$J$37000,"5*",'Accounting data'!$K$2:$K$37000,"61*")+SUMIFS('Accounting data'!$G$2:$G$37000,'Accounting data'!$H$2:$H$37000,"1500*",'Accounting data'!$I$2:$I$37000,"1*",'Accounting data'!$J$2:$J$37000,"5*",'Accounting data'!$K$2:$K$37000,"61*")</f>
        <v>0</v>
      </c>
      <c r="E18" s="550">
        <f>SUMIFS('Accounting data'!$G$2:$G$37000,'Accounting data'!$H$2:$H$37000,"1000*",'Accounting data'!$I$2:$I$37000,"1*",'Accounting data'!$J$2:$J$37000,"5*",'Accounting data'!$K$2:$K$37000,"62*")+SUMIFS('Accounting data'!$G$2:$G$37000,'Accounting data'!$H$2:$H$37000,"1500*",'Accounting data'!$I$2:$I$37000,"1*",'Accounting data'!$J$2:$J$37000,"5*",'Accounting data'!$K$2:$K$37000,"62*")</f>
        <v>0</v>
      </c>
      <c r="F18" s="550">
        <f>SUMIFS('Accounting data'!$G$2:$G$37000,'Accounting data'!$H$2:$H$37000,"1000*",'Accounting data'!$I$2:$I$37000,"1*",'Accounting data'!$J$2:$J$37000,"5*",'Accounting data'!$K$2:$K$37000,"63*")+SUMIFS('Accounting data'!$G$2:$G$37000,'Accounting data'!$H$2:$H$37000,"1500*",'Accounting data'!$I$2:$I$37000,"1*",'Accounting data'!$J$2:$J$37000,"5*",'Accounting data'!$K$2:$K$37000,"63*")</f>
        <v>0</v>
      </c>
      <c r="G18" s="550">
        <f>SUMIFS('Accounting data'!$G$2:$G$37000,'Accounting data'!$H$2:$H$37000,"1000*",'Accounting data'!$I$2:$I$37000,"1*",'Accounting data'!$J$2:$J$37000,"5*",'Accounting data'!$K$2:$K$37000,"66*")+SUMIFS('Accounting data'!$G$2:$G$37000,'Accounting data'!$H$2:$H$37000,"1500*",'Accounting data'!$I$2:$I$37000,"1*",'Accounting data'!$J$2:$J$37000,"5*",'Accounting data'!$K$2:$K$37000,"66*")</f>
        <v>0</v>
      </c>
      <c r="H18" s="550">
        <f>SUMIFS('Accounting data'!$G$2:$G$37000,'Accounting data'!$H$2:$H$37000,"1000*",'Accounting data'!$I$2:$I$37000,"1*",'Accounting data'!$J$2:$J$37000,"5*",'Accounting data'!$K$2:$K$37000,"68*")+SUMIFS('Accounting data'!$G$2:$G$37000,'Accounting data'!$H$2:$H$37000,"1500*",'Accounting data'!$I$2:$I$37000,"1*",'Accounting data'!$J$2:$J$37000,"5*",'Accounting data'!$K$2:$K$37000,"68*")</f>
        <v>182777</v>
      </c>
      <c r="I18" s="549">
        <f>[1]!SP1000P100F5000</f>
        <v>183135</v>
      </c>
      <c r="J18" s="551">
        <f t="shared" si="0"/>
        <v>182777</v>
      </c>
      <c r="K18" s="549">
        <f>[2]!SP1000P100F5000</f>
        <v>191047</v>
      </c>
      <c r="L18" s="552">
        <f t="shared" si="1"/>
        <v>-4.3299999999999998E-2</v>
      </c>
      <c r="M18" s="90" t="s">
        <v>44</v>
      </c>
    </row>
    <row r="19" spans="1:25" ht="12" customHeight="1" x14ac:dyDescent="0.25">
      <c r="A19" s="88" t="s">
        <v>113</v>
      </c>
      <c r="C19" s="89" t="s">
        <v>45</v>
      </c>
      <c r="D19" s="550">
        <f>SUMIFS('Accounting data'!$G$2:$G$37000,'Accounting data'!$H$2:$H$37000,"1000*",'Accounting data'!$I$2:$I$37000,"61*",'Accounting data'!$K$2:$K$37000,"61*")+SUMIFS('Accounting data'!$G$2:$G$37000,'Accounting data'!$H$2:$H$37000,"1500*",'Accounting data'!$I$2:$I$37000,"61*",'Accounting data'!$K$2:$K$37000,"61*")</f>
        <v>0</v>
      </c>
      <c r="E19" s="550">
        <f>SUMIFS('Accounting data'!$G$2:$G$37000,'Accounting data'!$H$2:$H$37000,"1000*",'Accounting data'!$I$2:$I$37000,"61*",'Accounting data'!$K$2:$K$37000,"62*")+SUMIFS('Accounting data'!$G$2:$G$37000,'Accounting data'!$H$2:$H$37000,"1500*",'Accounting data'!$I$2:$I$37000,"61*",'Accounting data'!$K$2:$K$37000,"62*")</f>
        <v>0</v>
      </c>
      <c r="F19" s="550">
        <f>SUMIFS('Accounting data'!$G$2:$G$37000,'Accounting data'!$H$2:$H$37000,"1000*",'Accounting data'!$I$2:$I$37000,"61*",'Accounting data'!$K$2:$K$37000,"63*")+SUMIFS('Accounting data'!$G$2:$G$37000,'Accounting data'!$H$2:$H$37000,"1500*",'Accounting data'!$I$2:$I$37000,"61*",'Accounting data'!$K$2:$K$37000,"63*")</f>
        <v>0</v>
      </c>
      <c r="G19" s="550">
        <f>SUMIFS('Accounting data'!$G$2:$G$37000,'Accounting data'!$H$2:$H$37000,"1000*",'Accounting data'!$I$2:$I$37000,"61*",'Accounting data'!$K$2:$K$37000,"66*")+SUMIFS('Accounting data'!$G$2:$G$37000,'Accounting data'!$H$2:$H$37000,"1500*",'Accounting data'!$I$2:$I$37000,"61*",'Accounting data'!$K$2:$K$37000,"66*")</f>
        <v>0</v>
      </c>
      <c r="H19" s="550">
        <f>SUMIFS('Accounting data'!$G$2:$G$37000,'Accounting data'!$H$2:$H$37000,"1000*",'Accounting data'!$I$2:$I$37000,"61*",'Accounting data'!$K$2:$K$37000,"68*")+SUMIFS('Accounting data'!$G$2:$G$37000,'Accounting data'!$H$2:$H$37000,"1500*",'Accounting data'!$I$2:$I$37000,"61*",'Accounting data'!$K$2:$K$37000,"68*")</f>
        <v>0</v>
      </c>
      <c r="I19" s="549">
        <f>[1]!SP1000P610</f>
        <v>0</v>
      </c>
      <c r="J19" s="551">
        <f t="shared" si="0"/>
        <v>0</v>
      </c>
      <c r="K19" s="549">
        <f>[2]!SP1000P610</f>
        <v>0</v>
      </c>
      <c r="L19" s="552">
        <f t="shared" si="1"/>
        <v>0</v>
      </c>
      <c r="M19" s="90" t="s">
        <v>45</v>
      </c>
    </row>
    <row r="20" spans="1:25" ht="12" customHeight="1" x14ac:dyDescent="0.25">
      <c r="A20" s="88" t="s">
        <v>114</v>
      </c>
      <c r="C20" s="89" t="s">
        <v>47</v>
      </c>
      <c r="D20" s="550">
        <f>SUMIFS('Accounting data'!$G$2:$G$37000,'Accounting data'!$H$2:$H$37000,"1000*",'Accounting data'!$I$2:$I$37000,"62*",'Accounting data'!$K$2:$K$37000,"61*")+SUMIFS('Accounting data'!$G$2:$G$37000,'Accounting data'!$H$2:$H$37000,"1500*",'Accounting data'!$I$2:$I$37000,"62*",'Accounting data'!$K$2:$K$37000,"61*")</f>
        <v>0</v>
      </c>
      <c r="E20" s="550">
        <f>SUMIFS('Accounting data'!$G$2:$G$37000,'Accounting data'!$H$2:$H$37000,"1000*",'Accounting data'!$I$2:$I$37000,"62*",'Accounting data'!$K$2:$K$37000,"62*")+SUMIFS('Accounting data'!$G$2:$G$37000,'Accounting data'!$H$2:$H$37000,"1500*",'Accounting data'!$I$2:$I$37000,"62*",'Accounting data'!$K$2:$K$37000,"62*")</f>
        <v>0</v>
      </c>
      <c r="F20" s="550">
        <f>SUMIFS('Accounting data'!$G$2:$G$37000,'Accounting data'!$H$2:$H$37000,"1000*",'Accounting data'!$I$2:$I$37000,"62*",'Accounting data'!$K$2:$K$37000,"63*")+SUMIFS('Accounting data'!$G$2:$G$37000,'Accounting data'!$H$2:$H$37000,"1500*",'Accounting data'!$I$2:$I$37000,"62*",'Accounting data'!$K$2:$K$37000,"63*")</f>
        <v>0</v>
      </c>
      <c r="G20" s="550">
        <f>SUMIFS('Accounting data'!$G$2:$G$37000,'Accounting data'!$H$2:$H$37000,"1000*",'Accounting data'!$I$2:$I$37000,"62*",'Accounting data'!$K$2:$K$37000,"66*")+SUMIFS('Accounting data'!$G$2:$G$37000,'Accounting data'!$H$2:$H$37000,"1500*",'Accounting data'!$I$2:$I$37000,"62*",'Accounting data'!$K$2:$K$37000,"66*")</f>
        <v>0</v>
      </c>
      <c r="H20" s="550">
        <f>SUMIFS('Accounting data'!$G$2:$G$37000,'Accounting data'!$H$2:$H$37000,"1000*",'Accounting data'!$I$2:$I$37000,"62*",'Accounting data'!$K$2:$K$37000,"68*")+SUMIFS('Accounting data'!$G$2:$G$37000,'Accounting data'!$H$2:$H$37000,"1500*",'Accounting data'!$I$2:$I$37000,"62*",'Accounting data'!$K$2:$K$37000,"68*")</f>
        <v>0</v>
      </c>
      <c r="I20" s="549">
        <f>[1]!SP1000P620</f>
        <v>0</v>
      </c>
      <c r="J20" s="551">
        <f t="shared" si="0"/>
        <v>0</v>
      </c>
      <c r="K20" s="549">
        <f>[2]!SP1000P620</f>
        <v>0</v>
      </c>
      <c r="L20" s="552">
        <f t="shared" si="1"/>
        <v>0</v>
      </c>
      <c r="M20" s="90" t="s">
        <v>47</v>
      </c>
    </row>
    <row r="21" spans="1:25" ht="12" customHeight="1" x14ac:dyDescent="0.25">
      <c r="A21" s="88" t="s">
        <v>115</v>
      </c>
      <c r="C21" s="89" t="s">
        <v>49</v>
      </c>
      <c r="D21" s="550">
        <f>SUMIFS('Accounting data'!$G$2:$G$37000,'Accounting data'!$H$2:$H$37000,"1000*",'Accounting data'!$I$2:$I$37000,"63*",'Accounting data'!$K$2:$K$37000,"61*")+SUMIFS('Accounting data'!$G$2:$G$37000,'Accounting data'!$H$2:$H$37000,"1500*",'Accounting data'!$I$2:$I$37000,"63*",'Accounting data'!$K$2:$K$37000,"61*")</f>
        <v>0</v>
      </c>
      <c r="E21" s="550">
        <f>SUMIFS('Accounting data'!$G$2:$G$37000,'Accounting data'!$H$2:$H$37000,"1000*",'Accounting data'!$I$2:$I$37000,"63*",'Accounting data'!$K$2:$K$37000,"62*")+SUMIFS('Accounting data'!$G$2:$G$37000,'Accounting data'!$H$2:$H$37000,"1500*",'Accounting data'!$I$2:$I$37000,"63*",'Accounting data'!$K$2:$K$37000,"62*")</f>
        <v>0</v>
      </c>
      <c r="F21" s="550">
        <f>SUMIFS('Accounting data'!$G$2:$G$37000,'Accounting data'!$H$2:$H$37000,"1000*",'Accounting data'!$I$2:$I$37000,"63*",'Accounting data'!$K$2:$K$37000,"63*")+SUMIFS('Accounting data'!$G$2:$G$37000,'Accounting data'!$H$2:$H$37000,"1500*",'Accounting data'!$I$2:$I$37000,"63*",'Accounting data'!$K$2:$K$37000,"63*")</f>
        <v>0</v>
      </c>
      <c r="G21" s="550">
        <f>SUMIFS('Accounting data'!$G$2:$G$37000,'Accounting data'!$H$2:$H$37000,"1000*",'Accounting data'!$I$2:$I$37000,"63*",'Accounting data'!$K$2:$K$37000,"66*")+SUMIFS('Accounting data'!$G$2:$G$37000,'Accounting data'!$H$2:$H$37000,"1500*",'Accounting data'!$I$2:$I$37000,"63*",'Accounting data'!$K$2:$K$37000,"66*")</f>
        <v>0</v>
      </c>
      <c r="H21" s="598">
        <f>SUMIFS('Accounting data'!$G$2:$G$37000,'Accounting data'!$H$2:$H$37000,"1000*",'Accounting data'!$I$2:$I$37000,"63*",'Accounting data'!$K$2:$K$37000,"68*")+SUMIFS('Accounting data'!$G$2:$G$37000,'Accounting data'!$H$2:$H$37000,"1500*",'Accounting data'!$I$2:$I$37000,"63*",'Accounting data'!$K$2:$K$37000,"68*")</f>
        <v>0</v>
      </c>
      <c r="I21" s="825">
        <f>[1]!SP1000P630700800900</f>
        <v>0</v>
      </c>
      <c r="J21" s="599">
        <f t="shared" si="0"/>
        <v>0</v>
      </c>
      <c r="K21" s="549">
        <f>'[2]Page 2'!$J$21</f>
        <v>0</v>
      </c>
      <c r="L21" s="818">
        <f>IF(J21+J22=K22,0,IF(K22&gt;0,(J21+J22-K22)/K22,"--"))</f>
        <v>0</v>
      </c>
      <c r="M21" s="65" t="s">
        <v>49</v>
      </c>
    </row>
    <row r="22" spans="1:25" ht="12" customHeight="1" x14ac:dyDescent="0.25">
      <c r="A22" s="88" t="s">
        <v>116</v>
      </c>
      <c r="C22" s="89" t="s">
        <v>51</v>
      </c>
      <c r="D22" s="550">
        <f>SUMIFS('Accounting data'!$G$2:$G$37000,'Accounting data'!$H$2:$H$37000,"1000*",'Accounting data'!$I$2:$I$37000,"7*",'Accounting data'!$K$2:$K$37000,"61*")+SUMIFS('Accounting data'!$G$2:$G$37000,'Accounting data'!$H$2:$H$37000,"1000*",'Accounting data'!$I$2:$I$37000,"8*",'Accounting data'!$K$2:$K$37000,"61*")+SUMIFS('Accounting data'!$G$2:$G$37000,'Accounting data'!$H$2:$H$37000,"1000*",'Accounting data'!$I$2:$I$37000,"9*",'Accounting data'!$K$2:$K$37000,"61*")+SUMIFS('Accounting data'!$G$2:$G$37000,'Accounting data'!$H$2:$H$37000,"1500*",'Accounting data'!$I$2:$I$37000,"7*",'Accounting data'!$K$2:$K$37000,"61*")+SUMIFS('Accounting data'!$G$2:$G$37000,'Accounting data'!$H$2:$H$37000,"1500*",'Accounting data'!$I$2:$I$37000,"8*",'Accounting data'!$K$2:$K$37000,"61*")+SUMIFS('Accounting data'!$G$2:$G$37000,'Accounting data'!$H$2:$H$37000,"1500*",'Accounting data'!$I$2:$I$37000,"9*",'Accounting data'!$K$2:$K$37000,"61*")</f>
        <v>0</v>
      </c>
      <c r="E22" s="550">
        <f>SUMIFS('Accounting data'!$G$2:$G$37000,'Accounting data'!$H$2:$H$37000,"1000*",'Accounting data'!$I$2:$I$37000,"7*",'Accounting data'!$K$2:$K$37000,"62*")+SUMIFS('Accounting data'!$G$2:$G$37000,'Accounting data'!$H$2:$H$37000,"1000*",'Accounting data'!$I$2:$I$37000,"8*",'Accounting data'!$K$2:$K$37000,"62*")+SUMIFS('Accounting data'!$G$2:$G$37000,'Accounting data'!$H$2:$H$37000,"1000*",'Accounting data'!$I$2:$I$37000,"9*",'Accounting data'!$K$2:$K$37000,"62*")+SUMIFS('Accounting data'!$G$2:$G$37000,'Accounting data'!$H$2:$H$37000,"1500*",'Accounting data'!$I$2:$I$37000,"7*",'Accounting data'!$K$2:$K$37000,"62*")+SUMIFS('Accounting data'!$G$2:$G$37000,'Accounting data'!$H$2:$H$37000,"1500*",'Accounting data'!$I$2:$I$37000,"8*",'Accounting data'!$K$2:$K$37000,"62*")+SUMIFS('Accounting data'!$G$2:$G$37000,'Accounting data'!$H$2:$H$37000,"1500*",'Accounting data'!$I$2:$I$37000,"9*",'Accounting data'!$K$2:$K$37000,"62*")</f>
        <v>0</v>
      </c>
      <c r="F22" s="550">
        <f>SUMIFS('Accounting data'!$G$2:$G$37000,'Accounting data'!$H$2:$H$37000,"1000*",'Accounting data'!$I$2:$I$37000,"7*",'Accounting data'!$K$2:$K$37000,"63*")+SUMIFS('Accounting data'!$G$2:$G$37000,'Accounting data'!$H$2:$H$37000,"1000*",'Accounting data'!$I$2:$I$37000,"8*",'Accounting data'!$K$2:$K$37000,"63*")+SUMIFS('Accounting data'!$G$2:$G$37000,'Accounting data'!$H$2:$H$37000,"1000*",'Accounting data'!$I$2:$I$37000,"9*",'Accounting data'!$K$2:$K$37000,"63*")+SUMIFS('Accounting data'!$G$2:$G$37000,'Accounting data'!$H$2:$H$37000,"1500*",'Accounting data'!$I$2:$I$37000,"7*",'Accounting data'!$K$2:$K$37000,"63*")+SUMIFS('Accounting data'!$G$2:$G$37000,'Accounting data'!$H$2:$H$37000,"1500*",'Accounting data'!$I$2:$I$37000,"8*",'Accounting data'!$K$2:$K$37000,"63*")+SUMIFS('Accounting data'!$G$2:$G$37000,'Accounting data'!$H$2:$H$37000,"1500*",'Accounting data'!$I$2:$I$37000,"9*",'Accounting data'!$K$2:$K$37000,"63*")</f>
        <v>0</v>
      </c>
      <c r="G22" s="550">
        <f>SUMIFS('Accounting data'!$G$2:$G$37000,'Accounting data'!$H$2:$H$37000,"1000*",'Accounting data'!$I$2:$I$37000,"7*",'Accounting data'!$K$2:$K$37000,"66*")+SUMIFS('Accounting data'!$G$2:$G$37000,'Accounting data'!$H$2:$H$37000,"1000*",'Accounting data'!$I$2:$I$37000,"8*",'Accounting data'!$K$2:$K$37000,"66*")+SUMIFS('Accounting data'!$G$2:$G$37000,'Accounting data'!$H$2:$H$37000,"1000*",'Accounting data'!$I$2:$I$37000,"9*",'Accounting data'!$K$2:$K$37000,"66*")+SUMIFS('Accounting data'!$G$2:$G$37000,'Accounting data'!$H$2:$H$37000,"1500*",'Accounting data'!$I$2:$I$37000,"7*",'Accounting data'!$K$2:$K$37000,"66*")+SUMIFS('Accounting data'!$G$2:$G$37000,'Accounting data'!$H$2:$H$37000,"1500*",'Accounting data'!$I$2:$I$37000,"8*",'Accounting data'!$K$2:$K$37000,"66*")+SUMIFS('Accounting data'!$G$2:$G$37000,'Accounting data'!$H$2:$H$37000,"1500*",'Accounting data'!$I$2:$I$37000,"9*",'Accounting data'!$K$2:$K$37000,"66*")</f>
        <v>0</v>
      </c>
      <c r="H22" s="550">
        <f>SUMIFS('Accounting data'!$G$2:$G$37000,'Accounting data'!$H$2:$H$37000,"1000*",'Accounting data'!$I$2:$I$37000,"7*",'Accounting data'!$K$2:$K$37000,"68*")+SUMIFS('Accounting data'!$G$2:$G$37000,'Accounting data'!$H$2:$H$37000,"1000*",'Accounting data'!$I$2:$I$37000,"8*",'Accounting data'!$K$2:$K$37000,"68*")+SUMIFS('Accounting data'!$G$2:$G$37000,'Accounting data'!$H$2:$H$37000,"1000*",'Accounting data'!$I$2:$I$37000,"9*",'Accounting data'!$K$2:$K$37000,"68*")+SUMIFS('Accounting data'!$G$2:$G$37000,'Accounting data'!$H$2:$H$37000,"1500*",'Accounting data'!$I$2:$I$37000,"7*",'Accounting data'!$K$2:$K$37000,"68*")+SUMIFS('Accounting data'!$G$2:$G$37000,'Accounting data'!$H$2:$H$37000,"1500*",'Accounting data'!$I$2:$I$37000,"8*",'Accounting data'!$K$2:$K$37000,"68*")+SUMIFS('Accounting data'!$G$2:$G$37000,'Accounting data'!$H$2:$H$37000,"1500*",'Accounting data'!$I$2:$I$37000,"9*",'Accounting data'!$K$2:$K$37000,"68*")</f>
        <v>0</v>
      </c>
      <c r="I22" s="826"/>
      <c r="J22" s="551">
        <f t="shared" si="0"/>
        <v>0</v>
      </c>
      <c r="K22" s="549">
        <f>[2]!SP1000P630700800900</f>
        <v>0</v>
      </c>
      <c r="L22" s="820"/>
      <c r="M22" s="65" t="s">
        <v>51</v>
      </c>
    </row>
    <row r="23" spans="1:25" ht="12" customHeight="1" x14ac:dyDescent="0.25">
      <c r="A23" s="92" t="s">
        <v>117</v>
      </c>
      <c r="B23" s="6"/>
      <c r="C23" s="93" t="s">
        <v>53</v>
      </c>
      <c r="D23" s="550">
        <f t="shared" ref="D23:H23" si="2">SUM(D6:D22)</f>
        <v>709589</v>
      </c>
      <c r="E23" s="550">
        <f t="shared" si="2"/>
        <v>218762</v>
      </c>
      <c r="F23" s="550">
        <f t="shared" si="2"/>
        <v>414606</v>
      </c>
      <c r="G23" s="550">
        <f t="shared" si="2"/>
        <v>84964</v>
      </c>
      <c r="H23" s="550">
        <f t="shared" si="2"/>
        <v>207291</v>
      </c>
      <c r="I23" s="551">
        <f>SUM(I7:I22)</f>
        <v>1609944</v>
      </c>
      <c r="J23" s="551">
        <f>SUM(J7:J22)</f>
        <v>1635212</v>
      </c>
      <c r="K23" s="551">
        <f>SUM(K7:K22)</f>
        <v>1730647</v>
      </c>
      <c r="L23" s="552">
        <f>IF(J23=K23,0,IF(K23&gt;0,(J23-K23)/K23,"--"))</f>
        <v>-5.5100000000000003E-2</v>
      </c>
      <c r="M23" s="65" t="s">
        <v>53</v>
      </c>
    </row>
    <row r="24" spans="1:25" ht="12" customHeight="1" x14ac:dyDescent="0.25">
      <c r="A24" s="94" t="s">
        <v>118</v>
      </c>
      <c r="C24" s="77"/>
      <c r="D24" s="87"/>
      <c r="E24" s="87"/>
      <c r="F24" s="87"/>
      <c r="G24" s="87"/>
      <c r="H24" s="87"/>
      <c r="I24" s="87"/>
      <c r="J24" s="87"/>
      <c r="K24" s="87"/>
      <c r="L24" s="818">
        <f>IF(J25=K25,0,IF(K25&gt;0,(J25-K25)/K25,"--"))</f>
        <v>3.4099999999999998E-2</v>
      </c>
      <c r="M24" s="566"/>
    </row>
    <row r="25" spans="1:25" ht="12" customHeight="1" x14ac:dyDescent="0.25">
      <c r="A25" s="88" t="s">
        <v>119</v>
      </c>
      <c r="C25" s="89" t="s">
        <v>55</v>
      </c>
      <c r="D25" s="554">
        <f>SUMIFS('Accounting data'!$G$2:$G$37000,'Accounting data'!$H$2:$H$37000,"1000*",'Accounting data'!$I$2:$I$37000,"200*",'Accounting data'!$J$2:$J$37000,"1*",'Accounting data'!$K$2:$K$37000,"61*")+SUMIFS('Accounting data'!$G$2:$G$37000,'Accounting data'!$H$2:$H$37000,"1500*",'Accounting data'!$I$2:$I$37000,"200*",'Accounting data'!$J$2:$J$37000,"1*",'Accounting data'!$K$2:$K$37000,"61*")+SUMIFS('Accounting data'!$G$2:$G$37000,'Accounting data'!$H$2:$H$37000,"1000*",'Accounting data'!$I$2:$I$37000,"270*",'Accounting data'!$J$2:$J$37000,"1*",'Accounting data'!$K$2:$K$37000,"61*")+SUMIFS('Accounting data'!$G$2:$G$37000,'Accounting data'!$H$2:$H$37000,"1500*",'Accounting data'!$I$2:$I$37000,"270*",'Accounting data'!$J$2:$J$37000,"1*",'Accounting data'!$K$2:$K$37000,"61*")</f>
        <v>79344</v>
      </c>
      <c r="E25" s="554">
        <f>SUMIFS('Accounting data'!$G$2:$G$37000,'Accounting data'!$H$2:$H$37000,"1000*",'Accounting data'!$I$2:$I$37000,"200*",'Accounting data'!$J$2:$J$37000,"1*",'Accounting data'!$K$2:$K$37000,"62*")+SUMIFS('Accounting data'!$G$2:$G$37000,'Accounting data'!$H$2:$H$37000,"1500*",'Accounting data'!$I$2:$I$37000,"200*",'Accounting data'!$J$2:$J$37000,"1*",'Accounting data'!$K$2:$K$37000,"62*")+SUMIFS('Accounting data'!$G$2:$G$37000,'Accounting data'!$H$2:$H$37000,"1000*",'Accounting data'!$I$2:$I$37000,"270*",'Accounting data'!$J$2:$J$37000,"1*",'Accounting data'!$K$2:$K$37000,"62*")+SUMIFS('Accounting data'!$G$2:$G$37000,'Accounting data'!$H$2:$H$37000,"1500*",'Accounting data'!$I$2:$I$37000,"270*",'Accounting data'!$J$2:$J$37000,"1*",'Accounting data'!$K$2:$K$37000,"62*")</f>
        <v>27543</v>
      </c>
      <c r="F25" s="554">
        <f>SUMIFS('Accounting data'!$G$2:$G$37000,'Accounting data'!$H$2:$H$37000,"1000*",'Accounting data'!$I$2:$I$37000,"200*",'Accounting data'!$J$2:$J$37000,"1*",'Accounting data'!$K$2:$K$37000,"63*")+SUMIFS('Accounting data'!$G$2:$G$37000,'Accounting data'!$H$2:$H$37000,"1500*",'Accounting data'!$I$2:$I$37000,"200*",'Accounting data'!$J$2:$J$37000,"1*",'Accounting data'!$K$2:$K$37000,"63*")+SUMIFS('Accounting data'!$G$2:$G$37000,'Accounting data'!$H$2:$H$37000,"1000*",'Accounting data'!$I$2:$I$37000,"270*",'Accounting data'!$J$2:$J$37000,"1*",'Accounting data'!$K$2:$K$37000,"63*")+SUMIFS('Accounting data'!$G$2:$G$37000,'Accounting data'!$H$2:$H$37000,"1500*",'Accounting data'!$I$2:$I$37000,"270*",'Accounting data'!$J$2:$J$37000,"1*",'Accounting data'!$K$2:$K$37000,"63*")</f>
        <v>59690</v>
      </c>
      <c r="G25" s="554">
        <f>SUMIFS('Accounting data'!$G$2:$G$37000,'Accounting data'!$H$2:$H$37000,"1000*",'Accounting data'!$I$2:$I$37000,"200*",'Accounting data'!$J$2:$J$37000,"1*",'Accounting data'!$K$2:$K$37000,"66*")+SUMIFS('Accounting data'!$G$2:$G$37000,'Accounting data'!$H$2:$H$37000,"1500*",'Accounting data'!$I$2:$I$37000,"200*",'Accounting data'!$J$2:$J$37000,"1*",'Accounting data'!$K$2:$K$37000,"66*")+SUMIFS('Accounting data'!$G$2:$G$37000,'Accounting data'!$H$2:$H$37000,"1000*",'Accounting data'!$I$2:$I$37000,"270*",'Accounting data'!$J$2:$J$37000,"1*",'Accounting data'!$K$2:$K$37000,"66*")+SUMIFS('Accounting data'!$G$2:$G$37000,'Accounting data'!$H$2:$H$37000,"1500*",'Accounting data'!$I$2:$I$37000,"270*",'Accounting data'!$J$2:$J$37000,"1*",'Accounting data'!$K$2:$K$37000,"66*")</f>
        <v>138</v>
      </c>
      <c r="H25" s="554">
        <f>SUMIFS('Accounting data'!$G$2:$G$37000,'Accounting data'!$H$2:$H$37000,"1000*",'Accounting data'!$I$2:$I$37000,"200*",'Accounting data'!$J$2:$J$37000,"1*",'Accounting data'!$K$2:$K$37000,"68*")+SUMIFS('Accounting data'!$G$2:$G$37000,'Accounting data'!$H$2:$H$37000,"1500*",'Accounting data'!$I$2:$I$37000,"200*",'Accounting data'!$J$2:$J$37000,"1*",'Accounting data'!$K$2:$K$37000,"68*")+SUMIFS('Accounting data'!$G$2:$G$37000,'Accounting data'!$H$2:$H$37000,"1000*",'Accounting data'!$I$2:$I$37000,"270*",'Accounting data'!$J$2:$J$37000,"1*",'Accounting data'!$K$2:$K$37000,"68*")+SUMIFS('Accounting data'!$G$2:$G$37000,'Accounting data'!$H$2:$H$37000,"1500*",'Accounting data'!$I$2:$I$37000,"270*",'Accounting data'!$J$2:$J$37000,"1*",'Accounting data'!$K$2:$K$37000,"68*")</f>
        <v>0</v>
      </c>
      <c r="I25" s="554">
        <f>[1]!SP1000P200F1000</f>
        <v>177230</v>
      </c>
      <c r="J25" s="554">
        <f>SUM(D25:H25)</f>
        <v>166715</v>
      </c>
      <c r="K25" s="554">
        <f>[2]!SP1000P200F1000</f>
        <v>161220</v>
      </c>
      <c r="L25" s="819"/>
      <c r="M25" s="65" t="s">
        <v>55</v>
      </c>
      <c r="Y25" s="547"/>
    </row>
    <row r="26" spans="1:25" ht="12" customHeight="1" x14ac:dyDescent="0.25">
      <c r="A26" s="88" t="s">
        <v>120</v>
      </c>
      <c r="C26" s="89"/>
      <c r="D26" s="87"/>
      <c r="E26" s="87"/>
      <c r="F26" s="87"/>
      <c r="G26" s="87"/>
      <c r="H26" s="87"/>
      <c r="I26" s="87"/>
      <c r="J26" s="87"/>
      <c r="K26" s="87"/>
      <c r="L26" s="818">
        <f>IF(J27=K27,0,IF(K27&gt;0,(J27-K27)/K27,"--"))</f>
        <v>-0.31059999999999999</v>
      </c>
      <c r="M26" s="65"/>
      <c r="T26" s="547"/>
    </row>
    <row r="27" spans="1:25" ht="12" customHeight="1" x14ac:dyDescent="0.25">
      <c r="A27" s="88" t="s">
        <v>121</v>
      </c>
      <c r="C27" s="89" t="s">
        <v>57</v>
      </c>
      <c r="D27" s="554">
        <f>SUMIFS('Accounting data'!$G$2:$G$37000,'Accounting data'!$H$2:$H$37000,"1000*",'Accounting data'!$I$2:$I$37000,"200*",'Accounting data'!$J$2:$J$37000,"21*",'Accounting data'!$K$2:$K$37000,"61*")+SUMIFS('Accounting data'!$G$2:$G$37000,'Accounting data'!$H$2:$H$37000,"1500*",'Accounting data'!$I$2:$I$37000,"200*",'Accounting data'!$J$2:$J$37000,"21*",'Accounting data'!$K$2:$K$37000,"61*")+SUMIFS('Accounting data'!$G$2:$G$37000,'Accounting data'!$H$2:$H$37000,"1000*",'Accounting data'!$I$2:$I$37000,"270*",'Accounting data'!$J$2:$J$37000,"21*",'Accounting data'!$K$2:$K$37000,"61*")+SUMIFS('Accounting data'!$G$2:$G$37000,'Accounting data'!$H$2:$H$37000,"1500*",'Accounting data'!$I$2:$I$37000,"270*",'Accounting data'!$J$2:$J$37000,"21*",'Accounting data'!$K$2:$K$37000,"61*")</f>
        <v>0</v>
      </c>
      <c r="E27" s="554">
        <f>SUMIFS('Accounting data'!$G$2:$G$37000,'Accounting data'!$H$2:$H$37000,"1000*",'Accounting data'!$I$2:$I$37000,"200*",'Accounting data'!$J$2:$J$37000,"21*",'Accounting data'!$K$2:$K$37000,"62*")+SUMIFS('Accounting data'!$G$2:$G$37000,'Accounting data'!$H$2:$H$37000,"1500*",'Accounting data'!$I$2:$I$37000,"200*",'Accounting data'!$J$2:$J$37000,"21*",'Accounting data'!$K$2:$K$37000,"62*")+SUMIFS('Accounting data'!$G$2:$G$37000,'Accounting data'!$H$2:$H$37000,"1000*",'Accounting data'!$I$2:$I$37000,"270*",'Accounting data'!$J$2:$J$37000,"21*",'Accounting data'!$K$2:$K$37000,"62*")+SUMIFS('Accounting data'!$G$2:$G$37000,'Accounting data'!$H$2:$H$37000,"1500*",'Accounting data'!$I$2:$I$37000,"270*",'Accounting data'!$J$2:$J$37000,"21*",'Accounting data'!$K$2:$K$37000,"62*")</f>
        <v>0</v>
      </c>
      <c r="F27" s="554">
        <f>SUMIFS('Accounting data'!$G$2:$G$37000,'Accounting data'!$H$2:$H$37000,"1000*",'Accounting data'!$I$2:$I$37000,"200*",'Accounting data'!$J$2:$J$37000,"21*",'Accounting data'!$K$2:$K$37000,"63*")+SUMIFS('Accounting data'!$G$2:$G$37000,'Accounting data'!$H$2:$H$37000,"1500*",'Accounting data'!$I$2:$I$37000,"200*",'Accounting data'!$J$2:$J$37000,"21*",'Accounting data'!$K$2:$K$37000,"63*")+SUMIFS('Accounting data'!$G$2:$G$37000,'Accounting data'!$H$2:$H$37000,"1000*",'Accounting data'!$I$2:$I$37000,"270*",'Accounting data'!$J$2:$J$37000,"21*",'Accounting data'!$K$2:$K$37000,"63*")+SUMIFS('Accounting data'!$G$2:$G$37000,'Accounting data'!$H$2:$H$37000,"1500*",'Accounting data'!$I$2:$I$37000,"270*",'Accounting data'!$J$2:$J$37000,"21*",'Accounting data'!$K$2:$K$37000,"63*")</f>
        <v>10657</v>
      </c>
      <c r="G27" s="554">
        <f>SUMIFS('Accounting data'!$G$2:$G$37000,'Accounting data'!$H$2:$H$37000,"1000*",'Accounting data'!$I$2:$I$37000,"200*",'Accounting data'!$J$2:$J$37000,"21*",'Accounting data'!$K$2:$K$37000,"66*")+SUMIFS('Accounting data'!$G$2:$G$37000,'Accounting data'!$H$2:$H$37000,"1500*",'Accounting data'!$I$2:$I$37000,"200*",'Accounting data'!$J$2:$J$37000,"21*",'Accounting data'!$K$2:$K$37000,"66*")+SUMIFS('Accounting data'!$G$2:$G$37000,'Accounting data'!$H$2:$H$37000,"1000*",'Accounting data'!$I$2:$I$37000,"270*",'Accounting data'!$J$2:$J$37000,"21*",'Accounting data'!$K$2:$K$37000,"66*")+SUMIFS('Accounting data'!$G$2:$G$37000,'Accounting data'!$H$2:$H$37000,"1500*",'Accounting data'!$I$2:$I$37000,"270*",'Accounting data'!$J$2:$J$37000,"21*",'Accounting data'!$K$2:$K$37000,"66*")</f>
        <v>1865</v>
      </c>
      <c r="H27" s="554">
        <f>SUMIFS('Accounting data'!$G$2:$G$37000,'Accounting data'!$H$2:$H$37000,"1000*",'Accounting data'!$I$2:$I$37000,"200*",'Accounting data'!$J$2:$J$37000,"21*",'Accounting data'!$K$2:$K$37000,"68*")+SUMIFS('Accounting data'!$G$2:$G$37000,'Accounting data'!$H$2:$H$37000,"1500*",'Accounting data'!$I$2:$I$37000,"200*",'Accounting data'!$J$2:$J$37000,"21*",'Accounting data'!$K$2:$K$37000,"68*")+SUMIFS('Accounting data'!$G$2:$G$37000,'Accounting data'!$H$2:$H$37000,"1000*",'Accounting data'!$I$2:$I$37000,"270*",'Accounting data'!$J$2:$J$37000,"21*",'Accounting data'!$K$2:$K$37000,"68*")+SUMIFS('Accounting data'!$G$2:$G$37000,'Accounting data'!$H$2:$H$37000,"1500*",'Accounting data'!$I$2:$I$37000,"270*",'Accounting data'!$J$2:$J$37000,"21*",'Accounting data'!$K$2:$K$37000,"68*")</f>
        <v>0</v>
      </c>
      <c r="I27" s="554">
        <f>[1]!SP1000P200F2100</f>
        <v>14811</v>
      </c>
      <c r="J27" s="554">
        <f>SUM(D27:H27)</f>
        <v>12522</v>
      </c>
      <c r="K27" s="554">
        <f>[2]!SP1000P200F2100</f>
        <v>18164</v>
      </c>
      <c r="L27" s="819"/>
      <c r="M27" s="65" t="s">
        <v>57</v>
      </c>
    </row>
    <row r="28" spans="1:25" ht="12" customHeight="1" x14ac:dyDescent="0.25">
      <c r="A28" s="88" t="s">
        <v>122</v>
      </c>
      <c r="C28" s="89" t="s">
        <v>59</v>
      </c>
      <c r="D28" s="550">
        <f>SUMIFS('Accounting data'!$G$2:$G$37000,'Accounting data'!$H$2:$H$37000,"1000*",'Accounting data'!$I$2:$I$37000,"200*",'Accounting data'!$J$2:$J$37000,"22*",'Accounting data'!$K$2:$K$37000,"61*")+SUMIFS('Accounting data'!$G$2:$G$37000,'Accounting data'!$H$2:$H$37000,"1500*",'Accounting data'!$I$2:$I$37000,"200*",'Accounting data'!$J$2:$J$37000,"22*",'Accounting data'!$K$2:$K$37000,"61*")+SUMIFS('Accounting data'!$G$2:$G$37000,'Accounting data'!$H$2:$H$37000,"1000*",'Accounting data'!$I$2:$I$37000,"270*",'Accounting data'!$J$2:$J$37000,"22*",'Accounting data'!$K$2:$K$37000,"61*")+SUMIFS('Accounting data'!$G$2:$G$37000,'Accounting data'!$H$2:$H$37000,"1500*",'Accounting data'!$I$2:$I$37000,"270*",'Accounting data'!$J$2:$J$37000,"22*",'Accounting data'!$K$2:$K$37000,"61*")</f>
        <v>454</v>
      </c>
      <c r="E28" s="550">
        <f>SUMIFS('Accounting data'!$G$2:$G$37000,'Accounting data'!$H$2:$H$37000,"1000*",'Accounting data'!$I$2:$I$37000,"200*",'Accounting data'!$J$2:$J$37000,"22*",'Accounting data'!$K$2:$K$37000,"62*")+SUMIFS('Accounting data'!$G$2:$G$37000,'Accounting data'!$H$2:$H$37000,"1500*",'Accounting data'!$I$2:$I$37000,"200*",'Accounting data'!$J$2:$J$37000,"22*",'Accounting data'!$K$2:$K$37000,"62*")+SUMIFS('Accounting data'!$G$2:$G$37000,'Accounting data'!$H$2:$H$37000,"1000*",'Accounting data'!$I$2:$I$37000,"270*",'Accounting data'!$J$2:$J$37000,"22*",'Accounting data'!$K$2:$K$37000,"62*")+SUMIFS('Accounting data'!$G$2:$G$37000,'Accounting data'!$H$2:$H$37000,"1500*",'Accounting data'!$I$2:$I$37000,"270*",'Accounting data'!$J$2:$J$37000,"22*",'Accounting data'!$K$2:$K$37000,"62*")</f>
        <v>2056</v>
      </c>
      <c r="F28" s="550">
        <f>SUMIFS('Accounting data'!$G$2:$G$37000,'Accounting data'!$H$2:$H$37000,"1000*",'Accounting data'!$I$2:$I$37000,"200*",'Accounting data'!$J$2:$J$37000,"22*",'Accounting data'!$K$2:$K$37000,"63*")+SUMIFS('Accounting data'!$G$2:$G$37000,'Accounting data'!$H$2:$H$37000,"1500*",'Accounting data'!$I$2:$I$37000,"200*",'Accounting data'!$J$2:$J$37000,"22*",'Accounting data'!$K$2:$K$37000,"63*")+SUMIFS('Accounting data'!$G$2:$G$37000,'Accounting data'!$H$2:$H$37000,"1000*",'Accounting data'!$I$2:$I$37000,"270*",'Accounting data'!$J$2:$J$37000,"22*",'Accounting data'!$K$2:$K$37000,"63*")+SUMIFS('Accounting data'!$G$2:$G$37000,'Accounting data'!$H$2:$H$37000,"1500*",'Accounting data'!$I$2:$I$37000,"270*",'Accounting data'!$J$2:$J$37000,"22*",'Accounting data'!$K$2:$K$37000,"63*")</f>
        <v>17384</v>
      </c>
      <c r="G28" s="550">
        <f>SUMIFS('Accounting data'!$G$2:$G$37000,'Accounting data'!$H$2:$H$37000,"1000*",'Accounting data'!$I$2:$I$37000,"200*",'Accounting data'!$J$2:$J$37000,"22*",'Accounting data'!$K$2:$K$37000,"66*")+SUMIFS('Accounting data'!$G$2:$G$37000,'Accounting data'!$H$2:$H$37000,"1500*",'Accounting data'!$I$2:$I$37000,"200*",'Accounting data'!$J$2:$J$37000,"22*",'Accounting data'!$K$2:$K$37000,"66*")+SUMIFS('Accounting data'!$G$2:$G$37000,'Accounting data'!$H$2:$H$37000,"1000*",'Accounting data'!$I$2:$I$37000,"270*",'Accounting data'!$J$2:$J$37000,"22*",'Accounting data'!$K$2:$K$37000,"66*")+SUMIFS('Accounting data'!$G$2:$G$37000,'Accounting data'!$H$2:$H$37000,"1500*",'Accounting data'!$I$2:$I$37000,"270*",'Accounting data'!$J$2:$J$37000,"22*",'Accounting data'!$K$2:$K$37000,"66*")</f>
        <v>0</v>
      </c>
      <c r="H28" s="550">
        <f>SUMIFS('Accounting data'!$G$2:$G$37000,'Accounting data'!$H$2:$H$37000,"1000*",'Accounting data'!$I$2:$I$37000,"200*",'Accounting data'!$J$2:$J$37000,"22*",'Accounting data'!$K$2:$K$37000,"68*")+SUMIFS('Accounting data'!$G$2:$G$37000,'Accounting data'!$H$2:$H$37000,"1500*",'Accounting data'!$I$2:$I$37000,"200*",'Accounting data'!$J$2:$J$37000,"22*",'Accounting data'!$K$2:$K$37000,"68*")+SUMIFS('Accounting data'!$G$2:$G$37000,'Accounting data'!$H$2:$H$37000,"1000*",'Accounting data'!$I$2:$I$37000,"270*",'Accounting data'!$J$2:$J$37000,"22*",'Accounting data'!$K$2:$K$37000,"68*")+SUMIFS('Accounting data'!$G$2:$G$37000,'Accounting data'!$H$2:$H$37000,"1500*",'Accounting data'!$I$2:$I$37000,"270*",'Accounting data'!$J$2:$J$37000,"22*",'Accounting data'!$K$2:$K$37000,"68*")</f>
        <v>0</v>
      </c>
      <c r="I28" s="549">
        <f>[1]!SP1000P200F2200</f>
        <v>20000</v>
      </c>
      <c r="J28" s="551">
        <f t="shared" ref="J28:J36" si="3">SUM(D28:H28)</f>
        <v>19894</v>
      </c>
      <c r="K28" s="549">
        <f>[2]!SP1000P200F2200</f>
        <v>19623</v>
      </c>
      <c r="L28" s="552">
        <f t="shared" ref="L28:L48" si="4">IF(J28=K28,0,IF(K28&gt;0,(J28-K28)/K28,"--"))</f>
        <v>1.38E-2</v>
      </c>
      <c r="M28" s="65" t="s">
        <v>59</v>
      </c>
    </row>
    <row r="29" spans="1:25" ht="12" customHeight="1" x14ac:dyDescent="0.25">
      <c r="A29" s="88" t="s">
        <v>123</v>
      </c>
      <c r="C29" s="89" t="s">
        <v>61</v>
      </c>
      <c r="D29" s="550">
        <f>SUMIFS('Accounting data'!$G$2:$G$37000,'Accounting data'!$H$2:$H$37000,"1000*",'Accounting data'!$I$2:$I$37000,"200*",'Accounting data'!$J$2:$J$37000,"23*",'Accounting data'!$K$2:$K$37000,"61*")+SUMIFS('Accounting data'!$G$2:$G$37000,'Accounting data'!$H$2:$H$37000,"1500*",'Accounting data'!$I$2:$I$37000,"200*",'Accounting data'!$J$2:$J$37000,"23*",'Accounting data'!$K$2:$K$37000,"61*")+SUMIFS('Accounting data'!$G$2:$G$37000,'Accounting data'!$H$2:$H$37000,"1000*",'Accounting data'!$I$2:$I$37000,"270*",'Accounting data'!$J$2:$J$37000,"23*",'Accounting data'!$K$2:$K$37000,"61*")+SUMIFS('Accounting data'!$G$2:$G$37000,'Accounting data'!$H$2:$H$37000,"1500*",'Accounting data'!$I$2:$I$37000,"270*",'Accounting data'!$J$2:$J$37000,"23*",'Accounting data'!$K$2:$K$37000,"61*")</f>
        <v>0</v>
      </c>
      <c r="E29" s="550">
        <f>SUMIFS('Accounting data'!$G$2:$G$37000,'Accounting data'!$H$2:$H$37000,"1000*",'Accounting data'!$I$2:$I$37000,"200*",'Accounting data'!$J$2:$J$37000,"23*",'Accounting data'!$K$2:$K$37000,"62*")+SUMIFS('Accounting data'!$G$2:$G$37000,'Accounting data'!$H$2:$H$37000,"1500*",'Accounting data'!$I$2:$I$37000,"200*",'Accounting data'!$J$2:$J$37000,"23*",'Accounting data'!$K$2:$K$37000,"62*")+SUMIFS('Accounting data'!$G$2:$G$37000,'Accounting data'!$H$2:$H$37000,"1000*",'Accounting data'!$I$2:$I$37000,"270*",'Accounting data'!$J$2:$J$37000,"23*",'Accounting data'!$K$2:$K$37000,"62*")+SUMIFS('Accounting data'!$G$2:$G$37000,'Accounting data'!$H$2:$H$37000,"1500*",'Accounting data'!$I$2:$I$37000,"270*",'Accounting data'!$J$2:$J$37000,"23*",'Accounting data'!$K$2:$K$37000,"62*")</f>
        <v>0</v>
      </c>
      <c r="F29" s="550">
        <f>SUMIFS('Accounting data'!$G$2:$G$37000,'Accounting data'!$H$2:$H$37000,"1000*",'Accounting data'!$I$2:$I$37000,"200*",'Accounting data'!$J$2:$J$37000,"23*",'Accounting data'!$K$2:$K$37000,"63*")+SUMIFS('Accounting data'!$G$2:$G$37000,'Accounting data'!$H$2:$H$37000,"1500*",'Accounting data'!$I$2:$I$37000,"200*",'Accounting data'!$J$2:$J$37000,"23*",'Accounting data'!$K$2:$K$37000,"63*")+SUMIFS('Accounting data'!$G$2:$G$37000,'Accounting data'!$H$2:$H$37000,"1000*",'Accounting data'!$I$2:$I$37000,"270*",'Accounting data'!$J$2:$J$37000,"23*",'Accounting data'!$K$2:$K$37000,"63*")+SUMIFS('Accounting data'!$G$2:$G$37000,'Accounting data'!$H$2:$H$37000,"1500*",'Accounting data'!$I$2:$I$37000,"270*",'Accounting data'!$J$2:$J$37000,"23*",'Accounting data'!$K$2:$K$37000,"63*")</f>
        <v>0</v>
      </c>
      <c r="G29" s="550">
        <f>SUMIFS('Accounting data'!$G$2:$G$37000,'Accounting data'!$H$2:$H$37000,"1000*",'Accounting data'!$I$2:$I$37000,"200*",'Accounting data'!$J$2:$J$37000,"23*",'Accounting data'!$K$2:$K$37000,"66*")+SUMIFS('Accounting data'!$G$2:$G$37000,'Accounting data'!$H$2:$H$37000,"1500*",'Accounting data'!$I$2:$I$37000,"200*",'Accounting data'!$J$2:$J$37000,"23*",'Accounting data'!$K$2:$K$37000,"66*")+SUMIFS('Accounting data'!$G$2:$G$37000,'Accounting data'!$H$2:$H$37000,"1000*",'Accounting data'!$I$2:$I$37000,"270*",'Accounting data'!$J$2:$J$37000,"23*",'Accounting data'!$K$2:$K$37000,"66*")+SUMIFS('Accounting data'!$G$2:$G$37000,'Accounting data'!$H$2:$H$37000,"1500*",'Accounting data'!$I$2:$I$37000,"270*",'Accounting data'!$J$2:$J$37000,"23*",'Accounting data'!$K$2:$K$37000,"66*")</f>
        <v>0</v>
      </c>
      <c r="H29" s="550">
        <f>SUMIFS('Accounting data'!$G$2:$G$37000,'Accounting data'!$H$2:$H$37000,"1000*",'Accounting data'!$I$2:$I$37000,"200*",'Accounting data'!$J$2:$J$37000,"23*",'Accounting data'!$K$2:$K$37000,"68*")+SUMIFS('Accounting data'!$G$2:$G$37000,'Accounting data'!$H$2:$H$37000,"1500*",'Accounting data'!$I$2:$I$37000,"200*",'Accounting data'!$J$2:$J$37000,"23*",'Accounting data'!$K$2:$K$37000,"68*")+SUMIFS('Accounting data'!$G$2:$G$37000,'Accounting data'!$H$2:$H$37000,"1000*",'Accounting data'!$I$2:$I$37000,"270*",'Accounting data'!$J$2:$J$37000,"23*",'Accounting data'!$K$2:$K$37000,"68*")+SUMIFS('Accounting data'!$G$2:$G$37000,'Accounting data'!$H$2:$H$37000,"1500*",'Accounting data'!$I$2:$I$37000,"270*",'Accounting data'!$J$2:$J$37000,"23*",'Accounting data'!$K$2:$K$37000,"68*")</f>
        <v>0</v>
      </c>
      <c r="I29" s="549">
        <f>[1]!SP1000P200F2300</f>
        <v>0</v>
      </c>
      <c r="J29" s="551">
        <f t="shared" si="3"/>
        <v>0</v>
      </c>
      <c r="K29" s="549">
        <f>[2]!SP1000P200F2300</f>
        <v>0</v>
      </c>
      <c r="L29" s="552">
        <f t="shared" si="4"/>
        <v>0</v>
      </c>
      <c r="M29" s="65" t="s">
        <v>61</v>
      </c>
    </row>
    <row r="30" spans="1:25" ht="12" customHeight="1" x14ac:dyDescent="0.25">
      <c r="A30" s="88" t="s">
        <v>124</v>
      </c>
      <c r="C30" s="89" t="s">
        <v>63</v>
      </c>
      <c r="D30" s="550">
        <f>SUMIFS('Accounting data'!$G$2:$G$37000,'Accounting data'!$H$2:$H$37000,"1000*",'Accounting data'!$I$2:$I$37000,"200*",'Accounting data'!$J$2:$J$37000,"24*",'Accounting data'!$K$2:$K$37000,"61*")+SUMIFS('Accounting data'!$G$2:$G$37000,'Accounting data'!$H$2:$H$37000,"1500*",'Accounting data'!$I$2:$I$37000,"200*",'Accounting data'!$J$2:$J$37000,"24*",'Accounting data'!$K$2:$K$37000,"61*")+SUMIFS('Accounting data'!$G$2:$G$37000,'Accounting data'!$H$2:$H$37000,"1000*",'Accounting data'!$I$2:$I$37000,"270*",'Accounting data'!$J$2:$J$37000,"24*",'Accounting data'!$K$2:$K$37000,"61*")+SUMIFS('Accounting data'!$G$2:$G$37000,'Accounting data'!$H$2:$H$37000,"1500*",'Accounting data'!$I$2:$I$37000,"270*",'Accounting data'!$J$2:$J$37000,"24*",'Accounting data'!$K$2:$K$37000,"61*")</f>
        <v>0</v>
      </c>
      <c r="E30" s="550">
        <f>SUMIFS('Accounting data'!$G$2:$G$37000,'Accounting data'!$H$2:$H$37000,"1000*",'Accounting data'!$I$2:$I$37000,"200*",'Accounting data'!$J$2:$J$37000,"24*",'Accounting data'!$K$2:$K$37000,"62*")+SUMIFS('Accounting data'!$G$2:$G$37000,'Accounting data'!$H$2:$H$37000,"1500*",'Accounting data'!$I$2:$I$37000,"200*",'Accounting data'!$J$2:$J$37000,"24*",'Accounting data'!$K$2:$K$37000,"62*")+SUMIFS('Accounting data'!$G$2:$G$37000,'Accounting data'!$H$2:$H$37000,"1000*",'Accounting data'!$I$2:$I$37000,"270*",'Accounting data'!$J$2:$J$37000,"24*",'Accounting data'!$K$2:$K$37000,"62*")+SUMIFS('Accounting data'!$G$2:$G$37000,'Accounting data'!$H$2:$H$37000,"1500*",'Accounting data'!$I$2:$I$37000,"270*",'Accounting data'!$J$2:$J$37000,"24*",'Accounting data'!$K$2:$K$37000,"62*")</f>
        <v>0</v>
      </c>
      <c r="F30" s="550">
        <f>SUMIFS('Accounting data'!$G$2:$G$37000,'Accounting data'!$H$2:$H$37000,"1000*",'Accounting data'!$I$2:$I$37000,"200*",'Accounting data'!$J$2:$J$37000,"24*",'Accounting data'!$K$2:$K$37000,"63*")+SUMIFS('Accounting data'!$G$2:$G$37000,'Accounting data'!$H$2:$H$37000,"1500*",'Accounting data'!$I$2:$I$37000,"200*",'Accounting data'!$J$2:$J$37000,"24*",'Accounting data'!$K$2:$K$37000,"63*")+SUMIFS('Accounting data'!$G$2:$G$37000,'Accounting data'!$H$2:$H$37000,"1000*",'Accounting data'!$I$2:$I$37000,"270*",'Accounting data'!$J$2:$J$37000,"24*",'Accounting data'!$K$2:$K$37000,"63*")+SUMIFS('Accounting data'!$G$2:$G$37000,'Accounting data'!$H$2:$H$37000,"1500*",'Accounting data'!$I$2:$I$37000,"270*",'Accounting data'!$J$2:$J$37000,"24*",'Accounting data'!$K$2:$K$37000,"63*")</f>
        <v>0</v>
      </c>
      <c r="G30" s="550">
        <f>SUMIFS('Accounting data'!$G$2:$G$37000,'Accounting data'!$H$2:$H$37000,"1000*",'Accounting data'!$I$2:$I$37000,"200*",'Accounting data'!$J$2:$J$37000,"24*",'Accounting data'!$K$2:$K$37000,"66*")+SUMIFS('Accounting data'!$G$2:$G$37000,'Accounting data'!$H$2:$H$37000,"1500*",'Accounting data'!$I$2:$I$37000,"200*",'Accounting data'!$J$2:$J$37000,"24*",'Accounting data'!$K$2:$K$37000,"66*")+SUMIFS('Accounting data'!$G$2:$G$37000,'Accounting data'!$H$2:$H$37000,"1000*",'Accounting data'!$I$2:$I$37000,"270*",'Accounting data'!$J$2:$J$37000,"24*",'Accounting data'!$K$2:$K$37000,"66*")+SUMIFS('Accounting data'!$G$2:$G$37000,'Accounting data'!$H$2:$H$37000,"1500*",'Accounting data'!$I$2:$I$37000,"270*",'Accounting data'!$J$2:$J$37000,"24*",'Accounting data'!$K$2:$K$37000,"66*")</f>
        <v>0</v>
      </c>
      <c r="H30" s="550">
        <f>SUMIFS('Accounting data'!$G$2:$G$37000,'Accounting data'!$H$2:$H$37000,"1000*",'Accounting data'!$I$2:$I$37000,"200*",'Accounting data'!$J$2:$J$37000,"24*",'Accounting data'!$K$2:$K$37000,"68*")+SUMIFS('Accounting data'!$G$2:$G$37000,'Accounting data'!$H$2:$H$37000,"1500*",'Accounting data'!$I$2:$I$37000,"200*",'Accounting data'!$J$2:$J$37000,"24*",'Accounting data'!$K$2:$K$37000,"68*")+SUMIFS('Accounting data'!$G$2:$G$37000,'Accounting data'!$H$2:$H$37000,"1000*",'Accounting data'!$I$2:$I$37000,"270*",'Accounting data'!$J$2:$J$37000,"24*",'Accounting data'!$K$2:$K$37000,"68*")+SUMIFS('Accounting data'!$G$2:$G$37000,'Accounting data'!$H$2:$H$37000,"1500*",'Accounting data'!$I$2:$I$37000,"270*",'Accounting data'!$J$2:$J$37000,"24*",'Accounting data'!$K$2:$K$37000,"68*")</f>
        <v>0</v>
      </c>
      <c r="I30" s="549">
        <f>[1]!SP1000P200F2400</f>
        <v>0</v>
      </c>
      <c r="J30" s="551">
        <f t="shared" si="3"/>
        <v>0</v>
      </c>
      <c r="K30" s="549">
        <f>[2]!SP1000P200F2400</f>
        <v>0</v>
      </c>
      <c r="L30" s="552">
        <f t="shared" si="4"/>
        <v>0</v>
      </c>
      <c r="M30" s="65" t="s">
        <v>63</v>
      </c>
    </row>
    <row r="31" spans="1:25" ht="12" customHeight="1" x14ac:dyDescent="0.25">
      <c r="A31" s="88" t="s">
        <v>125</v>
      </c>
      <c r="C31" s="89" t="s">
        <v>65</v>
      </c>
      <c r="D31" s="550">
        <f>SUMIFS('Accounting data'!$G$2:$G$37000,'Accounting data'!$H$2:$H$37000,"1000*",'Accounting data'!$I$2:$I$37000,"200*",'Accounting data'!$J$2:$J$37000,"25*",'Accounting data'!$K$2:$K$37000,"61*")+SUMIFS('Accounting data'!$G$2:$G$37000,'Accounting data'!$H$2:$H$37000,"1500*",'Accounting data'!$I$2:$I$37000,"200*",'Accounting data'!$J$2:$J$37000,"25*",'Accounting data'!$K$2:$K$37000,"61*")+SUMIFS('Accounting data'!$G$2:$G$37000,'Accounting data'!$H$2:$H$37000,"1000*",'Accounting data'!$I$2:$I$37000,"270*",'Accounting data'!$J$2:$J$37000,"25*",'Accounting data'!$K$2:$K$37000,"61*")+SUMIFS('Accounting data'!$G$2:$G$37000,'Accounting data'!$H$2:$H$37000,"1500*",'Accounting data'!$I$2:$I$37000,"270*",'Accounting data'!$J$2:$J$37000,"25*",'Accounting data'!$K$2:$K$37000,"61*")</f>
        <v>0</v>
      </c>
      <c r="E31" s="550">
        <f>SUMIFS('Accounting data'!$G$2:$G$37000,'Accounting data'!$H$2:$H$37000,"1000*",'Accounting data'!$I$2:$I$37000,"200*",'Accounting data'!$J$2:$J$37000,"25*",'Accounting data'!$K$2:$K$37000,"62*")+SUMIFS('Accounting data'!$G$2:$G$37000,'Accounting data'!$H$2:$H$37000,"1500*",'Accounting data'!$I$2:$I$37000,"200*",'Accounting data'!$J$2:$J$37000,"25*",'Accounting data'!$K$2:$K$37000,"62*")+SUMIFS('Accounting data'!$G$2:$G$37000,'Accounting data'!$H$2:$H$37000,"1000*",'Accounting data'!$I$2:$I$37000,"270*",'Accounting data'!$J$2:$J$37000,"25*",'Accounting data'!$K$2:$K$37000,"62*")+SUMIFS('Accounting data'!$G$2:$G$37000,'Accounting data'!$H$2:$H$37000,"1500*",'Accounting data'!$I$2:$I$37000,"270*",'Accounting data'!$J$2:$J$37000,"25*",'Accounting data'!$K$2:$K$37000,"62*")</f>
        <v>0</v>
      </c>
      <c r="F31" s="550">
        <f>SUMIFS('Accounting data'!$G$2:$G$37000,'Accounting data'!$H$2:$H$37000,"1000*",'Accounting data'!$I$2:$I$37000,"200*",'Accounting data'!$J$2:$J$37000,"25*",'Accounting data'!$K$2:$K$37000,"63*")+SUMIFS('Accounting data'!$G$2:$G$37000,'Accounting data'!$H$2:$H$37000,"1500*",'Accounting data'!$I$2:$I$37000,"200*",'Accounting data'!$J$2:$J$37000,"25*",'Accounting data'!$K$2:$K$37000,"63*")+SUMIFS('Accounting data'!$G$2:$G$37000,'Accounting data'!$H$2:$H$37000,"1000*",'Accounting data'!$I$2:$I$37000,"270*",'Accounting data'!$J$2:$J$37000,"25*",'Accounting data'!$K$2:$K$37000,"63*")+SUMIFS('Accounting data'!$G$2:$G$37000,'Accounting data'!$H$2:$H$37000,"1500*",'Accounting data'!$I$2:$I$37000,"270*",'Accounting data'!$J$2:$J$37000,"25*",'Accounting data'!$K$2:$K$37000,"63*")</f>
        <v>0</v>
      </c>
      <c r="G31" s="550">
        <f>SUMIFS('Accounting data'!$G$2:$G$37000,'Accounting data'!$H$2:$H$37000,"1000*",'Accounting data'!$I$2:$I$37000,"200*",'Accounting data'!$J$2:$J$37000,"25*",'Accounting data'!$K$2:$K$37000,"66*")+SUMIFS('Accounting data'!$G$2:$G$37000,'Accounting data'!$H$2:$H$37000,"1500*",'Accounting data'!$I$2:$I$37000,"200*",'Accounting data'!$J$2:$J$37000,"25*",'Accounting data'!$K$2:$K$37000,"66*")+SUMIFS('Accounting data'!$G$2:$G$37000,'Accounting data'!$H$2:$H$37000,"1000*",'Accounting data'!$I$2:$I$37000,"270*",'Accounting data'!$J$2:$J$37000,"25*",'Accounting data'!$K$2:$K$37000,"66*")+SUMIFS('Accounting data'!$G$2:$G$37000,'Accounting data'!$H$2:$H$37000,"1500*",'Accounting data'!$I$2:$I$37000,"270*",'Accounting data'!$J$2:$J$37000,"25*",'Accounting data'!$K$2:$K$37000,"66*")</f>
        <v>0</v>
      </c>
      <c r="H31" s="550">
        <f>SUMIFS('Accounting data'!$G$2:$G$37000,'Accounting data'!$H$2:$H$37000,"1000*",'Accounting data'!$I$2:$I$37000,"200*",'Accounting data'!$J$2:$J$37000,"25*",'Accounting data'!$K$2:$K$37000,"68*")+SUMIFS('Accounting data'!$G$2:$G$37000,'Accounting data'!$H$2:$H$37000,"1500*",'Accounting data'!$I$2:$I$37000,"200*",'Accounting data'!$J$2:$J$37000,"25*",'Accounting data'!$K$2:$K$37000,"68*")+SUMIFS('Accounting data'!$G$2:$G$37000,'Accounting data'!$H$2:$H$37000,"1000*",'Accounting data'!$I$2:$I$37000,"270*",'Accounting data'!$J$2:$J$37000,"25*",'Accounting data'!$K$2:$K$37000,"68*")+SUMIFS('Accounting data'!$G$2:$G$37000,'Accounting data'!$H$2:$H$37000,"1500*",'Accounting data'!$I$2:$I$37000,"270*",'Accounting data'!$J$2:$J$37000,"25*",'Accounting data'!$K$2:$K$37000,"68*")</f>
        <v>0</v>
      </c>
      <c r="I31" s="549">
        <f>[1]!SP1000P200F2500</f>
        <v>0</v>
      </c>
      <c r="J31" s="551">
        <f t="shared" si="3"/>
        <v>0</v>
      </c>
      <c r="K31" s="549">
        <f>[2]!SP1000P200F2500</f>
        <v>0</v>
      </c>
      <c r="L31" s="552">
        <f t="shared" si="4"/>
        <v>0</v>
      </c>
      <c r="M31" s="65" t="s">
        <v>65</v>
      </c>
    </row>
    <row r="32" spans="1:25" ht="12" customHeight="1" x14ac:dyDescent="0.25">
      <c r="A32" s="88" t="s">
        <v>126</v>
      </c>
      <c r="C32" s="89" t="s">
        <v>67</v>
      </c>
      <c r="D32" s="550">
        <f>SUMIFS('Accounting data'!$G$2:$G$37000,'Accounting data'!$H$2:$H$37000,"1000*",'Accounting data'!$I$2:$I$37000,"200*",'Accounting data'!$J$2:$J$37000,"26*",'Accounting data'!$K$2:$K$37000,"61*")+SUMIFS('Accounting data'!$G$2:$G$37000,'Accounting data'!$H$2:$H$37000,"1500*",'Accounting data'!$I$2:$I$37000,"200*",'Accounting data'!$J$2:$J$37000,"26*",'Accounting data'!$K$2:$K$37000,"61*")+SUMIFS('Accounting data'!$G$2:$G$37000,'Accounting data'!$H$2:$H$37000,"1000*",'Accounting data'!$I$2:$I$37000,"270*",'Accounting data'!$J$2:$J$37000,"26*",'Accounting data'!$K$2:$K$37000,"61*")+SUMIFS('Accounting data'!$G$2:$G$37000,'Accounting data'!$H$2:$H$37000,"1500*",'Accounting data'!$I$2:$I$37000,"270*",'Accounting data'!$J$2:$J$37000,"26*",'Accounting data'!$K$2:$K$37000,"61*")</f>
        <v>0</v>
      </c>
      <c r="E32" s="550">
        <f>SUMIFS('Accounting data'!$G$2:$G$37000,'Accounting data'!$H$2:$H$37000,"1000*",'Accounting data'!$I$2:$I$37000,"200*",'Accounting data'!$J$2:$J$37000,"26*",'Accounting data'!$K$2:$K$37000,"62*")+SUMIFS('Accounting data'!$G$2:$G$37000,'Accounting data'!$H$2:$H$37000,"1500*",'Accounting data'!$I$2:$I$37000,"200*",'Accounting data'!$J$2:$J$37000,"26*",'Accounting data'!$K$2:$K$37000,"62*")+SUMIFS('Accounting data'!$G$2:$G$37000,'Accounting data'!$H$2:$H$37000,"1000*",'Accounting data'!$I$2:$I$37000,"270*",'Accounting data'!$J$2:$J$37000,"26*",'Accounting data'!$K$2:$K$37000,"62*")+SUMIFS('Accounting data'!$G$2:$G$37000,'Accounting data'!$H$2:$H$37000,"1500*",'Accounting data'!$I$2:$I$37000,"270*",'Accounting data'!$J$2:$J$37000,"26*",'Accounting data'!$K$2:$K$37000,"62*")</f>
        <v>0</v>
      </c>
      <c r="F32" s="550">
        <f>SUMIFS('Accounting data'!$G$2:$G$37000,'Accounting data'!$H$2:$H$37000,"1000*",'Accounting data'!$I$2:$I$37000,"200*",'Accounting data'!$J$2:$J$37000,"26*",'Accounting data'!$K$2:$K$37000,"63*")+SUMIFS('Accounting data'!$G$2:$G$37000,'Accounting data'!$H$2:$H$37000,"1500*",'Accounting data'!$I$2:$I$37000,"200*",'Accounting data'!$J$2:$J$37000,"26*",'Accounting data'!$K$2:$K$37000,"63*")+SUMIFS('Accounting data'!$G$2:$G$37000,'Accounting data'!$H$2:$H$37000,"1000*",'Accounting data'!$I$2:$I$37000,"270*",'Accounting data'!$J$2:$J$37000,"26*",'Accounting data'!$K$2:$K$37000,"63*")+SUMIFS('Accounting data'!$G$2:$G$37000,'Accounting data'!$H$2:$H$37000,"1500*",'Accounting data'!$I$2:$I$37000,"270*",'Accounting data'!$J$2:$J$37000,"26*",'Accounting data'!$K$2:$K$37000,"63*")</f>
        <v>0</v>
      </c>
      <c r="G32" s="550">
        <f>SUMIFS('Accounting data'!$G$2:$G$37000,'Accounting data'!$H$2:$H$37000,"1000*",'Accounting data'!$I$2:$I$37000,"200*",'Accounting data'!$J$2:$J$37000,"26*",'Accounting data'!$K$2:$K$37000,"66*")+SUMIFS('Accounting data'!$G$2:$G$37000,'Accounting data'!$H$2:$H$37000,"1500*",'Accounting data'!$I$2:$I$37000,"200*",'Accounting data'!$J$2:$J$37000,"26*",'Accounting data'!$K$2:$K$37000,"66*")+SUMIFS('Accounting data'!$G$2:$G$37000,'Accounting data'!$H$2:$H$37000,"1000*",'Accounting data'!$I$2:$I$37000,"270*",'Accounting data'!$J$2:$J$37000,"26*",'Accounting data'!$K$2:$K$37000,"66*")+SUMIFS('Accounting data'!$G$2:$G$37000,'Accounting data'!$H$2:$H$37000,"1500*",'Accounting data'!$I$2:$I$37000,"270*",'Accounting data'!$J$2:$J$37000,"26*",'Accounting data'!$K$2:$K$37000,"66*")</f>
        <v>0</v>
      </c>
      <c r="H32" s="550">
        <f>SUMIFS('Accounting data'!$G$2:$G$37000,'Accounting data'!$H$2:$H$37000,"1000*",'Accounting data'!$I$2:$I$37000,"200*",'Accounting data'!$J$2:$J$37000,"26*",'Accounting data'!$K$2:$K$37000,"68*")+SUMIFS('Accounting data'!$G$2:$G$37000,'Accounting data'!$H$2:$H$37000,"1500*",'Accounting data'!$I$2:$I$37000,"200*",'Accounting data'!$J$2:$J$37000,"26*",'Accounting data'!$K$2:$K$37000,"68*")+SUMIFS('Accounting data'!$G$2:$G$37000,'Accounting data'!$H$2:$H$37000,"1000*",'Accounting data'!$I$2:$I$37000,"270*",'Accounting data'!$J$2:$J$37000,"26*",'Accounting data'!$K$2:$K$37000,"68*")+SUMIFS('Accounting data'!$G$2:$G$37000,'Accounting data'!$H$2:$H$37000,"1500*",'Accounting data'!$I$2:$I$37000,"270*",'Accounting data'!$J$2:$J$37000,"26*",'Accounting data'!$K$2:$K$37000,"68*")</f>
        <v>0</v>
      </c>
      <c r="I32" s="549">
        <f>[1]!SP1000P200F2600</f>
        <v>0</v>
      </c>
      <c r="J32" s="551">
        <f t="shared" si="3"/>
        <v>0</v>
      </c>
      <c r="K32" s="549">
        <f>[2]!SP1000P200F2600</f>
        <v>0</v>
      </c>
      <c r="L32" s="552">
        <f t="shared" si="4"/>
        <v>0</v>
      </c>
      <c r="M32" s="65" t="s">
        <v>67</v>
      </c>
    </row>
    <row r="33" spans="1:13" ht="12" customHeight="1" x14ac:dyDescent="0.25">
      <c r="A33" s="88" t="s">
        <v>127</v>
      </c>
      <c r="C33" s="89" t="s">
        <v>69</v>
      </c>
      <c r="D33" s="550">
        <f>SUMIFS('Accounting data'!$G$2:$G$37000,'Accounting data'!$H$2:$H$37000,"1000*",'Accounting data'!$I$2:$I$37000,"200*",'Accounting data'!$J$2:$J$37000,"29*",'Accounting data'!$K$2:$K$37000,"61*")+SUMIFS('Accounting data'!$G$2:$G$37000,'Accounting data'!$H$2:$H$37000,"1500*",'Accounting data'!$I$2:$I$37000,"200*",'Accounting data'!$J$2:$J$37000,"29*",'Accounting data'!$K$2:$K$37000,"61*")+SUMIFS('Accounting data'!$G$2:$G$37000,'Accounting data'!$H$2:$H$37000,"1000*",'Accounting data'!$I$2:$I$37000,"270*",'Accounting data'!$J$2:$J$37000,"29*",'Accounting data'!$K$2:$K$37000,"61*")+SUMIFS('Accounting data'!$G$2:$G$37000,'Accounting data'!$H$2:$H$37000,"1500*",'Accounting data'!$I$2:$I$37000,"270*",'Accounting data'!$J$2:$J$37000,"29*",'Accounting data'!$K$2:$K$37000,"61*")</f>
        <v>0</v>
      </c>
      <c r="E33" s="550">
        <f>SUMIFS('Accounting data'!$G$2:$G$37000,'Accounting data'!$H$2:$H$37000,"1000*",'Accounting data'!$I$2:$I$37000,"200*",'Accounting data'!$J$2:$J$37000,"29*",'Accounting data'!$K$2:$K$37000,"62*")+SUMIFS('Accounting data'!$G$2:$G$37000,'Accounting data'!$H$2:$H$37000,"1500*",'Accounting data'!$I$2:$I$37000,"200*",'Accounting data'!$J$2:$J$37000,"29*",'Accounting data'!$K$2:$K$37000,"62*")+SUMIFS('Accounting data'!$G$2:$G$37000,'Accounting data'!$H$2:$H$37000,"1000*",'Accounting data'!$I$2:$I$37000,"270*",'Accounting data'!$J$2:$J$37000,"29*",'Accounting data'!$K$2:$K$37000,"62*")+SUMIFS('Accounting data'!$G$2:$G$37000,'Accounting data'!$H$2:$H$37000,"1500*",'Accounting data'!$I$2:$I$37000,"270*",'Accounting data'!$J$2:$J$37000,"29*",'Accounting data'!$K$2:$K$37000,"62*")</f>
        <v>0</v>
      </c>
      <c r="F33" s="550">
        <f>SUMIFS('Accounting data'!$G$2:$G$37000,'Accounting data'!$H$2:$H$37000,"1000*",'Accounting data'!$I$2:$I$37000,"200*",'Accounting data'!$J$2:$J$37000,"29*",'Accounting data'!$K$2:$K$37000,"63*")+SUMIFS('Accounting data'!$G$2:$G$37000,'Accounting data'!$H$2:$H$37000,"1500*",'Accounting data'!$I$2:$I$37000,"200*",'Accounting data'!$J$2:$J$37000,"29*",'Accounting data'!$K$2:$K$37000,"63*")+SUMIFS('Accounting data'!$G$2:$G$37000,'Accounting data'!$H$2:$H$37000,"1000*",'Accounting data'!$I$2:$I$37000,"270*",'Accounting data'!$J$2:$J$37000,"29*",'Accounting data'!$K$2:$K$37000,"63*")+SUMIFS('Accounting data'!$G$2:$G$37000,'Accounting data'!$H$2:$H$37000,"1500*",'Accounting data'!$I$2:$I$37000,"270*",'Accounting data'!$J$2:$J$37000,"29*",'Accounting data'!$K$2:$K$37000,"63*")</f>
        <v>0</v>
      </c>
      <c r="G33" s="550">
        <f>SUMIFS('Accounting data'!$G$2:$G$37000,'Accounting data'!$H$2:$H$37000,"1000*",'Accounting data'!$I$2:$I$37000,"200*",'Accounting data'!$J$2:$J$37000,"29*",'Accounting data'!$K$2:$K$37000,"66*")+SUMIFS('Accounting data'!$G$2:$G$37000,'Accounting data'!$H$2:$H$37000,"1500*",'Accounting data'!$I$2:$I$37000,"200*",'Accounting data'!$J$2:$J$37000,"29*",'Accounting data'!$K$2:$K$37000,"66*")+SUMIFS('Accounting data'!$G$2:$G$37000,'Accounting data'!$H$2:$H$37000,"1000*",'Accounting data'!$I$2:$I$37000,"270*",'Accounting data'!$J$2:$J$37000,"29*",'Accounting data'!$K$2:$K$37000,"66*")+SUMIFS('Accounting data'!$G$2:$G$37000,'Accounting data'!$H$2:$H$37000,"1500*",'Accounting data'!$I$2:$I$37000,"270*",'Accounting data'!$J$2:$J$37000,"29*",'Accounting data'!$K$2:$K$37000,"66*")</f>
        <v>0</v>
      </c>
      <c r="H33" s="550">
        <f>SUMIFS('Accounting data'!$G$2:$G$37000,'Accounting data'!$H$2:$H$37000,"1000*",'Accounting data'!$I$2:$I$37000,"200*",'Accounting data'!$J$2:$J$37000,"29*",'Accounting data'!$K$2:$K$37000,"68*")+SUMIFS('Accounting data'!$G$2:$G$37000,'Accounting data'!$H$2:$H$37000,"1500*",'Accounting data'!$I$2:$I$37000,"200*",'Accounting data'!$J$2:$J$37000,"29*",'Accounting data'!$K$2:$K$37000,"68*")+SUMIFS('Accounting data'!$G$2:$G$37000,'Accounting data'!$H$2:$H$37000,"1000*",'Accounting data'!$I$2:$I$37000,"270*",'Accounting data'!$J$2:$J$37000,"29*",'Accounting data'!$K$2:$K$37000,"68*")+SUMIFS('Accounting data'!$G$2:$G$37000,'Accounting data'!$H$2:$H$37000,"1500*",'Accounting data'!$I$2:$I$37000,"270*",'Accounting data'!$J$2:$J$37000,"29*",'Accounting data'!$K$2:$K$37000,"68*")</f>
        <v>0</v>
      </c>
      <c r="I33" s="549">
        <f>[1]!SP1000P200F2900</f>
        <v>0</v>
      </c>
      <c r="J33" s="551">
        <f t="shared" si="3"/>
        <v>0</v>
      </c>
      <c r="K33" s="549">
        <f>[2]!SP1000P200F2900</f>
        <v>0</v>
      </c>
      <c r="L33" s="552">
        <f t="shared" si="4"/>
        <v>0</v>
      </c>
      <c r="M33" s="65" t="s">
        <v>69</v>
      </c>
    </row>
    <row r="34" spans="1:13" ht="12" customHeight="1" x14ac:dyDescent="0.25">
      <c r="A34" s="88" t="s">
        <v>128</v>
      </c>
      <c r="C34" s="89" t="s">
        <v>71</v>
      </c>
      <c r="D34" s="550">
        <f>SUMIFS('Accounting data'!$G$2:$G$37000,'Accounting data'!$H$2:$H$37000,"1000*",'Accounting data'!$I$2:$I$37000,"200*",'Accounting data'!$J$2:$J$37000,"3*",'Accounting data'!$K$2:$K$37000,"61*")+SUMIFS('Accounting data'!$G$2:$G$37000,'Accounting data'!$H$2:$H$37000,"1500*",'Accounting data'!$I$2:$I$37000,"200*",'Accounting data'!$J$2:$J$37000,"3*",'Accounting data'!$K$2:$K$37000,"61*")+SUMIFS('Accounting data'!$G$2:$G$37000,'Accounting data'!$H$2:$H$37000,"1000*",'Accounting data'!$I$2:$I$37000,"270*",'Accounting data'!$J$2:$J$37000,"3*",'Accounting data'!$K$2:$K$37000,"61*")+SUMIFS('Accounting data'!$G$2:$G$37000,'Accounting data'!$H$2:$H$37000,"1500*",'Accounting data'!$I$2:$I$37000,"270*",'Accounting data'!$J$2:$J$37000,"3*",'Accounting data'!$K$2:$K$37000,"61*")</f>
        <v>0</v>
      </c>
      <c r="E34" s="550">
        <f>SUMIFS('Accounting data'!$G$2:$G$37000,'Accounting data'!$H$2:$H$37000,"1000*",'Accounting data'!$I$2:$I$37000,"200*",'Accounting data'!$J$2:$J$37000,"3*",'Accounting data'!$K$2:$K$37000,"62*")+SUMIFS('Accounting data'!$G$2:$G$37000,'Accounting data'!$H$2:$H$37000,"1500*",'Accounting data'!$I$2:$I$37000,"200*",'Accounting data'!$J$2:$J$37000,"3*",'Accounting data'!$K$2:$K$37000,"62*")+SUMIFS('Accounting data'!$G$2:$G$37000,'Accounting data'!$H$2:$H$37000,"1000*",'Accounting data'!$I$2:$I$37000,"270*",'Accounting data'!$J$2:$J$37000,"3*",'Accounting data'!$K$2:$K$37000,"62*")+SUMIFS('Accounting data'!$G$2:$G$37000,'Accounting data'!$H$2:$H$37000,"1500*",'Accounting data'!$I$2:$I$37000,"270*",'Accounting data'!$J$2:$J$37000,"3*",'Accounting data'!$K$2:$K$37000,"62*")</f>
        <v>0</v>
      </c>
      <c r="F34" s="550">
        <f>SUMIFS('Accounting data'!$G$2:$G$37000,'Accounting data'!$H$2:$H$37000,"1000*",'Accounting data'!$I$2:$I$37000,"200*",'Accounting data'!$J$2:$J$37000,"3*",'Accounting data'!$K$2:$K$37000,"63*")+SUMIFS('Accounting data'!$G$2:$G$37000,'Accounting data'!$H$2:$H$37000,"1500*",'Accounting data'!$I$2:$I$37000,"200*",'Accounting data'!$J$2:$J$37000,"3*",'Accounting data'!$K$2:$K$37000,"63*")+SUMIFS('Accounting data'!$G$2:$G$37000,'Accounting data'!$H$2:$H$37000,"1000*",'Accounting data'!$I$2:$I$37000,"270*",'Accounting data'!$J$2:$J$37000,"3*",'Accounting data'!$K$2:$K$37000,"63*")+SUMIFS('Accounting data'!$G$2:$G$37000,'Accounting data'!$H$2:$H$37000,"1500*",'Accounting data'!$I$2:$I$37000,"270*",'Accounting data'!$J$2:$J$37000,"3*",'Accounting data'!$K$2:$K$37000,"63*")</f>
        <v>0</v>
      </c>
      <c r="G34" s="550">
        <f>SUMIFS('Accounting data'!$G$2:$G$37000,'Accounting data'!$H$2:$H$37000,"1000*",'Accounting data'!$I$2:$I$37000,"200*",'Accounting data'!$J$2:$J$37000,"3*",'Accounting data'!$K$2:$K$37000,"66*")+SUMIFS('Accounting data'!$G$2:$G$37000,'Accounting data'!$H$2:$H$37000,"1500*",'Accounting data'!$I$2:$I$37000,"200*",'Accounting data'!$J$2:$J$37000,"3*",'Accounting data'!$K$2:$K$37000,"66*")+SUMIFS('Accounting data'!$G$2:$G$37000,'Accounting data'!$H$2:$H$37000,"1000*",'Accounting data'!$I$2:$I$37000,"270*",'Accounting data'!$J$2:$J$37000,"3*",'Accounting data'!$K$2:$K$37000,"66*")+SUMIFS('Accounting data'!$G$2:$G$37000,'Accounting data'!$H$2:$H$37000,"1500*",'Accounting data'!$I$2:$I$37000,"270*",'Accounting data'!$J$2:$J$37000,"3*",'Accounting data'!$K$2:$K$37000,"66*")</f>
        <v>0</v>
      </c>
      <c r="H34" s="550">
        <f>SUMIFS('Accounting data'!$G$2:$G$37000,'Accounting data'!$H$2:$H$37000,"1000*",'Accounting data'!$I$2:$I$37000,"200*",'Accounting data'!$J$2:$J$37000,"3*",'Accounting data'!$K$2:$K$37000,"68*")+SUMIFS('Accounting data'!$G$2:$G$37000,'Accounting data'!$H$2:$H$37000,"1500*",'Accounting data'!$I$2:$I$37000,"200*",'Accounting data'!$J$2:$J$37000,"3*",'Accounting data'!$K$2:$K$37000,"68*")+SUMIFS('Accounting data'!$G$2:$G$37000,'Accounting data'!$H$2:$H$37000,"1000*",'Accounting data'!$I$2:$I$37000,"270*",'Accounting data'!$J$2:$J$37000,"3*",'Accounting data'!$K$2:$K$37000,"68*")+SUMIFS('Accounting data'!$G$2:$G$37000,'Accounting data'!$H$2:$H$37000,"1500*",'Accounting data'!$I$2:$I$37000,"270*",'Accounting data'!$J$2:$J$37000,"3*",'Accounting data'!$K$2:$K$37000,"68*")</f>
        <v>0</v>
      </c>
      <c r="I34" s="549">
        <f>[1]!SP1000P200F3000</f>
        <v>0</v>
      </c>
      <c r="J34" s="551">
        <f t="shared" si="3"/>
        <v>0</v>
      </c>
      <c r="K34" s="549">
        <f>[2]!SP1000P200F3000</f>
        <v>0</v>
      </c>
      <c r="L34" s="552">
        <f t="shared" si="4"/>
        <v>0</v>
      </c>
      <c r="M34" s="65" t="s">
        <v>71</v>
      </c>
    </row>
    <row r="35" spans="1:13" ht="12" customHeight="1" x14ac:dyDescent="0.25">
      <c r="A35" s="88" t="s">
        <v>129</v>
      </c>
      <c r="C35" s="89" t="s">
        <v>73</v>
      </c>
      <c r="D35" s="550">
        <f>SUMIFS('Accounting data'!$G$2:$G$37000,'Accounting data'!$H$2:$H$37000,"1000*",'Accounting data'!$I$2:$I$37000,"200*",'Accounting data'!$J$2:$J$37000,"4*",'Accounting data'!$K$2:$K$37000,"61*")+SUMIFS('Accounting data'!$G$2:$G$37000,'Accounting data'!$H$2:$H$37000,"1500*",'Accounting data'!$I$2:$I$37000,"200*",'Accounting data'!$J$2:$J$37000,"4*",'Accounting data'!$K$2:$K$37000,"61*")+SUMIFS('Accounting data'!$G$2:$G$37000,'Accounting data'!$H$2:$H$37000,"1000*",'Accounting data'!$I$2:$I$37000,"270*",'Accounting data'!$J$2:$J$37000,"4*",'Accounting data'!$K$2:$K$37000,"61*")+SUMIFS('Accounting data'!$G$2:$G$37000,'Accounting data'!$H$2:$H$37000,"1500*",'Accounting data'!$I$2:$I$37000,"270*",'Accounting data'!$J$2:$J$37000,"4*",'Accounting data'!$K$2:$K$37000,"61*")</f>
        <v>0</v>
      </c>
      <c r="E35" s="550">
        <f>SUMIFS('Accounting data'!$G$2:$G$37000,'Accounting data'!$H$2:$H$37000,"1000*",'Accounting data'!$I$2:$I$37000,"200*",'Accounting data'!$J$2:$J$37000,"4*",'Accounting data'!$K$2:$K$37000,"62*")+SUMIFS('Accounting data'!$G$2:$G$37000,'Accounting data'!$H$2:$H$37000,"1500*",'Accounting data'!$I$2:$I$37000,"200*",'Accounting data'!$J$2:$J$37000,"4*",'Accounting data'!$K$2:$K$37000,"62*")+SUMIFS('Accounting data'!$G$2:$G$37000,'Accounting data'!$H$2:$H$37000,"1000*",'Accounting data'!$I$2:$I$37000,"270*",'Accounting data'!$J$2:$J$37000,"4*",'Accounting data'!$K$2:$K$37000,"62*")+SUMIFS('Accounting data'!$G$2:$G$37000,'Accounting data'!$H$2:$H$37000,"1500*",'Accounting data'!$I$2:$I$37000,"270*",'Accounting data'!$J$2:$J$37000,"4*",'Accounting data'!$K$2:$K$37000,"62*")</f>
        <v>0</v>
      </c>
      <c r="F35" s="550">
        <f>SUMIFS('Accounting data'!$G$2:$G$37000,'Accounting data'!$H$2:$H$37000,"1000*",'Accounting data'!$I$2:$I$37000,"200*",'Accounting data'!$J$2:$J$37000,"4*",'Accounting data'!$K$2:$K$37000,"63*")+SUMIFS('Accounting data'!$G$2:$G$37000,'Accounting data'!$H$2:$H$37000,"1500*",'Accounting data'!$I$2:$I$37000,"200*",'Accounting data'!$J$2:$J$37000,"4*",'Accounting data'!$K$2:$K$37000,"63*")+SUMIFS('Accounting data'!$G$2:$G$37000,'Accounting data'!$H$2:$H$37000,"1000*",'Accounting data'!$I$2:$I$37000,"270*",'Accounting data'!$J$2:$J$37000,"4*",'Accounting data'!$K$2:$K$37000,"63*")+SUMIFS('Accounting data'!$G$2:$G$37000,'Accounting data'!$H$2:$H$37000,"1500*",'Accounting data'!$I$2:$I$37000,"270*",'Accounting data'!$J$2:$J$37000,"4*",'Accounting data'!$K$2:$K$37000,"63*")</f>
        <v>0</v>
      </c>
      <c r="G35" s="550">
        <f>SUMIFS('Accounting data'!$G$2:$G$37000,'Accounting data'!$H$2:$H$37000,"1000*",'Accounting data'!$I$2:$I$37000,"200*",'Accounting data'!$J$2:$J$37000,"4*",'Accounting data'!$K$2:$K$37000,"66*")+SUMIFS('Accounting data'!$G$2:$G$37000,'Accounting data'!$H$2:$H$37000,"1500*",'Accounting data'!$I$2:$I$37000,"200*",'Accounting data'!$J$2:$J$37000,"4*",'Accounting data'!$K$2:$K$37000,"66*")+SUMIFS('Accounting data'!$G$2:$G$37000,'Accounting data'!$H$2:$H$37000,"1000*",'Accounting data'!$I$2:$I$37000,"270*",'Accounting data'!$J$2:$J$37000,"4*",'Accounting data'!$K$2:$K$37000,"66*")+SUMIFS('Accounting data'!$G$2:$G$37000,'Accounting data'!$H$2:$H$37000,"1500*",'Accounting data'!$I$2:$I$37000,"270*",'Accounting data'!$J$2:$J$37000,"4*",'Accounting data'!$K$2:$K$37000,"66*")</f>
        <v>0</v>
      </c>
      <c r="H35" s="550">
        <f>SUMIFS('Accounting data'!$G$2:$G$37000,'Accounting data'!$H$2:$H$37000,"1000*",'Accounting data'!$I$2:$I$37000,"200*",'Accounting data'!$J$2:$J$37000,"4*",'Accounting data'!$K$2:$K$37000,"68*")+SUMIFS('Accounting data'!$G$2:$G$37000,'Accounting data'!$H$2:$H$37000,"1500*",'Accounting data'!$I$2:$I$37000,"200*",'Accounting data'!$J$2:$J$37000,"4*",'Accounting data'!$K$2:$K$37000,"68*")+SUMIFS('Accounting data'!$G$2:$G$37000,'Accounting data'!$H$2:$H$37000,"1000*",'Accounting data'!$I$2:$I$37000,"270*",'Accounting data'!$J$2:$J$37000,"4*",'Accounting data'!$K$2:$K$37000,"68*")+SUMIFS('Accounting data'!$G$2:$G$37000,'Accounting data'!$H$2:$H$37000,"1500*",'Accounting data'!$I$2:$I$37000,"270*",'Accounting data'!$J$2:$J$37000,"4*",'Accounting data'!$K$2:$K$37000,"68*")</f>
        <v>0</v>
      </c>
      <c r="I35" s="549">
        <f>[1]!SP1000P200F4000</f>
        <v>0</v>
      </c>
      <c r="J35" s="551">
        <f t="shared" si="3"/>
        <v>0</v>
      </c>
      <c r="K35" s="549">
        <f>[2]!SP1000P200F4000</f>
        <v>0</v>
      </c>
      <c r="L35" s="552">
        <f t="shared" si="4"/>
        <v>0</v>
      </c>
      <c r="M35" s="65" t="s">
        <v>73</v>
      </c>
    </row>
    <row r="36" spans="1:13" ht="12" customHeight="1" x14ac:dyDescent="0.25">
      <c r="A36" s="88" t="s">
        <v>130</v>
      </c>
      <c r="C36" s="89" t="s">
        <v>75</v>
      </c>
      <c r="D36" s="550">
        <f>SUMIFS('Accounting data'!$G$2:$G$37000,'Accounting data'!$H$2:$H$37000,"1000*",'Accounting data'!$I$2:$I$37000,"200*",'Accounting data'!$J$2:$J$37000,"5*",'Accounting data'!$K$2:$K$37000,"61*")+SUMIFS('Accounting data'!$G$2:$G$37000,'Accounting data'!$H$2:$H$37000,"1500*",'Accounting data'!$I$2:$I$37000,"200*",'Accounting data'!$J$2:$J$37000,"5*",'Accounting data'!$K$2:$K$37000,"61*")+SUMIFS('Accounting data'!$G$2:$G$37000,'Accounting data'!$H$2:$H$37000,"1000*",'Accounting data'!$I$2:$I$37000,"270*",'Accounting data'!$J$2:$J$37000,"5*",'Accounting data'!$K$2:$K$37000,"61*")+SUMIFS('Accounting data'!$G$2:$G$37000,'Accounting data'!$H$2:$H$37000,"1500*",'Accounting data'!$I$2:$I$37000,"270*",'Accounting data'!$J$2:$J$37000,"5*",'Accounting data'!$K$2:$K$37000,"61*")</f>
        <v>0</v>
      </c>
      <c r="E36" s="550">
        <f>SUMIFS('Accounting data'!$G$2:$G$37000,'Accounting data'!$H$2:$H$37000,"1000*",'Accounting data'!$I$2:$I$37000,"200*",'Accounting data'!$J$2:$J$37000,"5*",'Accounting data'!$K$2:$K$37000,"62*")+SUMIFS('Accounting data'!$G$2:$G$37000,'Accounting data'!$H$2:$H$37000,"1500*",'Accounting data'!$I$2:$I$37000,"200*",'Accounting data'!$J$2:$J$37000,"5*",'Accounting data'!$K$2:$K$37000,"62*")+SUMIFS('Accounting data'!$G$2:$G$37000,'Accounting data'!$H$2:$H$37000,"1000*",'Accounting data'!$I$2:$I$37000,"270*",'Accounting data'!$J$2:$J$37000,"5*",'Accounting data'!$K$2:$K$37000,"62*")+SUMIFS('Accounting data'!$G$2:$G$37000,'Accounting data'!$H$2:$H$37000,"1500*",'Accounting data'!$I$2:$I$37000,"270*",'Accounting data'!$J$2:$J$37000,"5*",'Accounting data'!$K$2:$K$37000,"62*")</f>
        <v>0</v>
      </c>
      <c r="F36" s="550">
        <f>SUMIFS('Accounting data'!$G$2:$G$37000,'Accounting data'!$H$2:$H$37000,"1000*",'Accounting data'!$I$2:$I$37000,"200*",'Accounting data'!$J$2:$J$37000,"5*",'Accounting data'!$K$2:$K$37000,"63*")+SUMIFS('Accounting data'!$G$2:$G$37000,'Accounting data'!$H$2:$H$37000,"1500*",'Accounting data'!$I$2:$I$37000,"200*",'Accounting data'!$J$2:$J$37000,"5*",'Accounting data'!$K$2:$K$37000,"63*")+SUMIFS('Accounting data'!$G$2:$G$37000,'Accounting data'!$H$2:$H$37000,"1000*",'Accounting data'!$I$2:$I$37000,"270*",'Accounting data'!$J$2:$J$37000,"5*",'Accounting data'!$K$2:$K$37000,"63*")+SUMIFS('Accounting data'!$G$2:$G$37000,'Accounting data'!$H$2:$H$37000,"1500*",'Accounting data'!$I$2:$I$37000,"270*",'Accounting data'!$J$2:$J$37000,"5*",'Accounting data'!$K$2:$K$37000,"63*")</f>
        <v>0</v>
      </c>
      <c r="G36" s="550">
        <f>SUMIFS('Accounting data'!$G$2:$G$37000,'Accounting data'!$H$2:$H$37000,"1000*",'Accounting data'!$I$2:$I$37000,"200*",'Accounting data'!$J$2:$J$37000,"5*",'Accounting data'!$K$2:$K$37000,"66*")+SUMIFS('Accounting data'!$G$2:$G$37000,'Accounting data'!$H$2:$H$37000,"1500*",'Accounting data'!$I$2:$I$37000,"200*",'Accounting data'!$J$2:$J$37000,"5*",'Accounting data'!$K$2:$K$37000,"66*")+SUMIFS('Accounting data'!$G$2:$G$37000,'Accounting data'!$H$2:$H$37000,"1000*",'Accounting data'!$I$2:$I$37000,"270*",'Accounting data'!$J$2:$J$37000,"5*",'Accounting data'!$K$2:$K$37000,"66*")+SUMIFS('Accounting data'!$G$2:$G$37000,'Accounting data'!$H$2:$H$37000,"1500*",'Accounting data'!$I$2:$I$37000,"270*",'Accounting data'!$J$2:$J$37000,"5*",'Accounting data'!$K$2:$K$37000,"66*")</f>
        <v>0</v>
      </c>
      <c r="H36" s="550">
        <f>SUMIFS('Accounting data'!$G$2:$G$37000,'Accounting data'!$H$2:$H$37000,"1000*",'Accounting data'!$I$2:$I$37000,"200*",'Accounting data'!$J$2:$J$37000,"5*",'Accounting data'!$K$2:$K$37000,"68*")+SUMIFS('Accounting data'!$G$2:$G$37000,'Accounting data'!$H$2:$H$37000,"1500*",'Accounting data'!$I$2:$I$37000,"200*",'Accounting data'!$J$2:$J$37000,"5*",'Accounting data'!$K$2:$K$37000,"68*")+SUMIFS('Accounting data'!$G$2:$G$37000,'Accounting data'!$H$2:$H$37000,"1000*",'Accounting data'!$I$2:$I$37000,"270*",'Accounting data'!$J$2:$J$37000,"5*",'Accounting data'!$K$2:$K$37000,"68*")+SUMIFS('Accounting data'!$G$2:$G$37000,'Accounting data'!$H$2:$H$37000,"1500*",'Accounting data'!$I$2:$I$37000,"270*",'Accounting data'!$J$2:$J$37000,"5*",'Accounting data'!$K$2:$K$37000,"68*")</f>
        <v>0</v>
      </c>
      <c r="I36" s="549">
        <f>[1]!SP1000P200F5000</f>
        <v>0</v>
      </c>
      <c r="J36" s="551">
        <f t="shared" si="3"/>
        <v>0</v>
      </c>
      <c r="K36" s="549">
        <f>[2]!SP1000P200F5000</f>
        <v>0</v>
      </c>
      <c r="L36" s="552">
        <f t="shared" si="4"/>
        <v>0</v>
      </c>
      <c r="M36" s="65" t="s">
        <v>75</v>
      </c>
    </row>
    <row r="37" spans="1:13" ht="12" customHeight="1" x14ac:dyDescent="0.25">
      <c r="A37" s="92" t="s">
        <v>131</v>
      </c>
      <c r="B37" s="6"/>
      <c r="C37" s="95" t="s">
        <v>77</v>
      </c>
      <c r="D37" s="550">
        <f>SUM(D25:D36)</f>
        <v>79798</v>
      </c>
      <c r="E37" s="550">
        <f t="shared" ref="E37:G37" si="5">SUM(E25:E36)</f>
        <v>29599</v>
      </c>
      <c r="F37" s="550">
        <f t="shared" si="5"/>
        <v>87731</v>
      </c>
      <c r="G37" s="550">
        <f t="shared" si="5"/>
        <v>2003</v>
      </c>
      <c r="H37" s="550">
        <f>SUM(H25:H36)</f>
        <v>0</v>
      </c>
      <c r="I37" s="550">
        <f>SUM(I25:I36)</f>
        <v>212041</v>
      </c>
      <c r="J37" s="550">
        <f>SUM(J25:J36)</f>
        <v>199131</v>
      </c>
      <c r="K37" s="550">
        <f>SUM(K25:K36)</f>
        <v>199007</v>
      </c>
      <c r="L37" s="96">
        <f t="shared" si="4"/>
        <v>5.9999999999999995E-4</v>
      </c>
      <c r="M37" s="97" t="s">
        <v>77</v>
      </c>
    </row>
    <row r="38" spans="1:13" ht="12" customHeight="1" x14ac:dyDescent="0.25">
      <c r="A38" s="98" t="s">
        <v>132</v>
      </c>
      <c r="B38" s="99"/>
      <c r="C38" s="95" t="s">
        <v>79</v>
      </c>
      <c r="D38" s="550">
        <f>SUMIFS('Accounting data'!$G$2:$G$37000,'Accounting data'!$H$2:$H$37000,"1000*",'Accounting data'!$I$2:$I$37000,"400*",'Accounting data'!$K$2:$K$37000,"61*")+SUMIFS('Accounting data'!$G$2:$G$37000,'Accounting data'!$H$2:$H$37000,"1500*",'Accounting data'!$I$2:$I$37000,"400*",'Accounting data'!$K$2:$K$37000,"61*")</f>
        <v>0</v>
      </c>
      <c r="E38" s="550">
        <f>SUMIFS('Accounting data'!$G$2:$G$37000,'Accounting data'!$H$2:$H$37000,"1000*",'Accounting data'!$I$2:$I$37000,"400*",'Accounting data'!$K$2:$K$37000,"62*")+SUMIFS('Accounting data'!$G$2:$G$37000,'Accounting data'!$H$2:$H$37000,"1500*",'Accounting data'!$I$2:$I$37000,"400*",'Accounting data'!$K$2:$K$37000,"62*")</f>
        <v>0</v>
      </c>
      <c r="F38" s="550">
        <f>SUMIFS('Accounting data'!$G$2:$G$37000,'Accounting data'!$H$2:$H$37000,"1000*",'Accounting data'!$I$2:$I$37000,"400*",'Accounting data'!$K$2:$K$37000,"63*")+SUMIFS('Accounting data'!$G$2:$G$37000,'Accounting data'!$H$2:$H$37000,"1500*",'Accounting data'!$I$2:$I$37000,"400*",'Accounting data'!$K$2:$K$37000,"63*")</f>
        <v>0</v>
      </c>
      <c r="G38" s="550">
        <f>SUMIFS('Accounting data'!$G$2:$G$37000,'Accounting data'!$H$2:$H$37000,"1000*",'Accounting data'!$I$2:$I$37000,"400*",'Accounting data'!$K$2:$K$37000,"66*")+SUMIFS('Accounting data'!$G$2:$G$37000,'Accounting data'!$H$2:$H$37000,"1500*",'Accounting data'!$I$2:$I$37000,"400*",'Accounting data'!$K$2:$K$37000,"66*")</f>
        <v>0</v>
      </c>
      <c r="H38" s="550">
        <f>SUMIFS('Accounting data'!$G$2:$G$37000,'Accounting data'!$H$2:$H$37000,"1000*",'Accounting data'!$I$2:$I$37000,"400*",'Accounting data'!$K$2:$K$37000,"68*")+SUMIFS('Accounting data'!$G$2:$G$37000,'Accounting data'!$H$2:$H$37000,"1500*",'Accounting data'!$I$2:$I$37000,"400*",'Accounting data'!$K$2:$K$37000,"68*")</f>
        <v>0</v>
      </c>
      <c r="I38" s="549">
        <f>[1]!SP1000P400</f>
        <v>0</v>
      </c>
      <c r="J38" s="551">
        <f>SUM(D38:H38)</f>
        <v>0</v>
      </c>
      <c r="K38" s="549">
        <f>[2]!SP1000P400</f>
        <v>0</v>
      </c>
      <c r="L38" s="552">
        <f t="shared" si="4"/>
        <v>0</v>
      </c>
      <c r="M38" s="97" t="s">
        <v>79</v>
      </c>
    </row>
    <row r="39" spans="1:13" ht="12" customHeight="1" x14ac:dyDescent="0.25">
      <c r="A39" s="98" t="s">
        <v>133</v>
      </c>
      <c r="B39" s="99"/>
      <c r="C39" s="100" t="s">
        <v>81</v>
      </c>
      <c r="D39" s="550">
        <f>SUMIFS('Accounting data'!$G$2:$G$37000,'Accounting data'!$H$2:$H$37000,"1000*",'Accounting data'!$I$2:$I$37000,"53*",'Accounting data'!$K$2:$K$37000,"61*")+SUMIFS('Accounting data'!$G$2:$G$37000,'Accounting data'!$H$2:$H$37000,"1500*",'Accounting data'!$I$2:$I$37000,"53*",'Accounting data'!$K$2:$K$37000,"61*")</f>
        <v>0</v>
      </c>
      <c r="E39" s="550">
        <f>SUMIFS('Accounting data'!$G$2:$G$37000,'Accounting data'!$H$2:$H$37000,"1000*",'Accounting data'!$I$2:$I$37000,"53*",'Accounting data'!$K$2:$K$37000,"62*")+SUMIFS('Accounting data'!$G$2:$G$37000,'Accounting data'!$H$2:$H$37000,"1000*",'Accounting data'!$I$2:$I$37000,"53*",'Accounting data'!$K$2:$K$37000,"62*")</f>
        <v>0</v>
      </c>
      <c r="F39" s="550">
        <f>SUMIFS('Accounting data'!$G$2:$G$37000,'Accounting data'!$H$2:$H$37000,"1000*",'Accounting data'!$I$2:$I$37000,"53*",'Accounting data'!$K$2:$K$37000,"63*")+SUMIFS('Accounting data'!$G$2:$G$37000,'Accounting data'!$H$2:$H$37000,"1500*",'Accounting data'!$I$2:$I$37000,"53*",'Accounting data'!$K$2:$K$37000,"63*")</f>
        <v>0</v>
      </c>
      <c r="G39" s="550">
        <f>SUMIFS('Accounting data'!$G$2:$G$37000,'Accounting data'!$H$2:$H$37000,"1000*",'Accounting data'!$I$2:$I$37000,"53*",'Accounting data'!$K$2:$K$37000,"66*")+SUMIFS('Accounting data'!$G$2:$G$37000,'Accounting data'!$H$2:$H$37000,"1500*",'Accounting data'!$I$2:$I$37000,"53*",'Accounting data'!$K$2:$K$37000,"66*")</f>
        <v>0</v>
      </c>
      <c r="H39" s="550">
        <f>SUMIFS('Accounting data'!$G$2:$G$37000,'Accounting data'!$H$2:$H$37000,"1000*",'Accounting data'!$I$2:$I$37000,"53*",'Accounting data'!$K$2:$K$37000,"68*")+SUMIFS('Accounting data'!$G$2:$G$37000,'Accounting data'!$H$2:$H$37000,"1500*",'Accounting data'!$I$2:$I$37000,"53*",'Accounting data'!$K$2:$K$37000,"68*")</f>
        <v>0</v>
      </c>
      <c r="I39" s="549">
        <f>[1]!SP1000P530</f>
        <v>0</v>
      </c>
      <c r="J39" s="551">
        <f>SUM(D39:H39)</f>
        <v>0</v>
      </c>
      <c r="K39" s="549">
        <f>[2]!SP1000P530</f>
        <v>0</v>
      </c>
      <c r="L39" s="552">
        <f t="shared" si="4"/>
        <v>0</v>
      </c>
      <c r="M39" s="97" t="s">
        <v>81</v>
      </c>
    </row>
    <row r="40" spans="1:13" ht="12" customHeight="1" x14ac:dyDescent="0.25">
      <c r="A40" s="98" t="s">
        <v>134</v>
      </c>
      <c r="B40" s="99"/>
      <c r="C40" s="100" t="s">
        <v>83</v>
      </c>
      <c r="D40" s="550">
        <f>SUMIFS('Accounting data'!$G$2:$G$37000,'Accounting data'!$H$2:$H$37000,"1000*",'Accounting data'!$I$2:$I$37000,"54*",'Accounting data'!$K$2:$K$37000,"61*")+SUMIFS('Accounting data'!$G$2:$G$37000,'Accounting data'!$H$2:$H$37000,"1500*",'Accounting data'!$I$2:$I$37000,"54*",'Accounting data'!$K$2:$K$37000,"61*")</f>
        <v>0</v>
      </c>
      <c r="E40" s="550">
        <f>SUMIFS('Accounting data'!$G$2:$G$37000,'Accounting data'!$H$2:$H$37000,"1000*",'Accounting data'!$I$2:$I$37000,"54*",'Accounting data'!$K$2:$K$37000,"62*")+SUMIFS('Accounting data'!$G$2:$G$37000,'Accounting data'!$H$2:$H$37000,"1500*",'Accounting data'!$I$2:$I$37000,"54*",'Accounting data'!$K$2:$K$37000,"62*")</f>
        <v>0</v>
      </c>
      <c r="F40" s="550">
        <f>SUMIFS('Accounting data'!$G$2:$G$37000,'Accounting data'!$H$2:$H$37000,"1000*",'Accounting data'!$I$2:$I$37000,"54*",'Accounting data'!$K$2:$K$37000,"63*")+SUMIFS('Accounting data'!$G$2:$G$37000,'Accounting data'!$H$2:$H$37000,"1500*",'Accounting data'!$I$2:$I$37000,"54*",'Accounting data'!$K$2:$K$37000,"63*")</f>
        <v>0</v>
      </c>
      <c r="G40" s="550">
        <f>SUMIFS('Accounting data'!$G$2:$G$37000,'Accounting data'!$H$2:$H$37000,"1000*",'Accounting data'!$I$2:$I$37000,"54*",'Accounting data'!$K$2:$K$37000,"66*")+SUMIFS('Accounting data'!$G$2:$G$37000,'Accounting data'!$H$2:$H$37000,"1500*",'Accounting data'!$I$2:$I$37000,"54*",'Accounting data'!$K$2:$K$37000,"66*")</f>
        <v>0</v>
      </c>
      <c r="H40" s="550">
        <f>SUMIFS('Accounting data'!$G$2:$G$37000,'Accounting data'!$H$2:$H$37000,"1000*",'Accounting data'!$I$2:$I$37000,"54*",'Accounting data'!$K$2:$K$37000,"68*")+SUMIFS('Accounting data'!$G$2:$G$37000,'Accounting data'!$H$2:$H$37000,"1500*",'Accounting data'!$I$2:$I$37000,"54*",'Accounting data'!$K$2:$K$37000,"68*")</f>
        <v>0</v>
      </c>
      <c r="I40" s="549">
        <f>[1]!SP1000P540</f>
        <v>0</v>
      </c>
      <c r="J40" s="551">
        <f>SUM(D40:H40)</f>
        <v>0</v>
      </c>
      <c r="K40" s="549">
        <f>[2]!SP1000P540</f>
        <v>0</v>
      </c>
      <c r="L40" s="552">
        <f t="shared" si="4"/>
        <v>0</v>
      </c>
      <c r="M40" s="97" t="s">
        <v>83</v>
      </c>
    </row>
    <row r="41" spans="1:13" ht="12" customHeight="1" x14ac:dyDescent="0.25">
      <c r="A41" s="98" t="s">
        <v>135</v>
      </c>
      <c r="B41" s="99"/>
      <c r="C41" s="100" t="s">
        <v>84</v>
      </c>
      <c r="D41" s="550">
        <f>SUMIFS('Accounting data'!$G$2:$G$37000,'Accounting data'!$H$2:$H$37000,"1000*",'Accounting data'!$I$2:$I$37000,"55*",'Accounting data'!$K$2:$K$37000,"61*")+SUMIFS('Accounting data'!$G$2:$G$37000,'Accounting data'!$H$2:$H$37000,"1500*",'Accounting data'!$I$2:$I$37000,"55*",'Accounting data'!$K$2:$K$37000,"61*")</f>
        <v>0</v>
      </c>
      <c r="E41" s="550">
        <f>SUMIFS('Accounting data'!$G$2:$G$37000,'Accounting data'!$H$2:$H$37000,"1000*",'Accounting data'!$I$2:$I$37000,"55*",'Accounting data'!$K$2:$K$37000,"62*")+SUMIFS('Accounting data'!$G$2:$G$37000,'Accounting data'!$H$2:$H$37000,"1500*",'Accounting data'!$I$2:$I$37000,"55*",'Accounting data'!$K$2:$K$37000,"62*")</f>
        <v>0</v>
      </c>
      <c r="F41" s="550">
        <f>SUMIFS('Accounting data'!$G$2:$G$37000,'Accounting data'!$H$2:$H$37000,"1000*",'Accounting data'!$I$2:$I$37000,"55*",'Accounting data'!$K$2:$K$37000,"63*")+SUMIFS('Accounting data'!$G$2:$G$37000,'Accounting data'!$H$2:$H$37000,"1500*",'Accounting data'!$I$2:$I$37000,"55*",'Accounting data'!$K$2:$K$37000,"63*")</f>
        <v>0</v>
      </c>
      <c r="G41" s="550">
        <f>SUMIFS('Accounting data'!$G$2:$G$37000,'Accounting data'!$H$2:$H$37000,"1000*",'Accounting data'!$I$2:$I$37000,"55*",'Accounting data'!$K$2:$K$37000,"66*")+SUMIFS('Accounting data'!$G$2:$G$37000,'Accounting data'!$H$2:$H$37000,"1500*",'Accounting data'!$I$2:$I$37000,"55*",'Accounting data'!$K$2:$K$37000,"66*")</f>
        <v>0</v>
      </c>
      <c r="H41" s="550">
        <f>SUMIFS('Accounting data'!$G$2:$G$37000,'Accounting data'!$H$2:$H$37000,"1000*",'Accounting data'!$I$2:$I$37000,"55*",'Accounting data'!$K$2:$K$37000,"68*")+SUMIFS('Accounting data'!$G$2:$G$37000,'Accounting data'!$H$2:$H$37000,"1500*",'Accounting data'!$I$2:$I$37000,"55*",'Accounting data'!$K$2:$K$37000,"68*")</f>
        <v>0</v>
      </c>
      <c r="I41" s="549">
        <f>[1]!SP1000P550</f>
        <v>0</v>
      </c>
      <c r="J41" s="551">
        <f>SUM(D41:H41)</f>
        <v>0</v>
      </c>
      <c r="K41" s="549">
        <f>[2]!SP1000P550</f>
        <v>0</v>
      </c>
      <c r="L41" s="552">
        <f t="shared" si="4"/>
        <v>0</v>
      </c>
      <c r="M41" s="97" t="s">
        <v>84</v>
      </c>
    </row>
    <row r="42" spans="1:13" ht="12" customHeight="1" x14ac:dyDescent="0.25">
      <c r="A42" s="98" t="s">
        <v>136</v>
      </c>
      <c r="B42" s="99"/>
      <c r="C42" s="100" t="s">
        <v>137</v>
      </c>
      <c r="D42" s="550">
        <f t="shared" ref="D42:I42" si="6">SUM(D38:D41)+D37+D23</f>
        <v>789387</v>
      </c>
      <c r="E42" s="550">
        <f t="shared" si="6"/>
        <v>248361</v>
      </c>
      <c r="F42" s="550">
        <f t="shared" si="6"/>
        <v>502337</v>
      </c>
      <c r="G42" s="550">
        <f t="shared" si="6"/>
        <v>86967</v>
      </c>
      <c r="H42" s="550">
        <f t="shared" si="6"/>
        <v>207291</v>
      </c>
      <c r="I42" s="549">
        <f t="shared" si="6"/>
        <v>1821985</v>
      </c>
      <c r="J42" s="551">
        <f>SUM(J37:J41)+J23</f>
        <v>1834343</v>
      </c>
      <c r="K42" s="551">
        <f>SUM(K23)+SUM(K37:K41)</f>
        <v>1929654</v>
      </c>
      <c r="L42" s="552">
        <f t="shared" si="4"/>
        <v>-4.9399999999999999E-2</v>
      </c>
      <c r="M42" s="97" t="s">
        <v>137</v>
      </c>
    </row>
    <row r="43" spans="1:13" ht="12" customHeight="1" x14ac:dyDescent="0.25">
      <c r="A43" s="98" t="s">
        <v>1154</v>
      </c>
      <c r="B43" s="99"/>
      <c r="C43" s="100" t="s">
        <v>138</v>
      </c>
      <c r="D43" s="550">
        <f>'Page 3'!F13</f>
        <v>214477</v>
      </c>
      <c r="E43" s="550">
        <f>'Page 3'!G13</f>
        <v>39634</v>
      </c>
      <c r="F43" s="550">
        <f>'Page 3'!H13</f>
        <v>2955</v>
      </c>
      <c r="G43" s="550">
        <f>'Page 3'!I13</f>
        <v>0</v>
      </c>
      <c r="H43" s="693">
        <f>'Page 3'!G18</f>
        <v>0</v>
      </c>
      <c r="I43" s="549">
        <f>[1]!SP1000ClassSiteProj</f>
        <v>244551</v>
      </c>
      <c r="J43" s="551">
        <f>SUM(D43:H43)</f>
        <v>257066</v>
      </c>
      <c r="K43" s="549">
        <f>[2]!SP1000ClassSiteProj</f>
        <v>192127</v>
      </c>
      <c r="L43" s="552">
        <f t="shared" si="4"/>
        <v>0.33800000000000002</v>
      </c>
      <c r="M43" s="97" t="s">
        <v>138</v>
      </c>
    </row>
    <row r="44" spans="1:13" ht="12" customHeight="1" x14ac:dyDescent="0.25">
      <c r="A44" s="98" t="s">
        <v>139</v>
      </c>
      <c r="B44" s="99"/>
      <c r="C44" s="100" t="s">
        <v>140</v>
      </c>
      <c r="D44" s="101"/>
      <c r="E44" s="101"/>
      <c r="F44" s="101"/>
      <c r="G44" s="101"/>
      <c r="H44" s="101"/>
      <c r="I44" s="549">
        <f>[1]!SP1000InstrImpProj</f>
        <v>9234</v>
      </c>
      <c r="J44" s="551">
        <f>SUMIFS('Accounting data'!$G$2:$G$37000,'Accounting data'!$H$2:$H$37000,"1020*",'Accounting data'!$K$2:$K$37000,"6*")</f>
        <v>11022</v>
      </c>
      <c r="K44" s="549">
        <f>[2]!SP1000InstrImpProj</f>
        <v>13434</v>
      </c>
      <c r="L44" s="552">
        <f t="shared" si="4"/>
        <v>-0.17949999999999999</v>
      </c>
      <c r="M44" s="97" t="s">
        <v>140</v>
      </c>
    </row>
    <row r="45" spans="1:13" ht="12" customHeight="1" x14ac:dyDescent="0.25">
      <c r="A45" s="98" t="s">
        <v>141</v>
      </c>
      <c r="B45" s="99"/>
      <c r="C45" s="100" t="s">
        <v>142</v>
      </c>
      <c r="D45" s="550">
        <f>TotalSEIP6100</f>
        <v>0</v>
      </c>
      <c r="E45" s="550">
        <f>TotalSEIP6200</f>
        <v>0</v>
      </c>
      <c r="F45" s="550">
        <f>TotalSEIP630064006500</f>
        <v>0</v>
      </c>
      <c r="G45" s="550">
        <f>TotalSEIP6600</f>
        <v>0</v>
      </c>
      <c r="H45" s="550">
        <f>TotalSEIP6800</f>
        <v>0</v>
      </c>
      <c r="I45" s="549">
        <f>[1]!SP1000StruEngImmProj</f>
        <v>0</v>
      </c>
      <c r="J45" s="551">
        <f>SUM(D45:H45)</f>
        <v>0</v>
      </c>
      <c r="K45" s="549">
        <f>[2]!SP1000StruEngImmProj</f>
        <v>0</v>
      </c>
      <c r="L45" s="552">
        <f t="shared" si="4"/>
        <v>0</v>
      </c>
      <c r="M45" s="97" t="s">
        <v>142</v>
      </c>
    </row>
    <row r="46" spans="1:13" ht="12" customHeight="1" x14ac:dyDescent="0.25">
      <c r="A46" s="98" t="s">
        <v>143</v>
      </c>
      <c r="B46" s="99"/>
      <c r="C46" s="100" t="s">
        <v>144</v>
      </c>
      <c r="D46" s="550">
        <f>TotalCIP6100</f>
        <v>0</v>
      </c>
      <c r="E46" s="550">
        <f>TotalCIP6200</f>
        <v>0</v>
      </c>
      <c r="F46" s="550">
        <f>TotalCIP630064006500</f>
        <v>0</v>
      </c>
      <c r="G46" s="550">
        <f>TotalCIP6600</f>
        <v>0</v>
      </c>
      <c r="H46" s="550">
        <f>TotalCIP6800</f>
        <v>0</v>
      </c>
      <c r="I46" s="549">
        <f>[1]!SP1000CompInstrProj</f>
        <v>0</v>
      </c>
      <c r="J46" s="551">
        <f>SUM(D46:H46)</f>
        <v>0</v>
      </c>
      <c r="K46" s="549">
        <f>[2]!SP1000CompInstrProj</f>
        <v>0</v>
      </c>
      <c r="L46" s="552">
        <f t="shared" si="4"/>
        <v>0</v>
      </c>
      <c r="M46" s="97" t="s">
        <v>144</v>
      </c>
    </row>
    <row r="47" spans="1:13" ht="12" customHeight="1" x14ac:dyDescent="0.25">
      <c r="A47" s="211" t="s">
        <v>1155</v>
      </c>
      <c r="B47" s="102"/>
      <c r="C47" s="100" t="s">
        <v>145</v>
      </c>
      <c r="D47" s="103"/>
      <c r="E47" s="103"/>
      <c r="F47" s="103"/>
      <c r="G47" s="103"/>
      <c r="H47" s="103"/>
      <c r="I47" s="549">
        <f>[1]!SP1000FedStProj</f>
        <v>255490</v>
      </c>
      <c r="J47" s="551">
        <f>ActualTotalFederalAndStateProjects</f>
        <v>247402</v>
      </c>
      <c r="K47" s="549">
        <f>[2]!SP1000FedStProj</f>
        <v>367319</v>
      </c>
      <c r="L47" s="552">
        <f t="shared" si="4"/>
        <v>-0.32650000000000001</v>
      </c>
      <c r="M47" s="97" t="s">
        <v>145</v>
      </c>
    </row>
    <row r="48" spans="1:13" ht="12" customHeight="1" x14ac:dyDescent="0.25">
      <c r="A48" s="98" t="s">
        <v>146</v>
      </c>
      <c r="B48" s="99"/>
      <c r="C48" s="100" t="s">
        <v>147</v>
      </c>
      <c r="D48" s="103"/>
      <c r="E48" s="103"/>
      <c r="F48" s="103"/>
      <c r="G48" s="103"/>
      <c r="H48" s="103"/>
      <c r="I48" s="551">
        <f>SUM(I42:I47)</f>
        <v>2331260</v>
      </c>
      <c r="J48" s="551">
        <f>SUM(J42:J47)</f>
        <v>2349833</v>
      </c>
      <c r="K48" s="551">
        <f>SUM(K42:K47)</f>
        <v>2502534</v>
      </c>
      <c r="L48" s="552">
        <f t="shared" si="4"/>
        <v>-6.0999999999999999E-2</v>
      </c>
      <c r="M48" s="97" t="s">
        <v>147</v>
      </c>
    </row>
  </sheetData>
  <sheetProtection sheet="1" formatCells="0" formatColumns="0" formatRows="0"/>
  <mergeCells count="11">
    <mergeCell ref="N10:AF10"/>
    <mergeCell ref="N9:AF9"/>
    <mergeCell ref="L6:L7"/>
    <mergeCell ref="L8:L9"/>
    <mergeCell ref="L26:L27"/>
    <mergeCell ref="L24:L25"/>
    <mergeCell ref="L21:L22"/>
    <mergeCell ref="B1:C1"/>
    <mergeCell ref="L3:L5"/>
    <mergeCell ref="I3:K3"/>
    <mergeCell ref="I21:I22"/>
  </mergeCells>
  <conditionalFormatting sqref="J10">
    <cfRule type="expression" dxfId="82" priority="1" stopIfTrue="1">
      <formula>$N$10&lt;&gt;""</formula>
    </cfRule>
  </conditionalFormatting>
  <conditionalFormatting sqref="N9:AF9">
    <cfRule type="expression" dxfId="81" priority="11" stopIfTrue="1">
      <formula>$N$9&lt;&gt;""</formula>
    </cfRule>
  </conditionalFormatting>
  <conditionalFormatting sqref="N10:AF10">
    <cfRule type="expression" dxfId="80" priority="10" stopIfTrue="1">
      <formula>$N$10&lt;&gt;""</formula>
    </cfRule>
  </conditionalFormatting>
  <hyperlinks>
    <hyperlink ref="A4" location="ExpensesPage2" display="Expenses" xr:uid="{00000000-0004-0000-0300-000000000000}"/>
    <hyperlink ref="A47:B47" location="FederalAndStateProjectsPage2" display="Federal and State Projects (from page 9, line 30)" xr:uid="{00000000-0004-0000-0300-000001000000}"/>
    <hyperlink ref="B3" location="ExpensesPage2" display="Instructions" xr:uid="{F6A47C96-D511-4C4A-A580-7CD476A10413}"/>
  </hyperlinks>
  <pageMargins left="0.7" right="0.7" top="0.75" bottom="0.75" header="0.3" footer="0.3"/>
  <pageSetup scale="76" orientation="landscape" r:id="rId1"/>
  <headerFooter>
    <oddFooter>&amp;LRev. 8/25 Arizona Department of Education and Auditor General&amp;CFY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67B2-2EA9-4084-AAFC-A40F2E53C17A}">
  <sheetPr>
    <pageSetUpPr fitToPage="1"/>
  </sheetPr>
  <dimension ref="A1:AA31"/>
  <sheetViews>
    <sheetView showGridLines="0" topLeftCell="A18" workbookViewId="0">
      <selection activeCell="F25" sqref="F25"/>
    </sheetView>
  </sheetViews>
  <sheetFormatPr defaultColWidth="9.33203125" defaultRowHeight="13.2" x14ac:dyDescent="0.25"/>
  <cols>
    <col min="1" max="1" width="1.77734375" customWidth="1"/>
    <col min="2" max="2" width="2" customWidth="1"/>
    <col min="3" max="3" width="25.77734375" customWidth="1"/>
    <col min="4" max="4" width="17.109375" customWidth="1"/>
    <col min="5" max="5" width="4.33203125" customWidth="1"/>
    <col min="6" max="6" width="19.77734375" customWidth="1"/>
    <col min="7" max="12" width="16" customWidth="1"/>
    <col min="13" max="13" width="79.6640625" customWidth="1"/>
    <col min="15" max="15" width="8.77734375" customWidth="1"/>
  </cols>
  <sheetData>
    <row r="1" spans="1:13" x14ac:dyDescent="0.25">
      <c r="A1" s="548" t="s">
        <v>0</v>
      </c>
      <c r="D1" s="1" t="str">
        <f>'Cover Page'!D1</f>
        <v>The Edge School, Inc</v>
      </c>
      <c r="E1" s="566"/>
      <c r="F1" s="61" t="s">
        <v>148</v>
      </c>
      <c r="G1" s="1" t="str">
        <f>'Cover Page'!M1</f>
        <v>Pima</v>
      </c>
      <c r="H1" s="4"/>
      <c r="I1" s="61" t="s">
        <v>2</v>
      </c>
      <c r="J1" s="2" t="str">
        <f>'Cover Page'!R1</f>
        <v>108653000</v>
      </c>
    </row>
    <row r="4" spans="1:13" x14ac:dyDescent="0.25">
      <c r="A4" s="75"/>
      <c r="B4" s="111"/>
      <c r="C4" s="112"/>
      <c r="D4" s="112"/>
      <c r="E4" s="113"/>
      <c r="F4" s="73"/>
      <c r="G4" s="569" t="s">
        <v>149</v>
      </c>
      <c r="H4" s="569" t="s">
        <v>150</v>
      </c>
      <c r="I4" s="82"/>
      <c r="J4" s="830" t="s">
        <v>87</v>
      </c>
      <c r="K4" s="831"/>
      <c r="L4" s="114"/>
    </row>
    <row r="5" spans="1:13" x14ac:dyDescent="0.25">
      <c r="A5" s="115" t="s">
        <v>89</v>
      </c>
      <c r="C5" s="116"/>
      <c r="D5" s="116"/>
      <c r="E5" s="117"/>
      <c r="F5" s="80" t="s">
        <v>90</v>
      </c>
      <c r="G5" s="78" t="s">
        <v>91</v>
      </c>
      <c r="H5" s="80" t="s">
        <v>92</v>
      </c>
      <c r="I5" s="118" t="s">
        <v>93</v>
      </c>
      <c r="J5" s="80"/>
      <c r="K5" s="80"/>
      <c r="L5" s="119"/>
    </row>
    <row r="6" spans="1:13" x14ac:dyDescent="0.25">
      <c r="A6" s="92"/>
      <c r="B6" s="6"/>
      <c r="C6" s="120"/>
      <c r="D6" s="120"/>
      <c r="E6" s="121"/>
      <c r="F6" s="85">
        <v>6100</v>
      </c>
      <c r="G6" s="574">
        <v>6200</v>
      </c>
      <c r="H6" s="85" t="s">
        <v>97</v>
      </c>
      <c r="I6" s="85">
        <v>6600</v>
      </c>
      <c r="J6" s="85" t="s">
        <v>98</v>
      </c>
      <c r="K6" s="85" t="s">
        <v>23</v>
      </c>
      <c r="L6" s="119"/>
    </row>
    <row r="7" spans="1:13" x14ac:dyDescent="0.25">
      <c r="A7" s="558" t="s">
        <v>151</v>
      </c>
      <c r="B7" s="559"/>
      <c r="C7" s="559"/>
      <c r="D7" s="559"/>
      <c r="E7" s="122"/>
      <c r="F7" s="82"/>
      <c r="G7" s="82"/>
      <c r="H7" s="82"/>
      <c r="I7" s="82"/>
      <c r="J7" s="82"/>
      <c r="K7" s="82"/>
      <c r="L7" s="88"/>
    </row>
    <row r="8" spans="1:13" x14ac:dyDescent="0.25">
      <c r="A8" s="123"/>
      <c r="B8" s="116"/>
      <c r="C8" t="s">
        <v>152</v>
      </c>
      <c r="D8" s="116"/>
      <c r="E8" s="124" t="s">
        <v>24</v>
      </c>
      <c r="F8" s="556">
        <f>SUMIFS('Accounting data'!$G$2:$G$37000,'Accounting data'!$H$2:$H$37000,"1010*",'Accounting data'!$J$2:$J$37000,"1*",'Accounting data'!$K$2:$K$37000,"61*")</f>
        <v>206977</v>
      </c>
      <c r="G8" s="556">
        <f>SUMIFS('Accounting data'!$G$2:$G$37000,'Accounting data'!$H$2:$H$37000,"1010*",'Accounting data'!$J$2:$J$37000,"1*",'Accounting data'!$K$2:$K$37000,"62*")</f>
        <v>38134</v>
      </c>
      <c r="H8" s="556">
        <f>SUMIFS('Accounting data'!$G$2:$G$37000,'Accounting data'!$H$2:$H$37000,"1010*",'Accounting data'!$J$2:$J$37000,"1*",'Accounting data'!$K$2:$K$37000,"63*")</f>
        <v>2955</v>
      </c>
      <c r="I8" s="556">
        <f>SUMIFS('Accounting data'!$G$2:$G$37000,'Accounting data'!$H$2:$H$37000,"1010*",'Accounting data'!$J$2:$J$37000,"1*",'Accounting data'!$K$2:$K$37000,"66*")</f>
        <v>0</v>
      </c>
      <c r="J8" s="555">
        <f t="array" ref="J8">[1]!_CSP1000</f>
        <v>235551</v>
      </c>
      <c r="K8" s="556">
        <f>SUM(F8:I8)</f>
        <v>248066</v>
      </c>
      <c r="L8" s="88"/>
    </row>
    <row r="9" spans="1:13" x14ac:dyDescent="0.25">
      <c r="A9" s="123"/>
      <c r="B9" s="116"/>
      <c r="C9" t="s">
        <v>153</v>
      </c>
      <c r="D9" s="116"/>
      <c r="E9" s="124" t="s">
        <v>26</v>
      </c>
      <c r="F9" s="551">
        <f>SUMIFS('Accounting data'!$G$2:$G$37000,'Accounting data'!$H$2:$H$37000,"1010*",'Accounting data'!$J$2:$J$37000,"21*",'Accounting data'!$K$2:$K$37000,"61*")</f>
        <v>7500</v>
      </c>
      <c r="G9" s="551">
        <f>SUMIFS('Accounting data'!$G$2:$G$37000,'Accounting data'!$H$2:$H$37000,"1010*",'Accounting data'!$J$2:$J$37000,"21*",'Accounting data'!$K$2:$K$37000,"62*")</f>
        <v>1500</v>
      </c>
      <c r="H9" s="551">
        <f>SUMIFS('Accounting data'!$G$2:$G$37000,'Accounting data'!$H$2:$H$37000,"1010*",'Accounting data'!$J$2:$J$37000,"21*",'Accounting data'!$K$2:$K$37000,"63*")</f>
        <v>0</v>
      </c>
      <c r="I9" s="551">
        <f>SUMIFS('Accounting data'!$G$2:$G$37000,'Accounting data'!$H$2:$H$37000,"1010*",'Accounting data'!$J$2:$J$37000,"21*",'Accounting data'!$K$2:$K$37000,"66*")</f>
        <v>0</v>
      </c>
      <c r="J9" s="549">
        <f t="array" ref="J9">[1]!_CSP2100</f>
        <v>9000</v>
      </c>
      <c r="K9" s="551">
        <f t="shared" ref="K9:K13" si="0">SUM(F9:I9)</f>
        <v>9000</v>
      </c>
      <c r="L9" s="88"/>
    </row>
    <row r="10" spans="1:13" x14ac:dyDescent="0.25">
      <c r="A10" s="123"/>
      <c r="B10" s="116"/>
      <c r="C10" t="s">
        <v>154</v>
      </c>
      <c r="D10" s="116"/>
      <c r="E10" s="124" t="s">
        <v>28</v>
      </c>
      <c r="F10" s="551">
        <f>SUMIFS('Accounting data'!$G$2:$G$37000,'Accounting data'!$H$2:$H$37000,"1010*",'Accounting data'!$J$2:$J$37000,"22*",'Accounting data'!$K$2:$K$37000,"61*")</f>
        <v>0</v>
      </c>
      <c r="G10" s="551">
        <f>SUMIFS('Accounting data'!$G$2:$G$37000,'Accounting data'!$H$2:$H$37000,"1010*",'Accounting data'!$J$2:$J$37000,"22*",'Accounting data'!$K$2:$K$37000,"62*")</f>
        <v>0</v>
      </c>
      <c r="H10" s="551">
        <f>SUMIFS('Accounting data'!$G$2:$G$37000,'Accounting data'!$H$2:$H$37000,"1010*",'Accounting data'!$J$2:$J$37000,"22*",'Accounting data'!$K$2:$K$37000,"63*")</f>
        <v>0</v>
      </c>
      <c r="I10" s="551">
        <f>SUMIFS('Accounting data'!$G$2:$G$37000,'Accounting data'!$H$2:$H$37000,"1010*",'Accounting data'!$J$2:$J$37000,"22*",'Accounting data'!$K$2:$K$37000,"66*")</f>
        <v>0</v>
      </c>
      <c r="J10" s="549">
        <f t="array" ref="J10">[1]!_CSP2200</f>
        <v>0</v>
      </c>
      <c r="K10" s="551">
        <f t="shared" si="0"/>
        <v>0</v>
      </c>
      <c r="L10" s="88"/>
    </row>
    <row r="11" spans="1:13" x14ac:dyDescent="0.25">
      <c r="A11" s="123"/>
      <c r="B11" s="116"/>
      <c r="C11" s="211" t="s">
        <v>155</v>
      </c>
      <c r="D11" s="125"/>
      <c r="E11" s="124" t="s">
        <v>31</v>
      </c>
      <c r="F11" s="103"/>
      <c r="G11" s="103"/>
      <c r="H11" s="551">
        <f>SUMIFS('Accounting data'!$G$2:$G$37000,'Accounting data'!$H$2:$H$37000,"1010*",'Accounting data'!$J$2:$J$37000,"23*",'Accounting data'!$K$2:$K$37000,"63*")</f>
        <v>0</v>
      </c>
      <c r="I11" s="103"/>
      <c r="J11" s="549">
        <f t="array" ref="J11">[1]!_CSP2300</f>
        <v>0</v>
      </c>
      <c r="K11" s="551">
        <f t="shared" si="0"/>
        <v>0</v>
      </c>
      <c r="L11" s="88"/>
    </row>
    <row r="12" spans="1:13" ht="12.75" customHeight="1" x14ac:dyDescent="0.25">
      <c r="A12" s="126"/>
      <c r="B12" s="120"/>
      <c r="C12" s="651" t="s">
        <v>156</v>
      </c>
      <c r="D12" s="127"/>
      <c r="E12" s="128" t="s">
        <v>33</v>
      </c>
      <c r="F12" s="551">
        <f>SUMIFS('Accounting data'!$G$2:$G$37000,'Accounting data'!$H$2:$H$37000,"1010*",'Accounting data'!$J$2:$J$37000,"33*",'Accounting data'!$K$2:$K$37000,"61*")</f>
        <v>0</v>
      </c>
      <c r="G12" s="551">
        <f>SUMIFS('Accounting data'!$G$2:$G$37000,'Accounting data'!$H$2:$H$37000,"1010*",'Accounting data'!$J$2:$J$37000,"33*",'Accounting data'!$K$2:$K$37000,"62*")</f>
        <v>0</v>
      </c>
      <c r="H12" s="551">
        <f>SUMIFS('Accounting data'!$G$2:$G$37000,'Accounting data'!$H$2:$H$37000,"1010*",'Accounting data'!$J$2:$J$37000,"33*",'Accounting data'!$K$2:$K$37000,"63*")</f>
        <v>0</v>
      </c>
      <c r="I12" s="103"/>
      <c r="J12" s="549">
        <f t="array" ref="J12">[1]!_CSP3300</f>
        <v>0</v>
      </c>
      <c r="K12" s="551">
        <f t="shared" si="0"/>
        <v>0</v>
      </c>
      <c r="L12" s="88"/>
      <c r="M12" s="832" t="str">
        <f>IF('Page 2'!J48=0,"",IF(OR(K13&lt;=0),"The Charter did not report any expenses for Classroom Site Project. If the Charter did not have any expense, verify by checking the box in A14 on the Cover Page.",""))</f>
        <v/>
      </c>
    </row>
    <row r="13" spans="1:13" ht="12" customHeight="1" x14ac:dyDescent="0.25">
      <c r="A13" s="92" t="s">
        <v>157</v>
      </c>
      <c r="B13" s="120"/>
      <c r="C13" s="6"/>
      <c r="D13" s="120"/>
      <c r="E13" s="128" t="s">
        <v>35</v>
      </c>
      <c r="F13" s="551">
        <f>SUM(F8:F12)</f>
        <v>214477</v>
      </c>
      <c r="G13" s="551">
        <f>SUM(G8:G12)</f>
        <v>39634</v>
      </c>
      <c r="H13" s="551">
        <f>SUM(H8:H12)</f>
        <v>2955</v>
      </c>
      <c r="I13" s="551">
        <f>SUM(I8:I12)</f>
        <v>0</v>
      </c>
      <c r="J13" s="551">
        <f>SUM(J8:J12)</f>
        <v>244551</v>
      </c>
      <c r="K13" s="551">
        <f t="shared" si="0"/>
        <v>257066</v>
      </c>
      <c r="L13" s="88"/>
      <c r="M13" s="832"/>
    </row>
    <row r="16" spans="1:13" ht="16.5" customHeight="1" x14ac:dyDescent="0.25">
      <c r="A16" s="558" t="s">
        <v>158</v>
      </c>
      <c r="B16" s="558"/>
      <c r="C16" s="559"/>
      <c r="D16" s="558"/>
      <c r="E16" s="129"/>
      <c r="F16" s="130" t="s">
        <v>98</v>
      </c>
      <c r="G16" s="580" t="s">
        <v>23</v>
      </c>
    </row>
    <row r="17" spans="1:27" x14ac:dyDescent="0.25">
      <c r="A17" s="70"/>
      <c r="B17" s="131"/>
      <c r="C17" s="71" t="s">
        <v>159</v>
      </c>
      <c r="D17" s="131"/>
      <c r="E17" s="132" t="s">
        <v>36</v>
      </c>
      <c r="F17" s="551">
        <f>'[1]Page 3'!$F$17</f>
        <v>0</v>
      </c>
      <c r="G17" s="104">
        <v>0</v>
      </c>
    </row>
    <row r="18" spans="1:27" ht="14.4" x14ac:dyDescent="0.25">
      <c r="A18" s="88"/>
      <c r="B18" s="547"/>
      <c r="C18" t="s">
        <v>160</v>
      </c>
      <c r="D18" s="547"/>
      <c r="E18" s="64" t="s">
        <v>38</v>
      </c>
      <c r="F18" s="551">
        <f>'[1]Page 3'!$F$18</f>
        <v>0</v>
      </c>
      <c r="G18" s="550">
        <f>SUMIFS('Accounting data'!$G$2:$G$37000,'Accounting data'!$H$2:$H$37000,"1010*",'Accounting data'!$K$2:$K$37000,"685*")</f>
        <v>0</v>
      </c>
      <c r="AA18" s="133" t="str">
        <f>IF(OR(F17="",F18="",F19=""),"yes","")</f>
        <v/>
      </c>
    </row>
    <row r="19" spans="1:27" x14ac:dyDescent="0.25">
      <c r="A19" s="92"/>
      <c r="B19" s="134"/>
      <c r="C19" s="6" t="s">
        <v>161</v>
      </c>
      <c r="D19" s="134"/>
      <c r="E19" s="135" t="s">
        <v>40</v>
      </c>
      <c r="F19" s="551">
        <f>'[1]Page 3'!$F$19</f>
        <v>0</v>
      </c>
      <c r="G19" s="104">
        <v>0</v>
      </c>
    </row>
    <row r="21" spans="1:27" x14ac:dyDescent="0.25">
      <c r="D21" s="6"/>
      <c r="E21" s="136"/>
      <c r="F21" s="6"/>
    </row>
    <row r="22" spans="1:27" x14ac:dyDescent="0.25">
      <c r="A22" s="137"/>
      <c r="B22" s="138"/>
      <c r="C22" s="138"/>
      <c r="D22" s="138"/>
      <c r="E22" s="138"/>
      <c r="F22" s="73" t="s">
        <v>162</v>
      </c>
    </row>
    <row r="23" spans="1:27" x14ac:dyDescent="0.25">
      <c r="A23" s="139" t="s">
        <v>163</v>
      </c>
      <c r="B23" s="140"/>
      <c r="C23" s="140"/>
      <c r="D23" s="141"/>
      <c r="E23" s="136"/>
      <c r="F23" s="85">
        <v>1010</v>
      </c>
    </row>
    <row r="24" spans="1:27" x14ac:dyDescent="0.25">
      <c r="A24" s="70" t="s">
        <v>164</v>
      </c>
      <c r="B24" s="71"/>
      <c r="C24" s="71"/>
      <c r="D24" s="131"/>
      <c r="E24" s="659" t="s">
        <v>42</v>
      </c>
      <c r="F24" s="549">
        <f>'[2]Page 3'!$F$30</f>
        <v>100320</v>
      </c>
    </row>
    <row r="25" spans="1:27" x14ac:dyDescent="0.25">
      <c r="A25" s="211" t="s">
        <v>1256</v>
      </c>
      <c r="B25" s="211"/>
      <c r="C25" s="211"/>
      <c r="D25" s="116"/>
      <c r="E25" s="64" t="s">
        <v>44</v>
      </c>
      <c r="F25" s="53"/>
    </row>
    <row r="26" spans="1:27" x14ac:dyDescent="0.25">
      <c r="A26" s="88"/>
      <c r="B26" t="s">
        <v>165</v>
      </c>
      <c r="D26" s="116"/>
      <c r="E26" s="659" t="s">
        <v>45</v>
      </c>
      <c r="F26" s="551">
        <f>-(SUMIFS('Accounting data'!$G$2:$G$37000,'Accounting data'!$H$2:$H$37000,"1010*",'Accounting data'!$K$2:$K$37000,"3*"))</f>
        <v>173935</v>
      </c>
    </row>
    <row r="27" spans="1:27" x14ac:dyDescent="0.25">
      <c r="A27" s="88"/>
      <c r="B27" t="s">
        <v>166</v>
      </c>
      <c r="D27" s="116"/>
      <c r="E27" s="659" t="s">
        <v>47</v>
      </c>
      <c r="F27" s="551">
        <f>-(SUMIFS('Accounting data'!$G$2:$G$37000,'Accounting data'!$H$2:$H$37000,"1010*",'Accounting data'!$K$2:$K$37000,"15*"))</f>
        <v>0</v>
      </c>
    </row>
    <row r="28" spans="1:27" x14ac:dyDescent="0.25">
      <c r="A28" s="88" t="s">
        <v>1307</v>
      </c>
      <c r="D28" s="116"/>
      <c r="E28" s="659" t="s">
        <v>49</v>
      </c>
      <c r="F28" s="551">
        <f>F26+F27</f>
        <v>173935</v>
      </c>
    </row>
    <row r="29" spans="1:27" x14ac:dyDescent="0.25">
      <c r="A29" s="88" t="s">
        <v>1308</v>
      </c>
      <c r="D29" s="116"/>
      <c r="E29" s="659" t="s">
        <v>51</v>
      </c>
      <c r="F29" s="551">
        <f>IF(F25="",F24,F25)+F28</f>
        <v>274255</v>
      </c>
    </row>
    <row r="30" spans="1:27" x14ac:dyDescent="0.25">
      <c r="A30" s="88" t="s">
        <v>1309</v>
      </c>
      <c r="D30" s="116"/>
      <c r="E30" s="659" t="s">
        <v>53</v>
      </c>
      <c r="F30" s="551">
        <f>K13+G17+G18+G19</f>
        <v>257066</v>
      </c>
    </row>
    <row r="31" spans="1:27" x14ac:dyDescent="0.25">
      <c r="A31" s="92" t="s">
        <v>1310</v>
      </c>
      <c r="B31" s="6"/>
      <c r="C31" s="6"/>
      <c r="D31" s="120"/>
      <c r="E31" s="672" t="s">
        <v>55</v>
      </c>
      <c r="F31" s="599">
        <f>F29-F30</f>
        <v>17189</v>
      </c>
    </row>
  </sheetData>
  <sheetProtection sheet="1" objects="1" scenarios="1"/>
  <mergeCells count="2">
    <mergeCell ref="J4:K4"/>
    <mergeCell ref="M12:M13"/>
  </mergeCells>
  <conditionalFormatting sqref="F25">
    <cfRule type="containsBlanks" dxfId="79" priority="1">
      <formula>LEN(TRIM(F25))=0</formula>
    </cfRule>
  </conditionalFormatting>
  <conditionalFormatting sqref="F13:I13">
    <cfRule type="expression" dxfId="78" priority="5" stopIfTrue="1">
      <formula>$M$12&lt;&gt;""</formula>
    </cfRule>
  </conditionalFormatting>
  <conditionalFormatting sqref="G17">
    <cfRule type="containsBlanks" dxfId="77" priority="3">
      <formula>LEN(TRIM(G17))=0</formula>
    </cfRule>
  </conditionalFormatting>
  <conditionalFormatting sqref="G19">
    <cfRule type="containsBlanks" dxfId="76" priority="2">
      <formula>LEN(TRIM(G19))=0</formula>
    </cfRule>
  </conditionalFormatting>
  <conditionalFormatting sqref="K13">
    <cfRule type="expression" dxfId="75" priority="4" stopIfTrue="1">
      <formula>$M$12&lt;&gt;""</formula>
    </cfRule>
  </conditionalFormatting>
  <conditionalFormatting sqref="M12">
    <cfRule type="expression" dxfId="74" priority="9" stopIfTrue="1">
      <formula>$M$12&lt;&gt;""</formula>
    </cfRule>
  </conditionalFormatting>
  <hyperlinks>
    <hyperlink ref="A7:C7" location="ClssrmSitepg3" display="Classroom Site Project 1010" xr:uid="{00000000-0004-0000-0400-000000000000}"/>
    <hyperlink ref="C11" location="CSPlines4914" display="2300 Support services—general administration" xr:uid="{00000000-0004-0000-0400-000001000000}"/>
    <hyperlink ref="C12" location="CSPlines122615" display="3300 Community services operation" xr:uid="{00000000-0004-0000-0400-000002000000}"/>
    <hyperlink ref="A16:D16" location="CSPPropertyPayments" display="Classroom Site Project 1010 property payments" xr:uid="{00000000-0004-0000-0400-000003000000}"/>
    <hyperlink ref="A25:C25" location="Page3AdjBeginProjBal" display="Adjusted beginning project balance" xr:uid="{F6C61C6D-C42F-43D9-9C3D-10CF071E938E}"/>
  </hyperlinks>
  <pageMargins left="0.7" right="0.7" top="0.75" bottom="0.75" header="0.3" footer="0.3"/>
  <pageSetup scale="82" orientation="landscape" r:id="rId1"/>
  <headerFooter>
    <oddFooter>&amp;LRev. 8/25 Arizona Department of Education and Auditor General&amp;CFY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B19C-07ED-48B7-ABA5-D6BCCEFE8DD4}">
  <dimension ref="A1:AA30"/>
  <sheetViews>
    <sheetView showGridLines="0" workbookViewId="0">
      <selection activeCell="H16" sqref="H16"/>
    </sheetView>
  </sheetViews>
  <sheetFormatPr defaultColWidth="8.77734375" defaultRowHeight="13.2" x14ac:dyDescent="0.25"/>
  <cols>
    <col min="1" max="1" width="1.77734375" customWidth="1"/>
    <col min="2" max="2" width="20.33203125" customWidth="1"/>
    <col min="3" max="3" width="15.33203125" customWidth="1"/>
    <col min="4" max="4" width="20" customWidth="1"/>
    <col min="5" max="5" width="5.21875" customWidth="1"/>
    <col min="6" max="9" width="15.33203125" customWidth="1"/>
    <col min="10" max="10" width="2.6640625" bestFit="1" customWidth="1"/>
    <col min="11" max="13" width="15.33203125" customWidth="1"/>
    <col min="14" max="15" width="8.77734375" customWidth="1"/>
    <col min="16" max="24" width="8.77734375" hidden="1" customWidth="1"/>
    <col min="25" max="25" width="8.77734375" customWidth="1"/>
    <col min="26" max="26" width="20.21875" customWidth="1"/>
    <col min="27" max="27" width="8.77734375" customWidth="1"/>
  </cols>
  <sheetData>
    <row r="1" spans="1:27" ht="12.75" customHeight="1" x14ac:dyDescent="0.25">
      <c r="A1" s="548" t="s">
        <v>0</v>
      </c>
      <c r="C1" s="810" t="str">
        <f>'Cover Page'!D1</f>
        <v>The Edge School, Inc</v>
      </c>
      <c r="D1" s="810"/>
      <c r="F1" s="4"/>
      <c r="G1" s="61" t="s">
        <v>1</v>
      </c>
      <c r="H1" s="810" t="str">
        <f>'Cover Page'!M1</f>
        <v>Pima</v>
      </c>
      <c r="I1" s="810"/>
      <c r="J1" s="4"/>
      <c r="K1" s="61"/>
      <c r="L1" s="61" t="s">
        <v>2</v>
      </c>
      <c r="M1" s="2" t="str">
        <f>'Cover Page'!R1</f>
        <v>108653000</v>
      </c>
    </row>
    <row r="2" spans="1:27" ht="12.75" customHeight="1" x14ac:dyDescent="0.25">
      <c r="A2" s="4"/>
      <c r="B2" s="4"/>
      <c r="C2" s="4"/>
      <c r="D2" s="4"/>
      <c r="E2" s="4"/>
      <c r="F2" s="4"/>
      <c r="G2" s="4"/>
      <c r="H2" s="4"/>
      <c r="I2" s="4"/>
      <c r="J2" s="4"/>
    </row>
    <row r="3" spans="1:27" ht="12.75" customHeight="1" x14ac:dyDescent="0.25">
      <c r="A3" s="142"/>
      <c r="B3" s="71"/>
      <c r="C3" s="71"/>
      <c r="D3" s="71"/>
      <c r="E3" s="71"/>
      <c r="F3" s="142" t="s">
        <v>20</v>
      </c>
      <c r="G3" s="569" t="s">
        <v>167</v>
      </c>
      <c r="H3" s="830" t="s">
        <v>87</v>
      </c>
      <c r="I3" s="831"/>
      <c r="J3" s="4"/>
    </row>
    <row r="4" spans="1:27" ht="12.75" customHeight="1" x14ac:dyDescent="0.25">
      <c r="A4" s="115" t="s">
        <v>89</v>
      </c>
      <c r="F4" s="78" t="s">
        <v>168</v>
      </c>
      <c r="G4" s="80" t="s">
        <v>92</v>
      </c>
      <c r="H4" s="569"/>
      <c r="I4" s="143"/>
      <c r="J4" s="4"/>
    </row>
    <row r="5" spans="1:27" ht="12.75" customHeight="1" x14ac:dyDescent="0.25">
      <c r="A5" s="92"/>
      <c r="B5" s="6"/>
      <c r="C5" s="6"/>
      <c r="D5" s="6"/>
      <c r="E5" s="6"/>
      <c r="F5" s="78">
        <v>1000</v>
      </c>
      <c r="G5" s="80">
        <v>2000</v>
      </c>
      <c r="H5" s="85" t="s">
        <v>98</v>
      </c>
      <c r="I5" s="575" t="s">
        <v>23</v>
      </c>
      <c r="J5" s="4"/>
    </row>
    <row r="6" spans="1:27" ht="12.75" customHeight="1" x14ac:dyDescent="0.25">
      <c r="A6" s="86" t="s">
        <v>169</v>
      </c>
      <c r="B6" s="71"/>
      <c r="C6" s="71"/>
      <c r="D6" s="71"/>
      <c r="E6" s="144"/>
      <c r="F6" s="145"/>
      <c r="G6" s="145"/>
      <c r="H6" s="145"/>
      <c r="I6" s="145"/>
      <c r="J6" s="146"/>
    </row>
    <row r="7" spans="1:27" ht="12.75" customHeight="1" x14ac:dyDescent="0.25">
      <c r="A7" s="88"/>
      <c r="B7" t="s">
        <v>170</v>
      </c>
      <c r="E7" s="147">
        <v>1</v>
      </c>
      <c r="F7" s="52">
        <v>0</v>
      </c>
      <c r="G7" s="52">
        <v>0</v>
      </c>
      <c r="H7" s="556">
        <f>[1]!IIPTeacherCompensationIncreases</f>
        <v>0</v>
      </c>
      <c r="I7" s="556">
        <f>SUM(F7:G7)</f>
        <v>0</v>
      </c>
      <c r="J7" s="148">
        <v>1</v>
      </c>
      <c r="AA7" s="50" t="str">
        <f>IF(OR(F7="",F8="",F9="",F10="",G7="",G9="",G10="",G24="",G25="",G26="",G27="",G28=""),"yes","")</f>
        <v/>
      </c>
    </row>
    <row r="8" spans="1:27" ht="12.75" customHeight="1" x14ac:dyDescent="0.25">
      <c r="A8" s="88"/>
      <c r="B8" t="s">
        <v>171</v>
      </c>
      <c r="E8" s="149">
        <v>2</v>
      </c>
      <c r="F8" s="52">
        <v>0</v>
      </c>
      <c r="G8" s="150"/>
      <c r="H8" s="549">
        <f>[1]!IIPClassSizeReduction</f>
        <v>0</v>
      </c>
      <c r="I8" s="551">
        <f>SUM(F8:G8)</f>
        <v>0</v>
      </c>
      <c r="J8" s="148">
        <v>2</v>
      </c>
    </row>
    <row r="9" spans="1:27" ht="12.75" customHeight="1" x14ac:dyDescent="0.25">
      <c r="A9" s="88"/>
      <c r="B9" t="s">
        <v>172</v>
      </c>
      <c r="E9" s="149">
        <v>3</v>
      </c>
      <c r="F9" s="51">
        <v>0</v>
      </c>
      <c r="G9" s="51">
        <v>11022</v>
      </c>
      <c r="H9" s="549">
        <f>[1]!IIPDropoutPreventionPrograms</f>
        <v>5358</v>
      </c>
      <c r="I9" s="551">
        <f>SUM(F9:G9)</f>
        <v>11022</v>
      </c>
      <c r="J9" s="148">
        <v>3</v>
      </c>
    </row>
    <row r="10" spans="1:27" ht="12.75" customHeight="1" x14ac:dyDescent="0.25">
      <c r="A10" s="88"/>
      <c r="B10" t="s">
        <v>173</v>
      </c>
      <c r="E10" s="149">
        <v>4</v>
      </c>
      <c r="F10" s="51">
        <v>0</v>
      </c>
      <c r="G10" s="51">
        <v>0</v>
      </c>
      <c r="H10" s="549">
        <f>[1]!IIPInstructionalImprovementPrograms</f>
        <v>3876</v>
      </c>
      <c r="I10" s="551">
        <f>SUM(F10:G10)</f>
        <v>0</v>
      </c>
      <c r="J10" s="148">
        <v>4</v>
      </c>
      <c r="K10" s="816" t="str">
        <f>IF('Page 2'!J48=0,"",IF(('Page 4'!I11=0),"If the Charter did not have any expense, verify by checking the box in A18 on the Cover Page.",""))</f>
        <v/>
      </c>
      <c r="L10" s="816"/>
      <c r="M10" s="816"/>
      <c r="N10" s="816"/>
      <c r="O10" s="816"/>
      <c r="P10" s="816"/>
      <c r="Q10" s="816"/>
      <c r="R10" s="816"/>
      <c r="S10" s="816"/>
      <c r="T10" s="816"/>
      <c r="U10" s="816"/>
      <c r="V10" s="816"/>
      <c r="W10" s="816"/>
      <c r="X10" s="816"/>
      <c r="Y10" s="816"/>
      <c r="Z10" s="816"/>
    </row>
    <row r="11" spans="1:27" ht="12.75" customHeight="1" x14ac:dyDescent="0.25">
      <c r="A11" s="92" t="s">
        <v>174</v>
      </c>
      <c r="B11" s="6"/>
      <c r="C11" s="6"/>
      <c r="D11" s="6"/>
      <c r="E11" s="151">
        <v>5</v>
      </c>
      <c r="F11" s="551">
        <f>SUM(F6:F10)</f>
        <v>0</v>
      </c>
      <c r="G11" s="551">
        <f>SUM(G6:G10)</f>
        <v>11022</v>
      </c>
      <c r="H11" s="551">
        <f>SUM(H7:H10)</f>
        <v>9234</v>
      </c>
      <c r="I11" s="551">
        <f>SUM(I7:I10)</f>
        <v>11022</v>
      </c>
      <c r="J11" s="148">
        <v>5</v>
      </c>
      <c r="K11" s="816" t="str">
        <f>IF('Page 2'!J48=0,"",IF(('Page 4'!I11&lt;&gt;'Page 2'!J44),"Total expenses for Instructional Improvement Project on line 5 should agree to the line 35 on page 2.",""))</f>
        <v/>
      </c>
      <c r="L11" s="816"/>
      <c r="M11" s="816"/>
      <c r="N11" s="816"/>
      <c r="O11" s="816"/>
      <c r="P11" s="816"/>
      <c r="Q11" s="816"/>
      <c r="R11" s="816"/>
      <c r="S11" s="816"/>
      <c r="T11" s="816"/>
      <c r="U11" s="816"/>
      <c r="V11" s="816"/>
      <c r="W11" s="816"/>
      <c r="X11" s="816"/>
      <c r="Y11" s="816"/>
      <c r="Z11" s="816"/>
    </row>
    <row r="12" spans="1:27" ht="12.75" customHeight="1" x14ac:dyDescent="0.25">
      <c r="K12" s="566"/>
    </row>
    <row r="13" spans="1:27" ht="12.75" customHeight="1" x14ac:dyDescent="0.25">
      <c r="A13" s="70"/>
      <c r="B13" s="71"/>
      <c r="C13" s="71"/>
      <c r="D13" s="71"/>
      <c r="E13" s="72"/>
      <c r="F13" s="82"/>
    </row>
    <row r="14" spans="1:27" ht="12.75" customHeight="1" x14ac:dyDescent="0.25">
      <c r="A14" s="83" t="s">
        <v>175</v>
      </c>
      <c r="B14" s="6"/>
      <c r="C14" s="6"/>
      <c r="D14" s="6"/>
      <c r="E14" s="84"/>
      <c r="F14" s="152" t="s">
        <v>23</v>
      </c>
    </row>
    <row r="15" spans="1:27" ht="12.75" customHeight="1" x14ac:dyDescent="0.25">
      <c r="A15" s="88" t="s">
        <v>164</v>
      </c>
      <c r="B15" s="4"/>
      <c r="D15" s="153"/>
      <c r="E15" s="154">
        <v>6</v>
      </c>
      <c r="F15" s="549">
        <f>[2]!AddlInstrImprProjEndBal</f>
        <v>5659</v>
      </c>
      <c r="G15" s="148">
        <v>6</v>
      </c>
      <c r="I15" s="566"/>
      <c r="J15" s="566"/>
    </row>
    <row r="16" spans="1:27" ht="12.75" customHeight="1" x14ac:dyDescent="0.25">
      <c r="A16" s="665" t="s">
        <v>1256</v>
      </c>
      <c r="B16" s="664"/>
      <c r="C16" s="664"/>
      <c r="D16" s="153"/>
      <c r="E16" s="675">
        <v>7</v>
      </c>
      <c r="F16" s="53"/>
      <c r="G16" s="677">
        <v>7</v>
      </c>
      <c r="I16" s="566"/>
      <c r="J16" s="566"/>
    </row>
    <row r="17" spans="1:12" ht="12.75" customHeight="1" x14ac:dyDescent="0.25">
      <c r="A17" s="155" t="s">
        <v>165</v>
      </c>
      <c r="B17" s="28"/>
      <c r="D17" s="156"/>
      <c r="E17" s="675">
        <v>8</v>
      </c>
      <c r="F17" s="551">
        <f>-(SUMIFS('Accounting data'!$G$2:$G$37000,'Accounting data'!$H$2:$H$37000,"1020*",'Accounting data'!$K$2:$K$37000,"1*")+SUMIFS('Accounting data'!$G$2:$G$37000,'Accounting data'!$H$2:$H$37000,"1020*",'Accounting data'!$K$2:$K$37000,"2*")+SUMIFS('Accounting data'!$G$2:$G$37000,'Accounting data'!$H$2:$H$37000,"1020*",'Accounting data'!$K$2:$K$37000,"3*")+SUMIFS('Accounting data'!$G$2:$G$37000,'Accounting data'!$H$2:$H$37000,"1020*",'Accounting data'!$K$2:$K$37000,"4*")+SUMIFS('Accounting data'!$G$2:$G$37000,'Accounting data'!$H$2:$H$37000,"1020*",'Accounting data'!$K$2:$K$37000,"Other*"))</f>
        <v>10929</v>
      </c>
      <c r="G17" s="677">
        <v>8</v>
      </c>
      <c r="I17" s="566"/>
      <c r="J17" s="566"/>
    </row>
    <row r="18" spans="1:12" ht="12.75" customHeight="1" x14ac:dyDescent="0.25">
      <c r="A18" s="673" t="s">
        <v>1311</v>
      </c>
      <c r="B18" s="28"/>
      <c r="D18" s="156"/>
      <c r="E18" s="675">
        <v>9</v>
      </c>
      <c r="F18" s="551">
        <f>IF(F16="",F15,F16)+F17</f>
        <v>16588</v>
      </c>
      <c r="G18" s="677">
        <v>9</v>
      </c>
      <c r="I18" s="566"/>
      <c r="J18" s="566"/>
    </row>
    <row r="19" spans="1:12" ht="12.75" customHeight="1" x14ac:dyDescent="0.25">
      <c r="A19" s="673" t="s">
        <v>176</v>
      </c>
      <c r="D19" s="156"/>
      <c r="E19" s="675">
        <v>10</v>
      </c>
      <c r="F19" s="551">
        <f>ActualTotalInstImpExp</f>
        <v>11022</v>
      </c>
      <c r="G19" s="677">
        <v>10</v>
      </c>
      <c r="I19" s="566"/>
      <c r="J19" s="566"/>
    </row>
    <row r="20" spans="1:12" ht="12.75" customHeight="1" x14ac:dyDescent="0.25">
      <c r="A20" s="674" t="s">
        <v>1312</v>
      </c>
      <c r="B20" s="6"/>
      <c r="C20" s="6"/>
      <c r="D20" s="157"/>
      <c r="E20" s="676">
        <v>11</v>
      </c>
      <c r="F20" s="599">
        <f>F18-F19</f>
        <v>5566</v>
      </c>
      <c r="G20" s="677">
        <v>11</v>
      </c>
    </row>
    <row r="21" spans="1:12" ht="12.75" customHeight="1" x14ac:dyDescent="0.25">
      <c r="A21" s="153"/>
      <c r="D21" s="153"/>
      <c r="E21" s="154"/>
      <c r="F21" s="158"/>
      <c r="G21" s="148"/>
    </row>
    <row r="22" spans="1:12" ht="12.75" customHeight="1" x14ac:dyDescent="0.25">
      <c r="A22" s="70"/>
      <c r="B22" s="71"/>
      <c r="C22" s="71"/>
      <c r="D22" s="159"/>
      <c r="E22" s="160"/>
      <c r="F22" s="161"/>
      <c r="G22" s="161"/>
      <c r="H22" s="148"/>
    </row>
    <row r="23" spans="1:12" ht="12.75" customHeight="1" x14ac:dyDescent="0.25">
      <c r="A23" s="833" t="s">
        <v>177</v>
      </c>
      <c r="B23" s="833"/>
      <c r="C23" s="833"/>
      <c r="D23" s="833"/>
      <c r="E23" s="162"/>
      <c r="F23" s="163" t="s">
        <v>98</v>
      </c>
      <c r="G23" s="163" t="s">
        <v>23</v>
      </c>
      <c r="H23" s="164"/>
    </row>
    <row r="24" spans="1:12" ht="12.75" customHeight="1" x14ac:dyDescent="0.25">
      <c r="A24" s="165"/>
      <c r="B24" s="71" t="s">
        <v>178</v>
      </c>
      <c r="C24" s="71"/>
      <c r="D24" s="166"/>
      <c r="E24" s="167">
        <v>1</v>
      </c>
      <c r="F24" s="168"/>
      <c r="G24" s="53">
        <v>0</v>
      </c>
      <c r="H24" s="169">
        <v>1</v>
      </c>
    </row>
    <row r="25" spans="1:12" ht="12.75" customHeight="1" x14ac:dyDescent="0.25">
      <c r="A25" s="170"/>
      <c r="B25" t="s">
        <v>179</v>
      </c>
      <c r="D25" s="156"/>
      <c r="E25" s="171">
        <v>2</v>
      </c>
      <c r="F25" s="168"/>
      <c r="G25" s="53">
        <v>0</v>
      </c>
      <c r="H25" s="169">
        <v>2</v>
      </c>
    </row>
    <row r="26" spans="1:12" ht="12.75" customHeight="1" x14ac:dyDescent="0.25">
      <c r="A26" s="170"/>
      <c r="B26" t="s">
        <v>180</v>
      </c>
      <c r="D26" s="156"/>
      <c r="E26" s="171">
        <v>3</v>
      </c>
      <c r="F26" s="168"/>
      <c r="G26" s="53">
        <v>0</v>
      </c>
      <c r="H26" s="169">
        <v>3</v>
      </c>
    </row>
    <row r="27" spans="1:12" ht="12.75" customHeight="1" x14ac:dyDescent="0.25">
      <c r="A27" s="170"/>
      <c r="B27" t="s">
        <v>181</v>
      </c>
      <c r="D27" s="156"/>
      <c r="E27" s="171">
        <v>4</v>
      </c>
      <c r="F27" s="168"/>
      <c r="G27" s="53">
        <v>0</v>
      </c>
      <c r="H27" s="169">
        <v>4</v>
      </c>
    </row>
    <row r="28" spans="1:12" ht="12.75" customHeight="1" x14ac:dyDescent="0.25">
      <c r="A28" s="170"/>
      <c r="B28" t="s">
        <v>182</v>
      </c>
      <c r="D28" s="156"/>
      <c r="E28" s="171">
        <v>5</v>
      </c>
      <c r="F28" s="168"/>
      <c r="G28" s="53">
        <v>0</v>
      </c>
      <c r="H28" s="169">
        <v>5</v>
      </c>
    </row>
    <row r="29" spans="1:12" ht="12.75" customHeight="1" x14ac:dyDescent="0.25">
      <c r="A29" s="92" t="s">
        <v>183</v>
      </c>
      <c r="B29" s="6"/>
      <c r="C29" s="6"/>
      <c r="D29" s="6"/>
      <c r="E29" s="172">
        <v>6</v>
      </c>
      <c r="F29" s="549">
        <f>'[1]Page 2'!$E$34</f>
        <v>0</v>
      </c>
      <c r="G29" s="551">
        <f>SUM(G24:G28)</f>
        <v>0</v>
      </c>
      <c r="H29" s="169">
        <v>6</v>
      </c>
      <c r="I29" s="4"/>
      <c r="J29" s="4"/>
      <c r="K29" s="4"/>
      <c r="L29" s="4"/>
    </row>
    <row r="30" spans="1:12" ht="12.75" customHeight="1" x14ac:dyDescent="0.25">
      <c r="F30" s="173"/>
      <c r="G30" s="173"/>
      <c r="H30" s="173"/>
      <c r="I30" s="173"/>
      <c r="J30" s="173"/>
      <c r="K30" s="174"/>
      <c r="L30" s="173"/>
    </row>
  </sheetData>
  <sheetProtection sheet="1" formatCells="0" formatColumns="0" formatRows="0"/>
  <mergeCells count="6">
    <mergeCell ref="A23:D23"/>
    <mergeCell ref="K11:Z11"/>
    <mergeCell ref="H1:I1"/>
    <mergeCell ref="H3:I3"/>
    <mergeCell ref="C1:D1"/>
    <mergeCell ref="K10:Z10"/>
  </mergeCells>
  <conditionalFormatting sqref="F16">
    <cfRule type="containsBlanks" dxfId="73" priority="1">
      <formula>LEN(TRIM(F16))=0</formula>
    </cfRule>
  </conditionalFormatting>
  <conditionalFormatting sqref="G24:G28">
    <cfRule type="expression" dxfId="72" priority="5" stopIfTrue="1">
      <formula>G24=""</formula>
    </cfRule>
  </conditionalFormatting>
  <conditionalFormatting sqref="G7:I7 F7:F10 G9:G10">
    <cfRule type="expression" dxfId="71" priority="6" stopIfTrue="1">
      <formula>F7=""</formula>
    </cfRule>
  </conditionalFormatting>
  <conditionalFormatting sqref="K10:Z10">
    <cfRule type="expression" dxfId="70" priority="2" stopIfTrue="1">
      <formula>$K$10&lt;&gt;""</formula>
    </cfRule>
    <cfRule type="expression" dxfId="69" priority="3" stopIfTrue="1">
      <formula>"K10&lt;&gt;"""""</formula>
    </cfRule>
  </conditionalFormatting>
  <conditionalFormatting sqref="K11:Z11">
    <cfRule type="expression" dxfId="68" priority="7" stopIfTrue="1">
      <formula>$K$11&lt;&gt;""</formula>
    </cfRule>
  </conditionalFormatting>
  <hyperlinks>
    <hyperlink ref="A23:D23" location="ArizonaIndustryCredentialsIncentive" display="Arizona Industry Credentials Incentive Project—detailed expenses" xr:uid="{00000000-0004-0000-0500-000000000000}"/>
    <hyperlink ref="A16:C16" location="Page4AdjBeginProjBal" display="Adjusted beginning project balance" xr:uid="{E0142B6F-FF82-46B0-BD92-45EF6A8673A6}"/>
  </hyperlinks>
  <pageMargins left="0.7" right="0.7" top="0.75" bottom="0.75" header="0.3" footer="0.3"/>
  <pageSetup scale="77" orientation="landscape" r:id="rId1"/>
  <headerFooter>
    <oddFooter>&amp;LRev. 8/25 Arizona Department of Education and Auditor General&amp;CFY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18DB-0724-440E-87A7-0293D325255D}">
  <sheetPr>
    <pageSetUpPr fitToPage="1"/>
  </sheetPr>
  <dimension ref="A1:Q48"/>
  <sheetViews>
    <sheetView showGridLines="0" workbookViewId="0"/>
  </sheetViews>
  <sheetFormatPr defaultColWidth="9.33203125" defaultRowHeight="13.2" x14ac:dyDescent="0.25"/>
  <cols>
    <col min="1" max="1" width="1.77734375" customWidth="1"/>
    <col min="2" max="2" width="2" customWidth="1"/>
    <col min="3" max="3" width="17" customWidth="1"/>
    <col min="4" max="4" width="24" customWidth="1"/>
    <col min="5" max="5" width="4.33203125" bestFit="1" customWidth="1"/>
    <col min="6" max="10" width="12.77734375" customWidth="1"/>
    <col min="11" max="11" width="14.77734375" customWidth="1"/>
    <col min="12" max="16" width="12.77734375" customWidth="1"/>
    <col min="17" max="17" width="3.6640625" bestFit="1" customWidth="1"/>
  </cols>
  <sheetData>
    <row r="1" spans="1:17" ht="12" customHeight="1" x14ac:dyDescent="0.25">
      <c r="A1" s="548" t="s">
        <v>0</v>
      </c>
      <c r="D1" s="810" t="str">
        <f>'Cover Page'!D1</f>
        <v>The Edge School, Inc</v>
      </c>
      <c r="E1" s="810"/>
      <c r="F1" s="4"/>
      <c r="G1" s="4"/>
      <c r="H1" s="4"/>
      <c r="J1" s="61" t="s">
        <v>1</v>
      </c>
      <c r="K1" s="810" t="str">
        <f>'Cover Page'!M1</f>
        <v>Pima</v>
      </c>
      <c r="L1" s="810"/>
      <c r="N1" s="61" t="s">
        <v>2</v>
      </c>
      <c r="O1" s="61"/>
      <c r="P1" s="2" t="str">
        <f>'Cover Page'!R1</f>
        <v>108653000</v>
      </c>
    </row>
    <row r="2" spans="1:17" ht="12" customHeight="1" x14ac:dyDescent="0.25">
      <c r="A2" s="68"/>
      <c r="B2" s="68"/>
      <c r="C2" s="68"/>
      <c r="D2" s="68"/>
      <c r="E2" s="68"/>
      <c r="F2" s="68"/>
      <c r="G2" s="68"/>
      <c r="H2" s="68"/>
      <c r="I2" s="68"/>
      <c r="J2" s="68"/>
      <c r="K2" s="68"/>
    </row>
    <row r="3" spans="1:17" ht="12" customHeight="1" x14ac:dyDescent="0.25">
      <c r="A3" s="86"/>
      <c r="B3" s="71"/>
      <c r="C3" s="71"/>
      <c r="D3" s="71"/>
      <c r="E3" s="72"/>
      <c r="F3" s="176" t="s">
        <v>184</v>
      </c>
      <c r="G3" s="850" t="s">
        <v>1258</v>
      </c>
      <c r="H3" s="72"/>
      <c r="I3" s="569"/>
      <c r="J3" s="177" t="s">
        <v>185</v>
      </c>
      <c r="K3" s="569" t="s">
        <v>86</v>
      </c>
      <c r="L3" s="72"/>
      <c r="M3" s="82"/>
      <c r="N3" s="830" t="s">
        <v>186</v>
      </c>
      <c r="O3" s="845"/>
      <c r="P3" s="569" t="s">
        <v>187</v>
      </c>
    </row>
    <row r="4" spans="1:17" ht="12" customHeight="1" x14ac:dyDescent="0.25">
      <c r="A4" s="94" t="s">
        <v>188</v>
      </c>
      <c r="E4" s="77"/>
      <c r="F4" s="80" t="s">
        <v>189</v>
      </c>
      <c r="G4" s="851"/>
      <c r="H4" s="143" t="s">
        <v>23</v>
      </c>
      <c r="I4" s="80" t="s">
        <v>90</v>
      </c>
      <c r="J4" s="78" t="s">
        <v>91</v>
      </c>
      <c r="K4" s="80" t="s">
        <v>92</v>
      </c>
      <c r="L4" s="143" t="s">
        <v>93</v>
      </c>
      <c r="M4" s="80" t="s">
        <v>94</v>
      </c>
      <c r="N4" s="178"/>
      <c r="P4" s="80" t="s">
        <v>189</v>
      </c>
    </row>
    <row r="5" spans="1:17" ht="12" customHeight="1" x14ac:dyDescent="0.25">
      <c r="A5" s="92"/>
      <c r="B5" s="6"/>
      <c r="C5" s="6"/>
      <c r="D5" s="6"/>
      <c r="E5" s="179"/>
      <c r="F5" s="85" t="s">
        <v>190</v>
      </c>
      <c r="G5" s="852"/>
      <c r="H5" s="180" t="s">
        <v>191</v>
      </c>
      <c r="I5" s="85">
        <v>6100</v>
      </c>
      <c r="J5" s="574">
        <v>6200</v>
      </c>
      <c r="K5" s="85" t="s">
        <v>97</v>
      </c>
      <c r="L5" s="575">
        <v>6600</v>
      </c>
      <c r="M5" s="85">
        <v>6800</v>
      </c>
      <c r="N5" s="181" t="s">
        <v>98</v>
      </c>
      <c r="O5" s="182" t="s">
        <v>23</v>
      </c>
      <c r="P5" s="85" t="s">
        <v>190</v>
      </c>
    </row>
    <row r="6" spans="1:17" ht="11.25" customHeight="1" x14ac:dyDescent="0.25">
      <c r="A6" s="86" t="s">
        <v>192</v>
      </c>
      <c r="B6" s="71"/>
      <c r="C6" s="71"/>
      <c r="D6" s="71"/>
      <c r="F6" s="842"/>
      <c r="G6" s="570"/>
      <c r="H6" s="842"/>
      <c r="I6" s="842"/>
      <c r="J6" s="842"/>
      <c r="K6" s="842"/>
      <c r="L6" s="842"/>
      <c r="M6" s="842"/>
      <c r="N6" s="842"/>
      <c r="O6" s="570"/>
      <c r="P6" s="842"/>
    </row>
    <row r="7" spans="1:17" ht="11.25" customHeight="1" x14ac:dyDescent="0.25">
      <c r="A7" s="115" t="s">
        <v>165</v>
      </c>
      <c r="E7" s="183"/>
      <c r="F7" s="843"/>
      <c r="G7" s="645"/>
      <c r="H7" s="843"/>
      <c r="I7" s="843"/>
      <c r="J7" s="843"/>
      <c r="K7" s="843"/>
      <c r="L7" s="843"/>
      <c r="M7" s="843"/>
      <c r="N7" s="843"/>
      <c r="O7" s="571"/>
      <c r="P7" s="843"/>
    </row>
    <row r="8" spans="1:17" ht="12" customHeight="1" x14ac:dyDescent="0.25">
      <c r="A8" s="115"/>
      <c r="B8" t="s">
        <v>193</v>
      </c>
      <c r="E8" s="183">
        <v>1</v>
      </c>
      <c r="F8" s="184"/>
      <c r="G8" s="184"/>
      <c r="H8" s="551">
        <f>-(SUMIFS('Accounting data'!$G$2:$G$37000,'Accounting data'!$H$2:$H$37000,"1071*",'Accounting data'!$K$2:$K$37000,"32*"))</f>
        <v>0</v>
      </c>
      <c r="I8" s="184"/>
      <c r="J8" s="184"/>
      <c r="K8" s="184"/>
      <c r="L8" s="184"/>
      <c r="M8" s="184"/>
      <c r="N8" s="184"/>
      <c r="O8" s="184"/>
      <c r="P8" s="184"/>
      <c r="Q8" s="148">
        <v>1</v>
      </c>
    </row>
    <row r="9" spans="1:17" ht="12" customHeight="1" x14ac:dyDescent="0.25">
      <c r="A9" s="115"/>
      <c r="B9" t="s">
        <v>194</v>
      </c>
      <c r="E9" s="183">
        <v>2</v>
      </c>
      <c r="F9" s="184"/>
      <c r="G9" s="184"/>
      <c r="H9" s="551">
        <f>-(SUMIFS('Accounting data'!$G$2:$G$37000,'Accounting data'!$H$2:$H$37000,"1071*",'Accounting data'!$K$2:$K$37000,"15*"))</f>
        <v>0</v>
      </c>
      <c r="I9" s="184"/>
      <c r="J9" s="184"/>
      <c r="K9" s="184"/>
      <c r="L9" s="184"/>
      <c r="M9" s="184"/>
      <c r="N9" s="184"/>
      <c r="O9" s="184"/>
      <c r="P9" s="184"/>
      <c r="Q9" s="148">
        <v>2</v>
      </c>
    </row>
    <row r="10" spans="1:17" ht="12" customHeight="1" x14ac:dyDescent="0.25">
      <c r="A10" s="88" t="s">
        <v>195</v>
      </c>
      <c r="E10" s="183">
        <v>3</v>
      </c>
      <c r="F10" s="184"/>
      <c r="G10" s="184"/>
      <c r="H10" s="551">
        <f>SUM(H8:H9)</f>
        <v>0</v>
      </c>
      <c r="I10" s="185"/>
      <c r="J10" s="185"/>
      <c r="K10" s="185"/>
      <c r="L10" s="185"/>
      <c r="M10" s="185"/>
      <c r="N10" s="184"/>
      <c r="O10" s="184"/>
      <c r="P10" s="184"/>
      <c r="Q10" s="148">
        <v>3</v>
      </c>
    </row>
    <row r="11" spans="1:17" ht="11.25" customHeight="1" x14ac:dyDescent="0.25">
      <c r="A11" s="115" t="s">
        <v>89</v>
      </c>
      <c r="E11" s="186"/>
      <c r="F11" s="187"/>
      <c r="G11" s="646"/>
      <c r="H11" s="834"/>
      <c r="I11" s="188"/>
      <c r="J11" s="188"/>
      <c r="K11" s="188"/>
      <c r="L11" s="188"/>
      <c r="M11" s="188"/>
      <c r="N11" s="188"/>
      <c r="O11" s="188"/>
      <c r="P11" s="189"/>
    </row>
    <row r="12" spans="1:17" ht="12" customHeight="1" x14ac:dyDescent="0.25">
      <c r="A12" s="88" t="s">
        <v>196</v>
      </c>
      <c r="F12" s="190"/>
      <c r="G12" s="647"/>
      <c r="H12" s="835"/>
      <c r="I12" s="191"/>
      <c r="J12" s="191"/>
      <c r="K12" s="191"/>
      <c r="L12" s="191"/>
      <c r="M12" s="191"/>
      <c r="N12" s="191"/>
      <c r="O12" s="191"/>
      <c r="P12" s="192"/>
    </row>
    <row r="13" spans="1:17" ht="12" customHeight="1" x14ac:dyDescent="0.25">
      <c r="A13" s="88"/>
      <c r="B13" t="s">
        <v>197</v>
      </c>
      <c r="E13" s="186">
        <v>4</v>
      </c>
      <c r="F13" s="193"/>
      <c r="G13" s="648"/>
      <c r="H13" s="844"/>
      <c r="I13" s="556">
        <f>SUMIFS('Accounting data'!$G$2:$G$37000,'Accounting data'!$H$2:$H$37000,"1071*",'Accounting data'!$I$2:$I$37000,"260*",'Accounting data'!$J$2:$J$37000,"1*",'Accounting data'!$K$2:$K$37000,"61*")</f>
        <v>0</v>
      </c>
      <c r="J13" s="556">
        <f>SUMIFS('Accounting data'!$G$2:$G$37000,'Accounting data'!$H$2:$H$37000,"1071*",'Accounting data'!$I$2:$I$37000,"260*",'Accounting data'!$J$2:$J$37000,"1*",'Accounting data'!$K$2:$K$37000,"62*")</f>
        <v>0</v>
      </c>
      <c r="K13" s="556">
        <f>SUMIFS('Accounting data'!$G$2:$G$37000,'Accounting data'!$H$2:$H$37000,"1071*",'Accounting data'!$I$2:$I$37000,"260*",'Accounting data'!$J$2:$J$37000,"1*",'Accounting data'!$K$2:$K$37000,"63*")</f>
        <v>0</v>
      </c>
      <c r="L13" s="556">
        <f>SUMIFS('Accounting data'!$G$2:$G$37000,'Accounting data'!$H$2:$H$37000,"1071*",'Accounting data'!$I$2:$I$37000,"260*",'Accounting data'!$J$2:$J$37000,"1*",'Accounting data'!$K$2:$K$37000,"66*")</f>
        <v>0</v>
      </c>
      <c r="M13" s="556">
        <f>SUMIFS('Accounting data'!$G$2:$G$37000,'Accounting data'!$H$2:$H$37000,"1071*",'Accounting data'!$I$2:$I$37000,"260*",'Accounting data'!$J$2:$J$37000,"1*",'Accounting data'!$K$2:$K$37000,"68*")</f>
        <v>0</v>
      </c>
      <c r="N13" s="556">
        <f>[1]!SEIP1071P260F1000</f>
        <v>0</v>
      </c>
      <c r="O13" s="556">
        <f>SUM(I13:M13)</f>
        <v>0</v>
      </c>
      <c r="P13" s="194"/>
      <c r="Q13" s="148">
        <v>4</v>
      </c>
    </row>
    <row r="14" spans="1:17" ht="12" customHeight="1" x14ac:dyDescent="0.25">
      <c r="A14" s="88"/>
      <c r="B14" t="s">
        <v>198</v>
      </c>
      <c r="F14" s="187"/>
      <c r="G14" s="646"/>
      <c r="H14" s="834"/>
      <c r="I14" s="191"/>
      <c r="J14" s="191"/>
      <c r="K14" s="191"/>
      <c r="L14" s="191"/>
      <c r="M14" s="191"/>
      <c r="N14" s="846">
        <f>[1]!SEIP1071P260F2100</f>
        <v>0</v>
      </c>
      <c r="O14" s="839">
        <f>SUM(I15:M15)</f>
        <v>0</v>
      </c>
      <c r="P14" s="189"/>
    </row>
    <row r="15" spans="1:17" ht="12" customHeight="1" x14ac:dyDescent="0.25">
      <c r="A15" s="88"/>
      <c r="C15" t="s">
        <v>199</v>
      </c>
      <c r="E15" s="183">
        <v>5</v>
      </c>
      <c r="F15" s="193"/>
      <c r="G15" s="648"/>
      <c r="H15" s="844"/>
      <c r="I15" s="556">
        <f>SUMIFS('Accounting data'!$G$2:$G$37000,'Accounting data'!$H$2:$H$37000,"1071*",'Accounting data'!$I$2:$I$37000,"260*",'Accounting data'!$J$2:$J$37000,"21*",'Accounting data'!$K$2:$K$37000,"61*")</f>
        <v>0</v>
      </c>
      <c r="J15" s="556">
        <f>SUMIFS('Accounting data'!$G$2:$G$37000,'Accounting data'!$H$2:$H$37000,"1071*",'Accounting data'!$I$2:$I$37000,"260*",'Accounting data'!$J$2:$J$37000,"21*",'Accounting data'!$K$2:$K$37000,"62*")</f>
        <v>0</v>
      </c>
      <c r="K15" s="556">
        <f>SUMIFS('Accounting data'!$G$2:$G$37000,'Accounting data'!$H$2:$H$37000,"1071*",'Accounting data'!$I$2:$I$37000,"260*",'Accounting data'!$J$2:$J$37000,"21*",'Accounting data'!$K$2:$K$37000,"63*")</f>
        <v>0</v>
      </c>
      <c r="L15" s="556">
        <f>SUMIFS('Accounting data'!$G$2:$G$37000,'Accounting data'!$H$2:$H$37000,"1071*",'Accounting data'!$I$2:$I$37000,"260*",'Accounting data'!$J$2:$J$37000,"21*",'Accounting data'!$K$2:$K$37000,"66*")</f>
        <v>0</v>
      </c>
      <c r="M15" s="556">
        <f>SUMIFS('Accounting data'!$G$2:$G$37000,'Accounting data'!$H$2:$H$37000,"1071*",'Accounting data'!$I$2:$I$37000,"260*",'Accounting data'!$J$2:$J$37000,"21*",'Accounting data'!$K$2:$K$37000,"68*")</f>
        <v>0</v>
      </c>
      <c r="N15" s="847"/>
      <c r="O15" s="840"/>
      <c r="P15" s="194"/>
      <c r="Q15" s="148">
        <v>5</v>
      </c>
    </row>
    <row r="16" spans="1:17" ht="12" customHeight="1" x14ac:dyDescent="0.25">
      <c r="A16" s="88"/>
      <c r="C16" t="s">
        <v>200</v>
      </c>
      <c r="E16" s="186">
        <v>6</v>
      </c>
      <c r="F16" s="195"/>
      <c r="G16" s="649"/>
      <c r="H16" s="196"/>
      <c r="I16" s="556">
        <f>SUMIFS('Accounting data'!$G$2:$G$37000,'Accounting data'!$H$2:$H$37000,"1071*",'Accounting data'!$I$2:$I$37000,"260*",'Accounting data'!$J$2:$J$37000,"22*",'Accounting data'!$K$2:$K$37000,"61*")</f>
        <v>0</v>
      </c>
      <c r="J16" s="556">
        <f>SUMIFS('Accounting data'!$G$2:$G$37000,'Accounting data'!$H$2:$H$37000,"1071*",'Accounting data'!$I$2:$I$37000,"260*",'Accounting data'!$J$2:$J$37000,"22*",'Accounting data'!$K$2:$K$37000,"62*")</f>
        <v>0</v>
      </c>
      <c r="K16" s="556">
        <f>SUMIFS('Accounting data'!$G$2:$G$37000,'Accounting data'!$H$2:$H$37000,"1071*",'Accounting data'!$I$2:$I$37000,"260*",'Accounting data'!$J$2:$J$37000,"22*",'Accounting data'!$K$2:$K$37000,"63*")</f>
        <v>0</v>
      </c>
      <c r="L16" s="556">
        <f>SUMIFS('Accounting data'!$G$2:$G$37000,'Accounting data'!$H$2:$H$37000,"1071*",'Accounting data'!$I$2:$I$37000,"260*",'Accounting data'!$J$2:$J$37000,"22*",'Accounting data'!$K$2:$K$37000,"66*")</f>
        <v>0</v>
      </c>
      <c r="M16" s="556">
        <f>SUMIFS('Accounting data'!$G$2:$G$37000,'Accounting data'!$H$2:$H$37000,"1071*",'Accounting data'!$I$2:$I$37000,"260*",'Accounting data'!$J$2:$J$37000,"22*",'Accounting data'!$K$2:$K$37000,"68*")</f>
        <v>0</v>
      </c>
      <c r="N16" s="549">
        <f>[1]!SEIP1071P260F2200</f>
        <v>0</v>
      </c>
      <c r="O16" s="551">
        <f t="shared" ref="O16:O21" si="0">SUM(I16:M16)</f>
        <v>0</v>
      </c>
      <c r="P16" s="197"/>
      <c r="Q16" s="148">
        <v>6</v>
      </c>
    </row>
    <row r="17" spans="1:17" ht="12" customHeight="1" x14ac:dyDescent="0.25">
      <c r="A17" s="88"/>
      <c r="C17" t="s">
        <v>201</v>
      </c>
      <c r="E17" s="183">
        <v>7</v>
      </c>
      <c r="F17" s="195"/>
      <c r="G17" s="649"/>
      <c r="H17" s="196"/>
      <c r="I17" s="551">
        <f>SUMIFS('Accounting data'!$G$2:$G$37000,'Accounting data'!$H$2:$H$37000,"1071*",'Accounting data'!$I$2:$I$37000,"260*",'Accounting data'!$J$2:$J$37000,"23*",'Accounting data'!$K$2:$K$37000,"61*")</f>
        <v>0</v>
      </c>
      <c r="J17" s="551">
        <f>SUMIFS('Accounting data'!$G$2:$G$37000,'Accounting data'!$H$2:$H$37000,"1071*",'Accounting data'!$I$2:$I$37000,"260*",'Accounting data'!$J$2:$J$37000,"23*",'Accounting data'!$K$2:$K$37000,"62*")</f>
        <v>0</v>
      </c>
      <c r="K17" s="551">
        <f>SUMIFS('Accounting data'!$G$2:$G$37000,'Accounting data'!$H$2:$H$37000,"1071*",'Accounting data'!$I$2:$I$37000,"260*",'Accounting data'!$J$2:$J$37000,"23*",'Accounting data'!$K$2:$K$37000,"63*")</f>
        <v>0</v>
      </c>
      <c r="L17" s="551">
        <f>SUMIFS('Accounting data'!$G$2:$G$37000,'Accounting data'!$H$2:$H$37000,"1071*",'Accounting data'!$I$2:$I$37000,"260*",'Accounting data'!$J$2:$J$37000,"23*",'Accounting data'!$K$2:$K$37000,"66*")</f>
        <v>0</v>
      </c>
      <c r="M17" s="551">
        <f>SUMIFS('Accounting data'!$G$2:$G$37000,'Accounting data'!$H$2:$H$37000,"1071*",'Accounting data'!$I$2:$I$37000,"260*",'Accounting data'!$J$2:$J$37000,"23*",'Accounting data'!$K$2:$K$37000,"68*")</f>
        <v>0</v>
      </c>
      <c r="N17" s="549">
        <f>[1]!SEIP1071P260F2300</f>
        <v>0</v>
      </c>
      <c r="O17" s="551">
        <f t="shared" si="0"/>
        <v>0</v>
      </c>
      <c r="P17" s="197"/>
      <c r="Q17" s="148">
        <v>7</v>
      </c>
    </row>
    <row r="18" spans="1:17" ht="12" customHeight="1" x14ac:dyDescent="0.25">
      <c r="A18" s="88"/>
      <c r="C18" t="s">
        <v>202</v>
      </c>
      <c r="E18" s="183">
        <v>8</v>
      </c>
      <c r="F18" s="195"/>
      <c r="G18" s="649"/>
      <c r="H18" s="196"/>
      <c r="I18" s="551">
        <f>SUMIFS('Accounting data'!$G$2:$G$37000,'Accounting data'!$H$2:$H$37000,"1071*",'Accounting data'!$I$2:$I$37000,"260*",'Accounting data'!$J$2:$J$37000,"24*",'Accounting data'!$K$2:$K$37000,"61*")</f>
        <v>0</v>
      </c>
      <c r="J18" s="551">
        <f>SUMIFS('Accounting data'!$G$2:$G$37000,'Accounting data'!$H$2:$H$37000,"1071*",'Accounting data'!$I$2:$I$37000,"260*",'Accounting data'!$J$2:$J$37000,"24*",'Accounting data'!$K$2:$K$37000,"62*")</f>
        <v>0</v>
      </c>
      <c r="K18" s="551">
        <f>SUMIFS('Accounting data'!$G$2:$G$37000,'Accounting data'!$H$2:$H$37000,"1071*",'Accounting data'!$I$2:$I$37000,"260*",'Accounting data'!$J$2:$J$37000,"24*",'Accounting data'!$K$2:$K$37000,"63*")</f>
        <v>0</v>
      </c>
      <c r="L18" s="551">
        <f>SUMIFS('Accounting data'!$G$2:$G$37000,'Accounting data'!$H$2:$H$37000,"1071*",'Accounting data'!$I$2:$I$37000,"260*",'Accounting data'!$J$2:$J$37000,"24*",'Accounting data'!$K$2:$K$37000,"66*")</f>
        <v>0</v>
      </c>
      <c r="M18" s="551">
        <f>SUMIFS('Accounting data'!$G$2:$G$37000,'Accounting data'!$H$2:$H$37000,"1071*",'Accounting data'!$I$2:$I$37000,"260*",'Accounting data'!$J$2:$J$37000,"24*",'Accounting data'!$K$2:$K$37000,"68*")</f>
        <v>0</v>
      </c>
      <c r="N18" s="549">
        <f>[1]!SEIP1071P260F2400</f>
        <v>0</v>
      </c>
      <c r="O18" s="551">
        <f t="shared" si="0"/>
        <v>0</v>
      </c>
      <c r="P18" s="197"/>
      <c r="Q18" s="148">
        <v>8</v>
      </c>
    </row>
    <row r="19" spans="1:17" ht="12" customHeight="1" x14ac:dyDescent="0.25">
      <c r="A19" s="88"/>
      <c r="C19" t="s">
        <v>203</v>
      </c>
      <c r="E19" s="183">
        <v>9</v>
      </c>
      <c r="F19" s="195"/>
      <c r="G19" s="649"/>
      <c r="H19" s="196"/>
      <c r="I19" s="551">
        <f>SUMIFS('Accounting data'!$G$2:$G$37000,'Accounting data'!$H$2:$H$37000,"1071*",'Accounting data'!$I$2:$I$37000,"260*",'Accounting data'!$J$2:$J$37000,"25*",'Accounting data'!$K$2:$K$37000,"61*")</f>
        <v>0</v>
      </c>
      <c r="J19" s="551">
        <f>SUMIFS('Accounting data'!$G$2:$G$37000,'Accounting data'!$H$2:$H$37000,"1071*",'Accounting data'!$I$2:$I$37000,"260*",'Accounting data'!$J$2:$J$37000,"25*",'Accounting data'!$K$2:$K$37000,"62*")</f>
        <v>0</v>
      </c>
      <c r="K19" s="551">
        <f>SUMIFS('Accounting data'!$G$2:$G$37000,'Accounting data'!$H$2:$H$37000,"1071*",'Accounting data'!$I$2:$I$37000,"260*",'Accounting data'!$J$2:$J$37000,"25*",'Accounting data'!$K$2:$K$37000,"63*")</f>
        <v>0</v>
      </c>
      <c r="L19" s="551">
        <f>SUMIFS('Accounting data'!$G$2:$G$37000,'Accounting data'!$H$2:$H$37000,"1071*",'Accounting data'!$I$2:$I$37000,"260*",'Accounting data'!$J$2:$J$37000,"25*",'Accounting data'!$K$2:$K$37000,"66*")</f>
        <v>0</v>
      </c>
      <c r="M19" s="551">
        <f>SUMIFS('Accounting data'!$G$2:$G$37000,'Accounting data'!$H$2:$H$37000,"1071*",'Accounting data'!$I$2:$I$37000,"260*",'Accounting data'!$J$2:$J$37000,"25*",'Accounting data'!$K$2:$K$37000,"68*")</f>
        <v>0</v>
      </c>
      <c r="N19" s="549">
        <f>[1]!SEIP1071P260F2500</f>
        <v>0</v>
      </c>
      <c r="O19" s="551">
        <f t="shared" si="0"/>
        <v>0</v>
      </c>
      <c r="P19" s="197"/>
      <c r="Q19" s="148">
        <v>9</v>
      </c>
    </row>
    <row r="20" spans="1:17" ht="12" customHeight="1" x14ac:dyDescent="0.25">
      <c r="A20" s="88"/>
      <c r="C20" t="s">
        <v>204</v>
      </c>
      <c r="E20" s="183">
        <v>10</v>
      </c>
      <c r="F20" s="195"/>
      <c r="G20" s="649"/>
      <c r="H20" s="196"/>
      <c r="I20" s="551">
        <f>SUMIFS('Accounting data'!$G$2:$G$37000,'Accounting data'!$H$2:$H$37000,"1071*",'Accounting data'!$I$2:$I$37000,"260*",'Accounting data'!$J$2:$J$37000,"26*",'Accounting data'!$K$2:$K$37000,"61*")</f>
        <v>0</v>
      </c>
      <c r="J20" s="551">
        <f>SUMIFS('Accounting data'!$G$2:$G$37000,'Accounting data'!$H$2:$H$37000,"1071*",'Accounting data'!$I$2:$I$37000,"260*",'Accounting data'!$J$2:$J$37000,"26*",'Accounting data'!$K$2:$K$37000,"62*")</f>
        <v>0</v>
      </c>
      <c r="K20" s="551">
        <f>SUMIFS('Accounting data'!$G$2:$G$37000,'Accounting data'!$H$2:$H$37000,"1071*",'Accounting data'!$I$2:$I$37000,"260*",'Accounting data'!$J$2:$J$37000,"26*",'Accounting data'!$K$2:$K$37000,"63*")</f>
        <v>0</v>
      </c>
      <c r="L20" s="551">
        <f>SUMIFS('Accounting data'!$G$2:$G$37000,'Accounting data'!$H$2:$H$37000,"1071*",'Accounting data'!$I$2:$I$37000,"260*",'Accounting data'!$J$2:$J$37000,"26*",'Accounting data'!$K$2:$K$37000,"66*")</f>
        <v>0</v>
      </c>
      <c r="M20" s="551">
        <f>SUMIFS('Accounting data'!$G$2:$G$37000,'Accounting data'!$H$2:$H$37000,"1071*",'Accounting data'!$I$2:$I$37000,"260*",'Accounting data'!$J$2:$J$37000,"26*",'Accounting data'!$K$2:$K$37000,"68*")</f>
        <v>0</v>
      </c>
      <c r="N20" s="549">
        <f>[1]!SEIP1071P260F2600</f>
        <v>0</v>
      </c>
      <c r="O20" s="551">
        <f t="shared" si="0"/>
        <v>0</v>
      </c>
      <c r="P20" s="197"/>
      <c r="Q20" s="148">
        <v>10</v>
      </c>
    </row>
    <row r="21" spans="1:17" ht="12" customHeight="1" x14ac:dyDescent="0.25">
      <c r="A21" s="88"/>
      <c r="C21" t="s">
        <v>205</v>
      </c>
      <c r="E21" s="183">
        <v>11</v>
      </c>
      <c r="F21" s="195"/>
      <c r="G21" s="649"/>
      <c r="H21" s="196"/>
      <c r="I21" s="551">
        <f>SUMIFS('Accounting data'!$G$2:$G$37000,'Accounting data'!$H$2:$H$37000,"1071*",'Accounting data'!$I$2:$I$37000,"260*",'Accounting data'!$J$2:$J$37000,"29*",'Accounting data'!$K$2:$K$37000,"61*")</f>
        <v>0</v>
      </c>
      <c r="J21" s="551">
        <f>SUMIFS('Accounting data'!$G$2:$G$37000,'Accounting data'!$H$2:$H$37000,"1071*",'Accounting data'!$I$2:$I$37000,"260*",'Accounting data'!$J$2:$J$37000,"29*",'Accounting data'!$K$2:$K$37000,"62*")</f>
        <v>0</v>
      </c>
      <c r="K21" s="551">
        <f>SUMIFS('Accounting data'!$G$2:$G$37000,'Accounting data'!$H$2:$H$37000,"1071*",'Accounting data'!$I$2:$I$37000,"260*",'Accounting data'!$J$2:$J$37000,"29*",'Accounting data'!$K$2:$K$37000,"63*")</f>
        <v>0</v>
      </c>
      <c r="L21" s="551">
        <f>SUMIFS('Accounting data'!$G$2:$G$37000,'Accounting data'!$H$2:$H$37000,"1071*",'Accounting data'!$I$2:$I$37000,"260*",'Accounting data'!$J$2:$J$37000,"29*",'Accounting data'!$K$2:$K$37000,"66*")</f>
        <v>0</v>
      </c>
      <c r="M21" s="551">
        <f>SUMIFS('Accounting data'!$G$2:$G$37000,'Accounting data'!$H$2:$H$37000,"1071*",'Accounting data'!$I$2:$I$37000,"260*",'Accounting data'!$J$2:$J$37000,"29*",'Accounting data'!$K$2:$K$37000,"68*")</f>
        <v>0</v>
      </c>
      <c r="N21" s="549">
        <f>[1]!SEIP1071P260F2900</f>
        <v>0</v>
      </c>
      <c r="O21" s="551">
        <f t="shared" si="0"/>
        <v>0</v>
      </c>
      <c r="P21" s="197"/>
      <c r="Q21" s="148">
        <v>11</v>
      </c>
    </row>
    <row r="22" spans="1:17" ht="12" customHeight="1" x14ac:dyDescent="0.25">
      <c r="A22" s="92"/>
      <c r="B22" s="6" t="s">
        <v>206</v>
      </c>
      <c r="C22" s="6"/>
      <c r="D22" s="6"/>
      <c r="E22" s="179">
        <v>12</v>
      </c>
      <c r="F22" s="195"/>
      <c r="G22" s="650"/>
      <c r="H22" s="198"/>
      <c r="I22" s="551">
        <f>SUM(I13:I21)</f>
        <v>0</v>
      </c>
      <c r="J22" s="551">
        <f t="shared" ref="J22:O22" si="1">SUM(J13:J21)</f>
        <v>0</v>
      </c>
      <c r="K22" s="551">
        <f>SUM(K13:K21)</f>
        <v>0</v>
      </c>
      <c r="L22" s="551">
        <f t="shared" si="1"/>
        <v>0</v>
      </c>
      <c r="M22" s="551">
        <f t="shared" si="1"/>
        <v>0</v>
      </c>
      <c r="N22" s="551">
        <f t="shared" si="1"/>
        <v>0</v>
      </c>
      <c r="O22" s="551">
        <f t="shared" si="1"/>
        <v>0</v>
      </c>
      <c r="P22" s="197"/>
      <c r="Q22" s="199">
        <v>12</v>
      </c>
    </row>
    <row r="23" spans="1:17" ht="12" customHeight="1" x14ac:dyDescent="0.25">
      <c r="A23" s="88" t="s">
        <v>207</v>
      </c>
      <c r="E23" s="183"/>
      <c r="F23" s="187"/>
      <c r="G23" s="646"/>
      <c r="H23" s="834"/>
      <c r="I23" s="82"/>
      <c r="J23" s="82"/>
      <c r="K23" s="82"/>
      <c r="L23" s="82"/>
      <c r="M23" s="82"/>
      <c r="N23" s="82"/>
      <c r="O23" s="82"/>
      <c r="P23" s="189"/>
      <c r="Q23" s="148"/>
    </row>
    <row r="24" spans="1:17" ht="12" customHeight="1" x14ac:dyDescent="0.25">
      <c r="A24" s="88"/>
      <c r="B24" t="s">
        <v>198</v>
      </c>
      <c r="E24" s="183"/>
      <c r="F24" s="190"/>
      <c r="G24" s="647"/>
      <c r="H24" s="835"/>
      <c r="I24" s="594"/>
      <c r="J24" s="594"/>
      <c r="K24" s="594"/>
      <c r="L24" s="594"/>
      <c r="M24" s="594"/>
      <c r="N24" s="594"/>
      <c r="O24" s="191"/>
      <c r="P24" s="192"/>
      <c r="Q24" s="148"/>
    </row>
    <row r="25" spans="1:17" ht="12" customHeight="1" x14ac:dyDescent="0.25">
      <c r="A25" s="88"/>
      <c r="C25" t="s">
        <v>208</v>
      </c>
      <c r="E25" s="183">
        <v>13</v>
      </c>
      <c r="F25" s="193"/>
      <c r="G25" s="648"/>
      <c r="H25" s="844"/>
      <c r="I25" s="594">
        <f>SUMIFS('Accounting data'!$G$2:$G$37000,'Accounting data'!$H$2:$H$37000,"1071*",'Accounting data'!$I$2:$I$37000,"43*",'Accounting data'!$J$2:$J$37000,"27*",'Accounting data'!$K$2:$K$37000,"61*")</f>
        <v>0</v>
      </c>
      <c r="J25" s="594">
        <f>SUMIFS('Accounting data'!$G$2:$G$37000,'Accounting data'!$H$2:$H$37000,"1071*",'Accounting data'!$I$2:$I$37000,"43*",'Accounting data'!$J$2:$J$37000,"27*",'Accounting data'!$K$2:$K$37000,"62*")</f>
        <v>0</v>
      </c>
      <c r="K25" s="594">
        <f>SUMIFS('Accounting data'!$G$2:$G$37000,'Accounting data'!$H$2:$H$37000,"1071*",'Accounting data'!$I$2:$I$37000,"43*",'Accounting data'!$J$2:$J$37000,"27*",'Accounting data'!$K$2:$K$37000,"63*")</f>
        <v>0</v>
      </c>
      <c r="L25" s="594">
        <f>SUMIFS('Accounting data'!$G$2:$G$37000,'Accounting data'!$H$2:$H$37000,"1071*",'Accounting data'!$I$2:$I$37000,"43*",'Accounting data'!$J$2:$J$37000,"27*",'Accounting data'!$K$2:$K$37000,"66*")</f>
        <v>0</v>
      </c>
      <c r="M25" s="594">
        <f>SUMIFS('Accounting data'!$G$2:$G$37000,'Accounting data'!$H$2:$H$37000,"1071*",'Accounting data'!$I$2:$I$37000,"43*",'Accounting data'!$J$2:$J$37000,"27*",'Accounting data'!$K$2:$K$37000,"68*")</f>
        <v>0</v>
      </c>
      <c r="N25" s="594">
        <f>[1]!SEIP1071P430F2700</f>
        <v>0</v>
      </c>
      <c r="O25" s="556">
        <f>SUM(I25:M25)</f>
        <v>0</v>
      </c>
      <c r="P25" s="194"/>
      <c r="Q25" s="199">
        <v>13</v>
      </c>
    </row>
    <row r="26" spans="1:17" ht="12" customHeight="1" x14ac:dyDescent="0.25">
      <c r="A26" s="98" t="s">
        <v>209</v>
      </c>
      <c r="B26" s="99"/>
      <c r="C26" s="99"/>
      <c r="D26" s="99"/>
      <c r="E26" s="200">
        <v>14</v>
      </c>
      <c r="F26" s="549">
        <f>[2]!SEIP1071EndBal</f>
        <v>0</v>
      </c>
      <c r="G26" s="53"/>
      <c r="H26" s="551">
        <f>H10</f>
        <v>0</v>
      </c>
      <c r="I26" s="551">
        <f>SUM(I22:I24)</f>
        <v>0</v>
      </c>
      <c r="J26" s="551">
        <f>SUM(J22:J24)</f>
        <v>0</v>
      </c>
      <c r="K26" s="551">
        <f>SUM(K22:K24)</f>
        <v>0</v>
      </c>
      <c r="L26" s="551">
        <f>SUM(L22:L24)</f>
        <v>0</v>
      </c>
      <c r="M26" s="551">
        <f>SUM(M22:M24)</f>
        <v>0</v>
      </c>
      <c r="N26" s="551">
        <f>SUM(N22:N25)</f>
        <v>0</v>
      </c>
      <c r="O26" s="551">
        <f>SUM(O22:O25)</f>
        <v>0</v>
      </c>
      <c r="P26" s="551">
        <f>IF(G26="",F26,G26)+H26-O26</f>
        <v>0</v>
      </c>
      <c r="Q26" s="199">
        <v>14</v>
      </c>
    </row>
    <row r="27" spans="1:17" ht="9" customHeight="1" x14ac:dyDescent="0.25">
      <c r="A27" s="848"/>
      <c r="B27" s="848"/>
      <c r="C27" s="848"/>
      <c r="D27" s="848"/>
      <c r="E27" s="848"/>
      <c r="F27" s="848"/>
      <c r="G27" s="848"/>
      <c r="H27" s="848"/>
      <c r="I27" s="848"/>
      <c r="J27" s="848"/>
      <c r="K27" s="849"/>
      <c r="L27" s="849"/>
      <c r="M27" s="849"/>
    </row>
    <row r="28" spans="1:17" ht="11.25" customHeight="1" x14ac:dyDescent="0.25">
      <c r="A28" s="86" t="s">
        <v>210</v>
      </c>
      <c r="B28" s="71"/>
      <c r="C28" s="71"/>
      <c r="D28" s="71"/>
      <c r="E28" s="201"/>
      <c r="F28" s="837"/>
      <c r="G28" s="642"/>
      <c r="H28" s="837"/>
      <c r="I28" s="837"/>
      <c r="J28" s="837"/>
      <c r="K28" s="837"/>
      <c r="L28" s="837"/>
      <c r="M28" s="836"/>
      <c r="N28" s="836"/>
      <c r="O28" s="836"/>
      <c r="P28" s="837"/>
    </row>
    <row r="29" spans="1:17" ht="11.25" customHeight="1" x14ac:dyDescent="0.25">
      <c r="A29" s="115" t="s">
        <v>165</v>
      </c>
      <c r="E29" s="183"/>
      <c r="F29" s="838"/>
      <c r="G29" s="643"/>
      <c r="H29" s="841"/>
      <c r="I29" s="841"/>
      <c r="J29" s="841"/>
      <c r="K29" s="841"/>
      <c r="L29" s="841"/>
      <c r="M29" s="836"/>
      <c r="N29" s="836"/>
      <c r="O29" s="836"/>
      <c r="P29" s="838"/>
    </row>
    <row r="30" spans="1:17" ht="12" customHeight="1" x14ac:dyDescent="0.25">
      <c r="A30" s="115"/>
      <c r="B30" t="s">
        <v>193</v>
      </c>
      <c r="E30" s="183">
        <v>15</v>
      </c>
      <c r="F30" s="184"/>
      <c r="G30" s="184"/>
      <c r="H30" s="551">
        <f>-(SUMIFS('Accounting data'!$G$2:$G$37000,'Accounting data'!$H$2:$H$37000,"1072*",'Accounting data'!$K$2:$K$37000,"32*"))</f>
        <v>0</v>
      </c>
      <c r="I30" s="184"/>
      <c r="J30" s="184"/>
      <c r="K30" s="184"/>
      <c r="L30" s="184"/>
      <c r="M30" s="202"/>
      <c r="N30" s="184"/>
      <c r="O30" s="184"/>
      <c r="P30" s="184"/>
      <c r="Q30" s="199">
        <v>15</v>
      </c>
    </row>
    <row r="31" spans="1:17" ht="12" customHeight="1" x14ac:dyDescent="0.25">
      <c r="A31" s="115"/>
      <c r="B31" t="s">
        <v>194</v>
      </c>
      <c r="E31" s="183">
        <v>16</v>
      </c>
      <c r="F31" s="184"/>
      <c r="G31" s="184"/>
      <c r="H31" s="551">
        <f>-(SUMIFS('Accounting data'!$G$2:$G$37000,'Accounting data'!$H$2:$H$37000,"1072*",'Accounting data'!$K$2:$K$37000,"15*"))</f>
        <v>0</v>
      </c>
      <c r="I31" s="184"/>
      <c r="J31" s="184"/>
      <c r="K31" s="184"/>
      <c r="L31" s="184"/>
      <c r="M31" s="184"/>
      <c r="N31" s="184"/>
      <c r="O31" s="184"/>
      <c r="P31" s="184"/>
      <c r="Q31" s="199">
        <v>16</v>
      </c>
    </row>
    <row r="32" spans="1:17" ht="12" customHeight="1" x14ac:dyDescent="0.25">
      <c r="A32" s="88" t="s">
        <v>211</v>
      </c>
      <c r="E32" s="183">
        <v>17</v>
      </c>
      <c r="F32" s="185"/>
      <c r="G32" s="185"/>
      <c r="H32" s="551">
        <f>SUM(H30:H31)</f>
        <v>0</v>
      </c>
      <c r="I32" s="185"/>
      <c r="J32" s="185"/>
      <c r="K32" s="185"/>
      <c r="L32" s="185"/>
      <c r="M32" s="185"/>
      <c r="N32" s="185"/>
      <c r="O32" s="185"/>
      <c r="P32" s="185"/>
      <c r="Q32" s="199">
        <v>17</v>
      </c>
    </row>
    <row r="33" spans="1:17" ht="11.25" customHeight="1" x14ac:dyDescent="0.25">
      <c r="A33" s="115" t="s">
        <v>89</v>
      </c>
      <c r="E33" s="186"/>
      <c r="F33" s="187"/>
      <c r="G33" s="646"/>
      <c r="H33" s="203"/>
      <c r="I33" s="145"/>
      <c r="J33" s="145"/>
      <c r="K33" s="145"/>
      <c r="L33" s="145"/>
      <c r="M33" s="145"/>
      <c r="N33" s="145"/>
      <c r="O33" s="145"/>
      <c r="P33" s="187"/>
    </row>
    <row r="34" spans="1:17" ht="12" customHeight="1" x14ac:dyDescent="0.25">
      <c r="A34" s="88" t="s">
        <v>212</v>
      </c>
      <c r="E34" s="186"/>
      <c r="F34" s="190"/>
      <c r="G34" s="647"/>
      <c r="H34" s="204"/>
      <c r="I34" s="191"/>
      <c r="J34" s="191"/>
      <c r="K34" s="191"/>
      <c r="L34" s="191"/>
      <c r="M34" s="191"/>
      <c r="N34" s="191"/>
      <c r="O34" s="191"/>
      <c r="P34" s="190"/>
    </row>
    <row r="35" spans="1:17" ht="12" customHeight="1" x14ac:dyDescent="0.25">
      <c r="A35" s="88"/>
      <c r="B35" t="s">
        <v>197</v>
      </c>
      <c r="E35" s="186">
        <v>18</v>
      </c>
      <c r="F35" s="193"/>
      <c r="G35" s="648"/>
      <c r="H35" s="205"/>
      <c r="I35" s="556">
        <f>SUMIFS('Accounting data'!$G$2:$G$37000,'Accounting data'!$H$2:$H$37000,"1072*",'Accounting data'!$I$2:$I$37000,"265*",'Accounting data'!$J$2:$J$37000,"1*",'Accounting data'!$K$2:$K$37000,"61*")</f>
        <v>0</v>
      </c>
      <c r="J35" s="556">
        <f>SUMIFS('Accounting data'!$G$2:$G$37000,'Accounting data'!$H$2:$H$37000,"1072*",'Accounting data'!$I$2:$I$37000,"265*",'Accounting data'!$J$2:$J$37000,"1*",'Accounting data'!$K$2:$K$37000,"62*")</f>
        <v>0</v>
      </c>
      <c r="K35" s="556">
        <f>SUMIFS('Accounting data'!$G$2:$G$37000,'Accounting data'!$H$2:$H$37000,"1072*",'Accounting data'!$I$2:$I$37000,"265*",'Accounting data'!$J$2:$J$37000,"1*",'Accounting data'!$K$2:$K$37000,"63*")</f>
        <v>0</v>
      </c>
      <c r="L35" s="556">
        <f>SUMIFS('Accounting data'!$G$2:$G$37000,'Accounting data'!$H$2:$H$37000,"1072*",'Accounting data'!$I$2:$I$37000,"265*",'Accounting data'!$J$2:$J$37000,"1*",'Accounting data'!$K$2:$K$37000,"66*")</f>
        <v>0</v>
      </c>
      <c r="M35" s="556">
        <f>SUMIFS('Accounting data'!$G$2:$G$37000,'Accounting data'!$H$2:$H$37000,"1072*",'Accounting data'!$I$2:$I$37000,"265*",'Accounting data'!$J$2:$J$37000,"1*",'Accounting data'!$K$2:$K$37000,"68*")</f>
        <v>0</v>
      </c>
      <c r="N35" s="556">
        <f>[1]!CIP1072P265F1000</f>
        <v>0</v>
      </c>
      <c r="O35" s="556">
        <f>SUM(I35:M35)</f>
        <v>0</v>
      </c>
      <c r="P35" s="193"/>
      <c r="Q35" s="199">
        <v>18</v>
      </c>
    </row>
    <row r="36" spans="1:17" ht="12" customHeight="1" x14ac:dyDescent="0.25">
      <c r="A36" s="88"/>
      <c r="B36" t="s">
        <v>198</v>
      </c>
      <c r="E36" s="183"/>
      <c r="F36" s="187"/>
      <c r="G36" s="647"/>
      <c r="H36" s="835"/>
      <c r="I36" s="188"/>
      <c r="J36" s="188"/>
      <c r="K36" s="188"/>
      <c r="L36" s="188"/>
      <c r="M36" s="188"/>
      <c r="N36" s="188"/>
      <c r="O36" s="188"/>
      <c r="P36" s="187"/>
      <c r="Q36" s="199"/>
    </row>
    <row r="37" spans="1:17" ht="12" customHeight="1" x14ac:dyDescent="0.25">
      <c r="A37" s="88"/>
      <c r="C37" t="s">
        <v>199</v>
      </c>
      <c r="E37" s="183">
        <v>19</v>
      </c>
      <c r="F37" s="193"/>
      <c r="G37" s="647"/>
      <c r="H37" s="835"/>
      <c r="I37" s="556">
        <f>SUMIFS('Accounting data'!$G$2:$G$37000,'Accounting data'!$H$2:$H$37000,"1072*",'Accounting data'!$I$2:$I$37000,"265*",'Accounting data'!$J$2:$J$37000,"21*",'Accounting data'!$K$2:$K$37000,"61*")</f>
        <v>0</v>
      </c>
      <c r="J37" s="556">
        <f>SUMIFS('Accounting data'!$G$2:$G$37000,'Accounting data'!$H$2:$H$37000,"1072*",'Accounting data'!$I$2:$I$37000,"265*",'Accounting data'!$J$2:$J$37000,"21*",'Accounting data'!$K$2:$K$37000,"62*")</f>
        <v>0</v>
      </c>
      <c r="K37" s="556">
        <f>SUMIFS('Accounting data'!$G$2:$G$37000,'Accounting data'!$H$2:$H$37000,"1072*",'Accounting data'!$I$2:$I$37000,"265*",'Accounting data'!$J$2:$J$37000,"21*",'Accounting data'!$K$2:$K$37000,"63*")</f>
        <v>0</v>
      </c>
      <c r="L37" s="556">
        <f>SUMIFS('Accounting data'!$G$2:$G$37000,'Accounting data'!$H$2:$H$37000,"1072*",'Accounting data'!$I$2:$I$37000,"265*",'Accounting data'!$J$2:$J$37000,"21*",'Accounting data'!$K$2:$K$37000,"66*")</f>
        <v>0</v>
      </c>
      <c r="M37" s="556">
        <f>SUMIFS('Accounting data'!$G$2:$G$37000,'Accounting data'!$H$2:$H$37000,"1072*",'Accounting data'!$I$2:$I$37000,"265*",'Accounting data'!$J$2:$J$37000,"21*",'Accounting data'!$K$2:$K$37000,"68*")</f>
        <v>0</v>
      </c>
      <c r="N37" s="556">
        <f>[1]!CIP1072P265F2100</f>
        <v>0</v>
      </c>
      <c r="O37" s="556">
        <f>SUM(I37:M37)</f>
        <v>0</v>
      </c>
      <c r="P37" s="193"/>
      <c r="Q37" s="199">
        <v>19</v>
      </c>
    </row>
    <row r="38" spans="1:17" ht="12" customHeight="1" x14ac:dyDescent="0.25">
      <c r="A38" s="88"/>
      <c r="C38" t="s">
        <v>200</v>
      </c>
      <c r="E38" s="183">
        <v>20</v>
      </c>
      <c r="F38" s="195"/>
      <c r="G38" s="649"/>
      <c r="H38" s="196"/>
      <c r="I38" s="551">
        <f>SUMIFS('Accounting data'!$G$2:$G$37000,'Accounting data'!$H$2:$H$37000,"1072*",'Accounting data'!$I$2:$I$37000,"265*",'Accounting data'!$J$2:$J$37000,"22*",'Accounting data'!$K$2:$K$37000,"61*")</f>
        <v>0</v>
      </c>
      <c r="J38" s="551">
        <f>SUMIFS('Accounting data'!$G$2:$G$37000,'Accounting data'!$H$2:$H$37000,"1072*",'Accounting data'!$I$2:$I$37000,"265*",'Accounting data'!$J$2:$J$37000,"22*",'Accounting data'!$K$2:$K$37000,"62*")</f>
        <v>0</v>
      </c>
      <c r="K38" s="551">
        <f>SUMIFS('Accounting data'!$G$2:$G$37000,'Accounting data'!$H$2:$H$37000,"1072*",'Accounting data'!$I$2:$I$37000,"265*",'Accounting data'!$J$2:$J$37000,"22*",'Accounting data'!$K$2:$K$37000,"63*")</f>
        <v>0</v>
      </c>
      <c r="L38" s="551">
        <f>SUMIFS('Accounting data'!$G$2:$G$37000,'Accounting data'!$H$2:$H$37000,"1072*",'Accounting data'!$I$2:$I$37000,"265*",'Accounting data'!$J$2:$J$37000,"22*",'Accounting data'!$K$2:$K$37000,"66*")</f>
        <v>0</v>
      </c>
      <c r="M38" s="551">
        <f>SUMIFS('Accounting data'!$G$2:$G$37000,'Accounting data'!$H$2:$H$37000,"1072*",'Accounting data'!$I$2:$I$37000,"265*",'Accounting data'!$J$2:$J$37000,"22*",'Accounting data'!$K$2:$K$37000,"68*")</f>
        <v>0</v>
      </c>
      <c r="N38" s="549">
        <f>[1]!CIP1072P265F2200</f>
        <v>0</v>
      </c>
      <c r="O38" s="551">
        <f t="shared" ref="O38:O43" si="2">SUM(I38:M38)</f>
        <v>0</v>
      </c>
      <c r="P38" s="195"/>
      <c r="Q38" s="199">
        <v>20</v>
      </c>
    </row>
    <row r="39" spans="1:17" ht="12" customHeight="1" x14ac:dyDescent="0.25">
      <c r="A39" s="88"/>
      <c r="C39" t="s">
        <v>201</v>
      </c>
      <c r="E39" s="183">
        <v>21</v>
      </c>
      <c r="F39" s="195"/>
      <c r="G39" s="649"/>
      <c r="H39" s="196"/>
      <c r="I39" s="551">
        <f>SUMIFS('Accounting data'!$G$2:$G$37000,'Accounting data'!$H$2:$H$37000,"1072*",'Accounting data'!$I$2:$I$37000,"265*",'Accounting data'!$J$2:$J$37000,"23*",'Accounting data'!$K$2:$K$37000,"61*")</f>
        <v>0</v>
      </c>
      <c r="J39" s="551">
        <f>SUMIFS('Accounting data'!$G$2:$G$37000,'Accounting data'!$H$2:$H$37000,"1072*",'Accounting data'!$I$2:$I$37000,"265*",'Accounting data'!$J$2:$J$37000,"23*",'Accounting data'!$K$2:$K$37000,"62*")</f>
        <v>0</v>
      </c>
      <c r="K39" s="551">
        <f>SUMIFS('Accounting data'!$G$2:$G$37000,'Accounting data'!$H$2:$H$37000,"1072*",'Accounting data'!$I$2:$I$37000,"265*",'Accounting data'!$J$2:$J$37000,"23*",'Accounting data'!$K$2:$K$37000,"63*")</f>
        <v>0</v>
      </c>
      <c r="L39" s="551">
        <f>SUMIFS('Accounting data'!$G$2:$G$37000,'Accounting data'!$H$2:$H$37000,"1072*",'Accounting data'!$I$2:$I$37000,"265*",'Accounting data'!$J$2:$J$37000,"23*",'Accounting data'!$K$2:$K$37000,"66*")</f>
        <v>0</v>
      </c>
      <c r="M39" s="551">
        <f>SUMIFS('Accounting data'!$G$2:$G$37000,'Accounting data'!$H$2:$H$37000,"1072*",'Accounting data'!$I$2:$I$37000,"265*",'Accounting data'!$J$2:$J$37000,"23*",'Accounting data'!$K$2:$K$37000,"68*")</f>
        <v>0</v>
      </c>
      <c r="N39" s="549">
        <f>[1]!CIP1072P265F2300</f>
        <v>0</v>
      </c>
      <c r="O39" s="551">
        <f t="shared" si="2"/>
        <v>0</v>
      </c>
      <c r="P39" s="195"/>
      <c r="Q39" s="199">
        <v>21</v>
      </c>
    </row>
    <row r="40" spans="1:17" ht="12" customHeight="1" x14ac:dyDescent="0.25">
      <c r="A40" s="88"/>
      <c r="C40" t="s">
        <v>202</v>
      </c>
      <c r="E40" s="183">
        <v>22</v>
      </c>
      <c r="F40" s="195"/>
      <c r="G40" s="649"/>
      <c r="H40" s="196"/>
      <c r="I40" s="551">
        <f>SUMIFS('Accounting data'!$G$2:$G$37000,'Accounting data'!$H$2:$H$37000,"1072*",'Accounting data'!$I$2:$I$37000,"265*",'Accounting data'!$J$2:$J$37000,"24*",'Accounting data'!$K$2:$K$37000,"61*")</f>
        <v>0</v>
      </c>
      <c r="J40" s="551">
        <f>SUMIFS('Accounting data'!$G$2:$G$37000,'Accounting data'!$H$2:$H$37000,"1072*",'Accounting data'!$I$2:$I$37000,"265*",'Accounting data'!$J$2:$J$37000,"24*",'Accounting data'!$K$2:$K$37000,"62*")</f>
        <v>0</v>
      </c>
      <c r="K40" s="551">
        <f>SUMIFS('Accounting data'!$G$2:$G$37000,'Accounting data'!$H$2:$H$37000,"1072*",'Accounting data'!$I$2:$I$37000,"265*",'Accounting data'!$J$2:$J$37000,"24*",'Accounting data'!$K$2:$K$37000,"63*")</f>
        <v>0</v>
      </c>
      <c r="L40" s="551">
        <f>SUMIFS('Accounting data'!$G$2:$G$37000,'Accounting data'!$H$2:$H$37000,"1072*",'Accounting data'!$I$2:$I$37000,"265*",'Accounting data'!$J$2:$J$37000,"24*",'Accounting data'!$K$2:$K$37000,"66*")</f>
        <v>0</v>
      </c>
      <c r="M40" s="551">
        <f>SUMIFS('Accounting data'!$G$2:$G$37000,'Accounting data'!$H$2:$H$37000,"1072*",'Accounting data'!$I$2:$I$37000,"265*",'Accounting data'!$J$2:$J$37000,"24*",'Accounting data'!$K$2:$K$37000,"68*")</f>
        <v>0</v>
      </c>
      <c r="N40" s="549">
        <f>[1]!CIP1072P265F2400</f>
        <v>0</v>
      </c>
      <c r="O40" s="551">
        <f t="shared" si="2"/>
        <v>0</v>
      </c>
      <c r="P40" s="195"/>
      <c r="Q40" s="199">
        <v>22</v>
      </c>
    </row>
    <row r="41" spans="1:17" ht="12" customHeight="1" x14ac:dyDescent="0.25">
      <c r="A41" s="88"/>
      <c r="C41" t="s">
        <v>203</v>
      </c>
      <c r="E41" s="183">
        <v>23</v>
      </c>
      <c r="F41" s="195"/>
      <c r="G41" s="649"/>
      <c r="H41" s="196"/>
      <c r="I41" s="551">
        <f>SUMIFS('Accounting data'!$G$2:$G$37000,'Accounting data'!$H$2:$H$37000,"1072*",'Accounting data'!$I$2:$I$37000,"265*",'Accounting data'!$J$2:$J$37000,"25*",'Accounting data'!$K$2:$K$37000,"61*")</f>
        <v>0</v>
      </c>
      <c r="J41" s="551">
        <f>SUMIFS('Accounting data'!$G$2:$G$37000,'Accounting data'!$H$2:$H$37000,"1072*",'Accounting data'!$I$2:$I$37000,"265*",'Accounting data'!$J$2:$J$37000,"25*",'Accounting data'!$K$2:$K$37000,"62*")</f>
        <v>0</v>
      </c>
      <c r="K41" s="551">
        <f>SUMIFS('Accounting data'!$G$2:$G$37000,'Accounting data'!$H$2:$H$37000,"1072*",'Accounting data'!$I$2:$I$37000,"265*",'Accounting data'!$J$2:$J$37000,"25*",'Accounting data'!$K$2:$K$37000,"63*")</f>
        <v>0</v>
      </c>
      <c r="L41" s="551">
        <f>SUMIFS('Accounting data'!$G$2:$G$37000,'Accounting data'!$H$2:$H$37000,"1072*",'Accounting data'!$I$2:$I$37000,"265*",'Accounting data'!$J$2:$J$37000,"25*",'Accounting data'!$K$2:$K$37000,"66*")</f>
        <v>0</v>
      </c>
      <c r="M41" s="551">
        <f>SUMIFS('Accounting data'!$G$2:$G$37000,'Accounting data'!$H$2:$H$37000,"1072*",'Accounting data'!$I$2:$I$37000,"265*",'Accounting data'!$J$2:$J$37000,"25*",'Accounting data'!$K$2:$K$37000,"68*")</f>
        <v>0</v>
      </c>
      <c r="N41" s="549">
        <f>[1]!CIP1072P265F2500</f>
        <v>0</v>
      </c>
      <c r="O41" s="551">
        <f t="shared" si="2"/>
        <v>0</v>
      </c>
      <c r="P41" s="195"/>
      <c r="Q41" s="199">
        <v>23</v>
      </c>
    </row>
    <row r="42" spans="1:17" ht="12" customHeight="1" x14ac:dyDescent="0.25">
      <c r="A42" s="88"/>
      <c r="C42" t="s">
        <v>204</v>
      </c>
      <c r="E42" s="183">
        <v>24</v>
      </c>
      <c r="F42" s="195"/>
      <c r="G42" s="649"/>
      <c r="H42" s="196"/>
      <c r="I42" s="551">
        <f>SUMIFS('Accounting data'!$G$2:$G$37000,'Accounting data'!$H$2:$H$37000,"1072*",'Accounting data'!$I$2:$I$37000,"265*",'Accounting data'!$J$2:$J$37000,"26*",'Accounting data'!$K$2:$K$37000,"61*")</f>
        <v>0</v>
      </c>
      <c r="J42" s="551">
        <f>SUMIFS('Accounting data'!$G$2:$G$37000,'Accounting data'!$H$2:$H$37000,"1072*",'Accounting data'!$I$2:$I$37000,"265*",'Accounting data'!$J$2:$J$37000,"26*",'Accounting data'!$K$2:$K$37000,"62*")</f>
        <v>0</v>
      </c>
      <c r="K42" s="551">
        <f>SUMIFS('Accounting data'!$G$2:$G$37000,'Accounting data'!$H$2:$H$37000,"1072*",'Accounting data'!$I$2:$I$37000,"265*",'Accounting data'!$J$2:$J$37000,"26*",'Accounting data'!$K$2:$K$37000,"63*")</f>
        <v>0</v>
      </c>
      <c r="L42" s="551">
        <f>SUMIFS('Accounting data'!$G$2:$G$37000,'Accounting data'!$H$2:$H$37000,"1072*",'Accounting data'!$I$2:$I$37000,"265*",'Accounting data'!$J$2:$J$37000,"26*",'Accounting data'!$K$2:$K$37000,"66*")</f>
        <v>0</v>
      </c>
      <c r="M42" s="551">
        <f>SUMIFS('Accounting data'!$G$2:$G$37000,'Accounting data'!$H$2:$H$37000,"1072*",'Accounting data'!$I$2:$I$37000,"265*",'Accounting data'!$J$2:$J$37000,"26*",'Accounting data'!$K$2:$K$37000,"68*")</f>
        <v>0</v>
      </c>
      <c r="N42" s="549">
        <f>[1]!CIP1072P265F2600</f>
        <v>0</v>
      </c>
      <c r="O42" s="551">
        <f t="shared" si="2"/>
        <v>0</v>
      </c>
      <c r="P42" s="195"/>
      <c r="Q42" s="199">
        <v>24</v>
      </c>
    </row>
    <row r="43" spans="1:17" ht="12" customHeight="1" x14ac:dyDescent="0.25">
      <c r="A43" s="88"/>
      <c r="C43" t="s">
        <v>205</v>
      </c>
      <c r="E43" s="183">
        <v>25</v>
      </c>
      <c r="F43" s="195"/>
      <c r="G43" s="649"/>
      <c r="H43" s="196"/>
      <c r="I43" s="551">
        <f>SUMIFS('Accounting data'!$G$2:$G$37000,'Accounting data'!$H$2:$H$37000,"1072*",'Accounting data'!$I$2:$I$37000,"265*",'Accounting data'!$J$2:$J$37000,"29*",'Accounting data'!$K$2:$K$37000,"61*")</f>
        <v>0</v>
      </c>
      <c r="J43" s="551">
        <f>SUMIFS('Accounting data'!$G$2:$G$37000,'Accounting data'!$H$2:$H$37000,"1072*",'Accounting data'!$I$2:$I$37000,"265*",'Accounting data'!$J$2:$J$37000,"29*",'Accounting data'!$K$2:$K$37000,"62*")</f>
        <v>0</v>
      </c>
      <c r="K43" s="551">
        <f>SUMIFS('Accounting data'!$G$2:$G$37000,'Accounting data'!$H$2:$H$37000,"1072*",'Accounting data'!$I$2:$I$37000,"265*",'Accounting data'!$J$2:$J$37000,"29*",'Accounting data'!$K$2:$K$37000,"63*")</f>
        <v>0</v>
      </c>
      <c r="L43" s="551">
        <f>SUMIFS('Accounting data'!$G$2:$G$37000,'Accounting data'!$H$2:$H$37000,"1072*",'Accounting data'!$I$2:$I$37000,"265*",'Accounting data'!$J$2:$J$37000,"29*",'Accounting data'!$K$2:$K$37000,"66*")</f>
        <v>0</v>
      </c>
      <c r="M43" s="551">
        <f>SUMIFS('Accounting data'!$G$2:$G$37000,'Accounting data'!$H$2:$H$37000,"1072*",'Accounting data'!$I$2:$I$37000,"265*",'Accounting data'!$J$2:$J$37000,"29*",'Accounting data'!$K$2:$K$37000,"68*")</f>
        <v>0</v>
      </c>
      <c r="N43" s="549">
        <f>[1]!CIP1072P265F2900</f>
        <v>0</v>
      </c>
      <c r="O43" s="551">
        <f t="shared" si="2"/>
        <v>0</v>
      </c>
      <c r="P43" s="195"/>
      <c r="Q43" s="199">
        <v>25</v>
      </c>
    </row>
    <row r="44" spans="1:17" ht="12" customHeight="1" x14ac:dyDescent="0.25">
      <c r="A44" s="92"/>
      <c r="B44" s="6" t="s">
        <v>213</v>
      </c>
      <c r="C44" s="6"/>
      <c r="D44" s="6"/>
      <c r="E44" s="179">
        <v>26</v>
      </c>
      <c r="F44" s="195"/>
      <c r="G44" s="649"/>
      <c r="H44" s="196"/>
      <c r="I44" s="206">
        <f>SUM(I35:I43)</f>
        <v>0</v>
      </c>
      <c r="J44" s="206">
        <f t="shared" ref="J44:M44" si="3">SUM(J35:J43)</f>
        <v>0</v>
      </c>
      <c r="K44" s="206">
        <f>SUM(K35:K43)</f>
        <v>0</v>
      </c>
      <c r="L44" s="206">
        <f>SUM(L35:L43)</f>
        <v>0</v>
      </c>
      <c r="M44" s="206">
        <f t="shared" si="3"/>
        <v>0</v>
      </c>
      <c r="N44" s="206">
        <f>SUM(N35:N43)</f>
        <v>0</v>
      </c>
      <c r="O44" s="206">
        <f>SUM(O35:O43)</f>
        <v>0</v>
      </c>
      <c r="P44" s="195"/>
      <c r="Q44" s="199">
        <v>26</v>
      </c>
    </row>
    <row r="45" spans="1:17" ht="12" customHeight="1" x14ac:dyDescent="0.25">
      <c r="A45" s="88" t="s">
        <v>214</v>
      </c>
      <c r="E45" s="183"/>
      <c r="F45" s="187"/>
      <c r="G45" s="646"/>
      <c r="H45" s="834"/>
      <c r="I45" s="145"/>
      <c r="J45" s="145"/>
      <c r="K45" s="145"/>
      <c r="L45" s="145"/>
      <c r="M45" s="145"/>
      <c r="N45" s="145"/>
      <c r="O45" s="145"/>
      <c r="P45" s="187"/>
      <c r="Q45" s="199"/>
    </row>
    <row r="46" spans="1:17" ht="12" customHeight="1" x14ac:dyDescent="0.25">
      <c r="A46" s="88"/>
      <c r="B46" t="s">
        <v>198</v>
      </c>
      <c r="E46" s="183"/>
      <c r="F46" s="190"/>
      <c r="G46" s="647"/>
      <c r="H46" s="835"/>
      <c r="I46" s="191"/>
      <c r="J46" s="191"/>
      <c r="K46" s="191"/>
      <c r="L46" s="191"/>
      <c r="M46" s="191"/>
      <c r="N46" s="191"/>
      <c r="O46" s="191"/>
      <c r="P46" s="190"/>
      <c r="Q46" s="199"/>
    </row>
    <row r="47" spans="1:17" ht="12" customHeight="1" x14ac:dyDescent="0.25">
      <c r="A47" s="88"/>
      <c r="C47" t="s">
        <v>208</v>
      </c>
      <c r="E47" s="183">
        <v>27</v>
      </c>
      <c r="F47" s="190"/>
      <c r="G47" s="647"/>
      <c r="H47" s="835"/>
      <c r="I47" s="556">
        <f>SUMIFS('Accounting data'!$G$2:$G$37000,'Accounting data'!$H$2:$H$37000,"1072*",'Accounting data'!$I$2:$I$37000,"435*",'Accounting data'!$J$2:$J$37000,"27*",'Accounting data'!$K$2:$K$37000,"61*")</f>
        <v>0</v>
      </c>
      <c r="J47" s="556">
        <f>SUMIFS('Accounting data'!$G$2:$G$37000,'Accounting data'!$H$2:$H$37000,"1072*",'Accounting data'!$I$2:$I$37000,"435*",'Accounting data'!$J$2:$J$37000,"27*",'Accounting data'!$K$2:$K$37000,"62*")</f>
        <v>0</v>
      </c>
      <c r="K47" s="556">
        <f>SUMIFS('Accounting data'!$G$2:$G$37000,'Accounting data'!$H$2:$H$37000,"1072*",'Accounting data'!$I$2:$I$37000,"435*",'Accounting data'!$J$2:$J$37000,"27*",'Accounting data'!$K$2:$K$37000,"63*")</f>
        <v>0</v>
      </c>
      <c r="L47" s="556">
        <f>SUMIFS('Accounting data'!$G$2:$G$37000,'Accounting data'!$H$2:$H$37000,"1072*",'Accounting data'!$I$2:$I$37000,"435*",'Accounting data'!$J$2:$J$37000,"27*",'Accounting data'!$K$2:$K$37000,"66*")</f>
        <v>0</v>
      </c>
      <c r="M47" s="556">
        <f>SUMIFS('Accounting data'!$G$2:$G$37000,'Accounting data'!$H$2:$H$37000,"1072*",'Accounting data'!$I$2:$I$37000,"435*",'Accounting data'!$J$2:$J$37000,"27*",'Accounting data'!$K$2:$K$37000,"68*")</f>
        <v>0</v>
      </c>
      <c r="N47" s="556">
        <f>[1]!CIP1072P435F2700</f>
        <v>0</v>
      </c>
      <c r="O47" s="556">
        <f>SUM(I47:M47)</f>
        <v>0</v>
      </c>
      <c r="P47" s="190"/>
      <c r="Q47" s="199">
        <v>27</v>
      </c>
    </row>
    <row r="48" spans="1:17" ht="12" customHeight="1" x14ac:dyDescent="0.25">
      <c r="A48" s="98" t="s">
        <v>215</v>
      </c>
      <c r="B48" s="99"/>
      <c r="C48" s="99"/>
      <c r="D48" s="99"/>
      <c r="E48" s="200">
        <v>28</v>
      </c>
      <c r="F48" s="549">
        <f>[2]!CIP1072EndBal</f>
        <v>0</v>
      </c>
      <c r="G48" s="53"/>
      <c r="H48" s="551">
        <f>H32</f>
        <v>0</v>
      </c>
      <c r="I48" s="556">
        <f t="shared" ref="I48:M48" si="4">SUM(I44:I47)</f>
        <v>0</v>
      </c>
      <c r="J48" s="556">
        <f t="shared" si="4"/>
        <v>0</v>
      </c>
      <c r="K48" s="556">
        <f t="shared" si="4"/>
        <v>0</v>
      </c>
      <c r="L48" s="556">
        <f t="shared" si="4"/>
        <v>0</v>
      </c>
      <c r="M48" s="556">
        <f t="shared" si="4"/>
        <v>0</v>
      </c>
      <c r="N48" s="551">
        <f>SUM(N44:N47)</f>
        <v>0</v>
      </c>
      <c r="O48" s="551">
        <f>SUM(O44:O47)</f>
        <v>0</v>
      </c>
      <c r="P48" s="551">
        <f>IF(G48="",F48,G48)+H48-O48</f>
        <v>0</v>
      </c>
      <c r="Q48" s="199">
        <v>28</v>
      </c>
    </row>
  </sheetData>
  <sheetProtection sheet="1" formatCells="0" formatColumns="0" formatRows="0"/>
  <mergeCells count="31">
    <mergeCell ref="D1:E1"/>
    <mergeCell ref="K1:L1"/>
    <mergeCell ref="A27:M27"/>
    <mergeCell ref="I6:I7"/>
    <mergeCell ref="J6:J7"/>
    <mergeCell ref="K6:K7"/>
    <mergeCell ref="G3:G5"/>
    <mergeCell ref="F28:F29"/>
    <mergeCell ref="F6:F7"/>
    <mergeCell ref="N3:O3"/>
    <mergeCell ref="N14:N15"/>
    <mergeCell ref="N6:N7"/>
    <mergeCell ref="P6:P7"/>
    <mergeCell ref="H11:H13"/>
    <mergeCell ref="H23:H25"/>
    <mergeCell ref="H14:H15"/>
    <mergeCell ref="H6:H7"/>
    <mergeCell ref="L6:L7"/>
    <mergeCell ref="M6:M7"/>
    <mergeCell ref="H45:H47"/>
    <mergeCell ref="N28:N29"/>
    <mergeCell ref="O28:O29"/>
    <mergeCell ref="P28:P29"/>
    <mergeCell ref="O14:O15"/>
    <mergeCell ref="H28:H29"/>
    <mergeCell ref="H36:H37"/>
    <mergeCell ref="I28:I29"/>
    <mergeCell ref="J28:J29"/>
    <mergeCell ref="K28:K29"/>
    <mergeCell ref="L28:L29"/>
    <mergeCell ref="M28:M29"/>
  </mergeCells>
  <conditionalFormatting sqref="G26">
    <cfRule type="containsBlanks" dxfId="67" priority="2">
      <formula>LEN(TRIM(G26))=0</formula>
    </cfRule>
  </conditionalFormatting>
  <conditionalFormatting sqref="G48">
    <cfRule type="containsBlanks" dxfId="66" priority="1">
      <formula>LEN(TRIM(G48))=0</formula>
    </cfRule>
  </conditionalFormatting>
  <hyperlinks>
    <hyperlink ref="G3" location="Page5AdjBeginProjBal" display="Adjusted" xr:uid="{0B1C98DD-F905-41A8-9AA6-3B0FC30A78BF}"/>
  </hyperlinks>
  <pageMargins left="0.7" right="0.7" top="0.75" bottom="0.75" header="0.3" footer="0.3"/>
  <pageSetup scale="70" orientation="landscape" r:id="rId1"/>
  <headerFooter>
    <oddFooter>&amp;LRev. 8/25 Arizona Department of Education and Auditor General&amp;CFY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2BCD-3477-455C-B39B-27A606227B57}">
  <sheetPr>
    <pageSetUpPr fitToPage="1"/>
  </sheetPr>
  <dimension ref="A1:AA41"/>
  <sheetViews>
    <sheetView showGridLines="0" topLeftCell="A13" workbookViewId="0">
      <selection activeCell="G40" sqref="G40:G41"/>
    </sheetView>
  </sheetViews>
  <sheetFormatPr defaultColWidth="9.33203125" defaultRowHeight="13.2" x14ac:dyDescent="0.25"/>
  <cols>
    <col min="1" max="1" width="3.77734375" customWidth="1"/>
    <col min="2" max="2" width="33.33203125" customWidth="1"/>
    <col min="3" max="3" width="2" customWidth="1"/>
    <col min="4" max="4" width="16" customWidth="1"/>
    <col min="5" max="5" width="3" customWidth="1"/>
    <col min="6" max="6" width="12.77734375" customWidth="1"/>
    <col min="7" max="7" width="13" customWidth="1"/>
    <col min="8" max="9" width="3.77734375" customWidth="1"/>
    <col min="10" max="10" width="2.33203125" customWidth="1"/>
    <col min="11" max="11" width="11" customWidth="1"/>
    <col min="12" max="12" width="18.6640625" customWidth="1"/>
    <col min="13" max="13" width="6.33203125" customWidth="1"/>
    <col min="14" max="14" width="5.33203125" customWidth="1"/>
    <col min="15" max="15" width="7.33203125" customWidth="1"/>
    <col min="16" max="16" width="6.77734375" customWidth="1"/>
    <col min="17" max="17" width="9" customWidth="1"/>
    <col min="18" max="18" width="15.77734375" customWidth="1"/>
    <col min="19" max="19" width="15" customWidth="1"/>
    <col min="20" max="20" width="15.33203125" customWidth="1"/>
    <col min="21" max="21" width="12.77734375" customWidth="1"/>
    <col min="22" max="22" width="15.77734375" customWidth="1"/>
    <col min="23" max="23" width="9.33203125" customWidth="1"/>
  </cols>
  <sheetData>
    <row r="1" spans="1:27" ht="12" customHeight="1" x14ac:dyDescent="0.25">
      <c r="A1" s="548" t="s">
        <v>0</v>
      </c>
      <c r="C1" s="810" t="str">
        <f>'Cover Page'!D1</f>
        <v>The Edge School, Inc</v>
      </c>
      <c r="D1" s="810"/>
      <c r="E1" s="810"/>
      <c r="F1" s="810"/>
      <c r="H1" t="s">
        <v>20</v>
      </c>
      <c r="I1" s="548" t="s">
        <v>1</v>
      </c>
      <c r="L1" s="1" t="str">
        <f>'Cover Page'!M1</f>
        <v>Pima</v>
      </c>
      <c r="T1" s="61" t="s">
        <v>2</v>
      </c>
      <c r="U1" s="207" t="str">
        <f>'Cover Page'!R1</f>
        <v>108653000</v>
      </c>
    </row>
    <row r="2" spans="1:27" hidden="1" x14ac:dyDescent="0.25">
      <c r="T2" s="68"/>
      <c r="U2" s="68"/>
    </row>
    <row r="3" spans="1:27" x14ac:dyDescent="0.25">
      <c r="V3" s="153"/>
    </row>
    <row r="4" spans="1:27" x14ac:dyDescent="0.25">
      <c r="A4" s="208" t="s">
        <v>216</v>
      </c>
      <c r="B4" s="68"/>
      <c r="C4" s="68"/>
      <c r="D4" s="68"/>
      <c r="E4" s="68"/>
      <c r="F4" s="68"/>
      <c r="G4" s="68"/>
      <c r="H4" s="68"/>
      <c r="I4" s="68"/>
      <c r="J4" s="68"/>
      <c r="K4" s="68"/>
      <c r="L4" s="68"/>
      <c r="M4" s="68"/>
      <c r="N4" s="68"/>
      <c r="O4" s="68"/>
      <c r="P4" s="68"/>
      <c r="Q4" s="68"/>
      <c r="R4" s="68"/>
      <c r="S4" s="68"/>
      <c r="T4" s="68"/>
      <c r="U4" s="68"/>
    </row>
    <row r="5" spans="1:27" x14ac:dyDescent="0.25">
      <c r="B5" s="689" t="s">
        <v>726</v>
      </c>
      <c r="D5" s="678" t="s">
        <v>1313</v>
      </c>
      <c r="F5" s="678" t="s">
        <v>1314</v>
      </c>
    </row>
    <row r="6" spans="1:27" x14ac:dyDescent="0.25">
      <c r="A6" t="s">
        <v>217</v>
      </c>
      <c r="B6" t="s">
        <v>218</v>
      </c>
      <c r="C6" s="7" t="s">
        <v>16</v>
      </c>
      <c r="D6" s="209">
        <f>[2]!CashBal</f>
        <v>470192</v>
      </c>
      <c r="E6" s="7" t="s">
        <v>16</v>
      </c>
      <c r="F6" s="57">
        <v>294278</v>
      </c>
      <c r="I6" t="s">
        <v>219</v>
      </c>
      <c r="J6" s="210" t="s">
        <v>24</v>
      </c>
      <c r="K6" s="211" t="s">
        <v>220</v>
      </c>
      <c r="L6" s="653"/>
      <c r="M6" s="652"/>
      <c r="N6" s="653"/>
      <c r="O6" s="652"/>
      <c r="P6" s="212"/>
      <c r="Q6" s="213"/>
      <c r="T6" s="26">
        <v>4</v>
      </c>
      <c r="U6" s="816"/>
      <c r="V6" s="816"/>
      <c r="W6" s="816"/>
      <c r="X6" s="816"/>
      <c r="Y6" s="816"/>
      <c r="Z6" s="816"/>
      <c r="AA6" s="816"/>
    </row>
    <row r="7" spans="1:27" x14ac:dyDescent="0.25">
      <c r="D7" s="215"/>
      <c r="F7" s="215"/>
      <c r="J7" s="210" t="s">
        <v>26</v>
      </c>
      <c r="K7" s="211" t="s">
        <v>221</v>
      </c>
      <c r="L7" s="653"/>
      <c r="M7" s="652"/>
      <c r="N7" s="653"/>
      <c r="O7" s="652"/>
      <c r="P7" s="212"/>
      <c r="Q7" s="213"/>
      <c r="T7" s="26">
        <v>7</v>
      </c>
      <c r="AA7" s="216" t="str">
        <f>IF(OR(CashBal="",F9="",G9="",F10="",G10="",G14="",G15="",G16="",G17="",G18="",G19="",F23="",F24="",F25="",F26="",F27="",F28="",G33="",G34="",G35="",G36="",G38="",G40=""),"yes","")</f>
        <v/>
      </c>
    </row>
    <row r="8" spans="1:27" x14ac:dyDescent="0.25">
      <c r="A8" t="s">
        <v>222</v>
      </c>
      <c r="B8" s="211" t="s">
        <v>223</v>
      </c>
      <c r="C8" s="7"/>
      <c r="E8" s="7"/>
      <c r="F8" s="580" t="s">
        <v>98</v>
      </c>
      <c r="G8" s="580" t="s">
        <v>23</v>
      </c>
      <c r="J8" s="210" t="s">
        <v>28</v>
      </c>
      <c r="K8" s="211" t="s">
        <v>224</v>
      </c>
      <c r="L8" s="653"/>
      <c r="M8" s="652"/>
      <c r="N8" s="653"/>
      <c r="O8" s="652"/>
      <c r="P8" s="212"/>
      <c r="Q8" s="213"/>
      <c r="T8" s="29">
        <v>1</v>
      </c>
      <c r="AA8" s="216" t="str">
        <f>IF(OR(T6="",T7="",T8="",T9="",T10="",T11="",T12="",T13="",T29=""),"yes","")</f>
        <v/>
      </c>
    </row>
    <row r="9" spans="1:27" x14ac:dyDescent="0.25">
      <c r="B9" t="s">
        <v>225</v>
      </c>
      <c r="C9" s="7"/>
      <c r="E9" s="7"/>
      <c r="F9" s="53">
        <v>9700</v>
      </c>
      <c r="G9" s="53">
        <v>10845</v>
      </c>
      <c r="J9" s="217" t="s">
        <v>31</v>
      </c>
      <c r="K9" t="s">
        <v>226</v>
      </c>
      <c r="T9" s="27">
        <v>2</v>
      </c>
      <c r="AA9" s="216" t="str">
        <f>IF(OR(M19="",P19="",R19="",S19="",T19="",M20="",P20="",R20="",S20="",T20="",M21="",P21="",R21="",S21="",T21="",M22="",P22="",R22="",S22="",T22="",M24="",P24="",R24="",S24="",T24=""),"yes","")</f>
        <v/>
      </c>
    </row>
    <row r="10" spans="1:27" ht="13.8" thickBot="1" x14ac:dyDescent="0.3">
      <c r="B10" t="s">
        <v>227</v>
      </c>
      <c r="F10" s="56">
        <v>0</v>
      </c>
      <c r="G10" s="56">
        <v>0</v>
      </c>
      <c r="J10" s="217" t="s">
        <v>33</v>
      </c>
      <c r="K10" t="s">
        <v>228</v>
      </c>
      <c r="T10" s="26">
        <v>180</v>
      </c>
      <c r="AA10" s="216" t="str">
        <f>IF(AND(AA7="",AA8="",AA9=""),"","yes")</f>
        <v/>
      </c>
    </row>
    <row r="11" spans="1:27" ht="13.8" thickBot="1" x14ac:dyDescent="0.3">
      <c r="B11" t="s">
        <v>229</v>
      </c>
      <c r="F11" s="219">
        <f>SUM(F9:F10)</f>
        <v>9700</v>
      </c>
      <c r="G11" s="219">
        <f>SUM(G9:G10)</f>
        <v>10845</v>
      </c>
      <c r="J11" s="90" t="s">
        <v>35</v>
      </c>
      <c r="K11" t="s">
        <v>230</v>
      </c>
      <c r="S11" s="7" t="s">
        <v>16</v>
      </c>
      <c r="T11" s="27">
        <v>0</v>
      </c>
    </row>
    <row r="12" spans="1:27" ht="13.8" thickTop="1" x14ac:dyDescent="0.25">
      <c r="J12" s="90" t="s">
        <v>36</v>
      </c>
      <c r="K12" t="s">
        <v>231</v>
      </c>
      <c r="S12" s="7" t="s">
        <v>16</v>
      </c>
      <c r="T12" s="27">
        <v>0</v>
      </c>
    </row>
    <row r="13" spans="1:27" x14ac:dyDescent="0.25">
      <c r="A13" t="s">
        <v>232</v>
      </c>
      <c r="B13" s="211" t="s">
        <v>233</v>
      </c>
      <c r="F13" s="580" t="s">
        <v>98</v>
      </c>
      <c r="G13" s="580" t="s">
        <v>23</v>
      </c>
      <c r="J13" s="90" t="s">
        <v>38</v>
      </c>
      <c r="K13" t="s">
        <v>234</v>
      </c>
      <c r="S13" s="7" t="s">
        <v>16</v>
      </c>
      <c r="T13" s="573">
        <v>0</v>
      </c>
    </row>
    <row r="14" spans="1:27" x14ac:dyDescent="0.25">
      <c r="B14" t="s">
        <v>235</v>
      </c>
      <c r="F14" s="549">
        <f>[1]!CA0181IntangibleAssets</f>
        <v>0</v>
      </c>
      <c r="G14" s="51">
        <v>0</v>
      </c>
      <c r="J14" s="90"/>
      <c r="T14" s="7"/>
      <c r="U14" s="220"/>
    </row>
    <row r="15" spans="1:27" x14ac:dyDescent="0.25">
      <c r="B15" t="s">
        <v>236</v>
      </c>
      <c r="F15" s="549">
        <f>[1]!CA0191Land</f>
        <v>0</v>
      </c>
      <c r="G15" s="51">
        <v>0</v>
      </c>
    </row>
    <row r="16" spans="1:27" ht="12.75" customHeight="1" x14ac:dyDescent="0.25">
      <c r="B16" t="s">
        <v>237</v>
      </c>
      <c r="F16" s="549">
        <f>[1]!CA0192SiteImprovements</f>
        <v>0</v>
      </c>
      <c r="G16" s="51">
        <v>0</v>
      </c>
      <c r="M16" s="854" t="s">
        <v>238</v>
      </c>
      <c r="N16" s="855"/>
      <c r="O16" s="856"/>
      <c r="P16" s="854" t="s">
        <v>239</v>
      </c>
      <c r="Q16" s="856"/>
      <c r="R16" s="221" t="s">
        <v>238</v>
      </c>
      <c r="S16" s="221" t="s">
        <v>239</v>
      </c>
      <c r="T16" s="221" t="s">
        <v>240</v>
      </c>
      <c r="V16" s="8"/>
      <c r="W16" s="8"/>
    </row>
    <row r="17" spans="1:21" ht="12.75" customHeight="1" x14ac:dyDescent="0.25">
      <c r="B17" t="s">
        <v>241</v>
      </c>
      <c r="F17" s="549">
        <f>[1]!CA0194Buildings</f>
        <v>0</v>
      </c>
      <c r="G17" s="51">
        <v>0</v>
      </c>
      <c r="I17" t="s">
        <v>242</v>
      </c>
      <c r="J17" s="211" t="s">
        <v>243</v>
      </c>
      <c r="K17" s="211"/>
      <c r="L17" s="211"/>
      <c r="M17" s="863" t="s">
        <v>244</v>
      </c>
      <c r="N17" s="879"/>
      <c r="O17" s="864"/>
      <c r="P17" s="863" t="s">
        <v>244</v>
      </c>
      <c r="Q17" s="864"/>
      <c r="R17" s="222" t="s">
        <v>245</v>
      </c>
      <c r="S17" s="222" t="s">
        <v>245</v>
      </c>
      <c r="T17" s="222" t="s">
        <v>244</v>
      </c>
    </row>
    <row r="18" spans="1:21" ht="12.75" customHeight="1" x14ac:dyDescent="0.25">
      <c r="B18" t="s">
        <v>246</v>
      </c>
      <c r="F18" s="549">
        <f>[1]!CA0196Equipment</f>
        <v>3500</v>
      </c>
      <c r="G18" s="51">
        <v>3578</v>
      </c>
      <c r="J18" s="211" t="s">
        <v>247</v>
      </c>
      <c r="K18" s="211"/>
      <c r="L18" s="211"/>
      <c r="M18" s="874" t="s">
        <v>248</v>
      </c>
      <c r="N18" s="880"/>
      <c r="O18" s="875"/>
      <c r="P18" s="874" t="s">
        <v>249</v>
      </c>
      <c r="Q18" s="875"/>
      <c r="R18" s="223" t="s">
        <v>250</v>
      </c>
      <c r="S18" s="223" t="s">
        <v>251</v>
      </c>
      <c r="T18" s="223" t="s">
        <v>252</v>
      </c>
    </row>
    <row r="19" spans="1:21" ht="12.75" customHeight="1" thickBot="1" x14ac:dyDescent="0.3">
      <c r="B19" s="211" t="s">
        <v>253</v>
      </c>
      <c r="F19" s="218">
        <f>[1]!CA0198CIP</f>
        <v>0</v>
      </c>
      <c r="G19" s="55">
        <v>0</v>
      </c>
      <c r="J19" s="210" t="s">
        <v>24</v>
      </c>
      <c r="K19" s="211" t="s">
        <v>254</v>
      </c>
      <c r="L19" s="211"/>
      <c r="M19" s="860">
        <f>171613+1650</f>
        <v>173263</v>
      </c>
      <c r="N19" s="861"/>
      <c r="O19" s="862"/>
      <c r="P19" s="860">
        <v>247022</v>
      </c>
      <c r="Q19" s="861"/>
      <c r="R19" s="30">
        <v>0</v>
      </c>
      <c r="S19" s="30">
        <v>48781</v>
      </c>
      <c r="T19" s="30">
        <v>0</v>
      </c>
    </row>
    <row r="20" spans="1:21" ht="13.5" customHeight="1" thickBot="1" x14ac:dyDescent="0.3">
      <c r="B20" t="s">
        <v>255</v>
      </c>
      <c r="F20" s="539">
        <f>SUM(F14:F19)</f>
        <v>3500</v>
      </c>
      <c r="G20" s="219">
        <f>SUM(G14:G19)</f>
        <v>3578</v>
      </c>
      <c r="J20" s="210" t="s">
        <v>26</v>
      </c>
      <c r="K20" s="211" t="s">
        <v>256</v>
      </c>
      <c r="L20" s="211"/>
      <c r="M20" s="860">
        <v>76241</v>
      </c>
      <c r="N20" s="861"/>
      <c r="O20" s="862"/>
      <c r="P20" s="860">
        <v>0</v>
      </c>
      <c r="Q20" s="861"/>
      <c r="R20" s="30">
        <v>0</v>
      </c>
      <c r="S20" s="30">
        <v>3680</v>
      </c>
      <c r="T20" s="30">
        <v>59618</v>
      </c>
    </row>
    <row r="21" spans="1:21" ht="13.8" thickTop="1" x14ac:dyDescent="0.25">
      <c r="J21" s="210" t="s">
        <v>28</v>
      </c>
      <c r="K21" s="211" t="s">
        <v>257</v>
      </c>
      <c r="L21" s="211"/>
      <c r="M21" s="860">
        <v>0</v>
      </c>
      <c r="N21" s="861"/>
      <c r="O21" s="862"/>
      <c r="P21" s="860">
        <v>0</v>
      </c>
      <c r="Q21" s="861"/>
      <c r="R21" s="30">
        <v>0</v>
      </c>
      <c r="S21" s="30">
        <v>0</v>
      </c>
      <c r="T21" s="30">
        <v>0</v>
      </c>
      <c r="U21" s="220"/>
    </row>
    <row r="22" spans="1:21" ht="13.5" customHeight="1" x14ac:dyDescent="0.25">
      <c r="A22" t="s">
        <v>258</v>
      </c>
      <c r="B22" s="211" t="s">
        <v>1325</v>
      </c>
      <c r="C22" s="225"/>
      <c r="D22" s="225"/>
      <c r="E22" s="211"/>
      <c r="F22" s="211"/>
      <c r="J22" s="210" t="s">
        <v>31</v>
      </c>
      <c r="K22" s="211" t="s">
        <v>259</v>
      </c>
      <c r="L22" s="211"/>
      <c r="M22" s="876">
        <v>0</v>
      </c>
      <c r="N22" s="877"/>
      <c r="O22" s="878"/>
      <c r="P22" s="860">
        <v>0</v>
      </c>
      <c r="Q22" s="862"/>
      <c r="R22" s="30">
        <v>0</v>
      </c>
      <c r="S22" s="30">
        <v>0</v>
      </c>
      <c r="T22" s="30">
        <v>0</v>
      </c>
      <c r="U22" s="220"/>
    </row>
    <row r="23" spans="1:21" ht="13.5" customHeight="1" x14ac:dyDescent="0.25">
      <c r="B23" t="s">
        <v>235</v>
      </c>
      <c r="E23" s="7" t="s">
        <v>16</v>
      </c>
      <c r="F23" s="26">
        <v>0</v>
      </c>
      <c r="J23" s="210" t="s">
        <v>33</v>
      </c>
      <c r="K23" s="857" t="s">
        <v>260</v>
      </c>
      <c r="L23" s="858"/>
      <c r="M23" s="226"/>
      <c r="N23" s="227"/>
      <c r="O23" s="228"/>
      <c r="P23" s="227"/>
      <c r="Q23" s="228"/>
      <c r="R23" s="229"/>
      <c r="S23" s="229"/>
      <c r="T23" s="229"/>
      <c r="U23" s="220"/>
    </row>
    <row r="24" spans="1:21" ht="13.5" customHeight="1" x14ac:dyDescent="0.25">
      <c r="B24" t="s">
        <v>236</v>
      </c>
      <c r="E24" s="7" t="s">
        <v>16</v>
      </c>
      <c r="F24" s="26">
        <v>420000</v>
      </c>
      <c r="J24" s="230"/>
      <c r="K24" s="857"/>
      <c r="L24" s="858"/>
      <c r="M24" s="871">
        <v>0</v>
      </c>
      <c r="N24" s="872"/>
      <c r="O24" s="873"/>
      <c r="P24" s="871">
        <v>0</v>
      </c>
      <c r="Q24" s="872"/>
      <c r="R24" s="31">
        <v>0</v>
      </c>
      <c r="S24" s="31">
        <v>0</v>
      </c>
      <c r="T24" s="31">
        <v>0</v>
      </c>
      <c r="U24" s="220"/>
    </row>
    <row r="25" spans="1:21" ht="13.5" customHeight="1" x14ac:dyDescent="0.25">
      <c r="B25" t="s">
        <v>237</v>
      </c>
      <c r="E25" s="7" t="s">
        <v>16</v>
      </c>
      <c r="F25" s="26">
        <v>14701</v>
      </c>
      <c r="M25" s="28"/>
      <c r="N25" s="28"/>
      <c r="O25" s="28"/>
      <c r="P25" s="28"/>
      <c r="Q25" s="28"/>
      <c r="R25" s="28"/>
      <c r="S25" s="28"/>
      <c r="T25" s="28"/>
      <c r="U25" s="28"/>
    </row>
    <row r="26" spans="1:21" ht="13.5" customHeight="1" x14ac:dyDescent="0.25">
      <c r="B26" t="s">
        <v>241</v>
      </c>
      <c r="E26" s="7" t="s">
        <v>16</v>
      </c>
      <c r="F26" s="27">
        <v>2174092</v>
      </c>
      <c r="M26" s="220"/>
      <c r="N26" s="220"/>
      <c r="O26" s="220"/>
      <c r="P26" s="220"/>
      <c r="Q26" s="220"/>
      <c r="R26" s="220"/>
      <c r="S26" s="220"/>
      <c r="T26" s="220"/>
      <c r="U26" s="220"/>
    </row>
    <row r="27" spans="1:21" ht="15.75" customHeight="1" thickBot="1" x14ac:dyDescent="0.3">
      <c r="B27" t="s">
        <v>246</v>
      </c>
      <c r="E27" s="7" t="s">
        <v>16</v>
      </c>
      <c r="F27" s="26">
        <v>7853</v>
      </c>
      <c r="I27" t="s">
        <v>261</v>
      </c>
      <c r="J27" s="211" t="s">
        <v>262</v>
      </c>
      <c r="K27" s="231"/>
      <c r="L27" s="231"/>
      <c r="M27" s="231"/>
      <c r="N27" s="231"/>
      <c r="O27" s="231"/>
      <c r="P27" s="231"/>
      <c r="Q27" s="231"/>
      <c r="R27" s="231"/>
      <c r="S27" s="547"/>
    </row>
    <row r="28" spans="1:21" ht="13.5" customHeight="1" thickBot="1" x14ac:dyDescent="0.35">
      <c r="B28" s="211" t="s">
        <v>253</v>
      </c>
      <c r="E28" s="7" t="s">
        <v>16</v>
      </c>
      <c r="F28" s="26">
        <v>0</v>
      </c>
      <c r="I28" s="90"/>
      <c r="K28" s="32"/>
      <c r="L28" s="669" t="s">
        <v>1315</v>
      </c>
      <c r="M28" s="232"/>
      <c r="N28" s="232"/>
      <c r="O28" s="232"/>
      <c r="P28" s="232"/>
      <c r="Q28" s="232"/>
      <c r="U28" s="547"/>
    </row>
    <row r="29" spans="1:21" ht="13.5" customHeight="1" thickBot="1" x14ac:dyDescent="0.3">
      <c r="B29" t="s">
        <v>263</v>
      </c>
      <c r="E29" s="7" t="s">
        <v>16</v>
      </c>
      <c r="F29" s="233">
        <f>SUM(F23:F28)</f>
        <v>2616646</v>
      </c>
      <c r="I29" s="90"/>
      <c r="J29" t="s">
        <v>24</v>
      </c>
      <c r="K29" s="669" t="s">
        <v>1316</v>
      </c>
      <c r="N29" s="234"/>
      <c r="S29" s="7" t="s">
        <v>16</v>
      </c>
      <c r="T29" s="58">
        <v>53837</v>
      </c>
      <c r="U29" s="547"/>
    </row>
    <row r="30" spans="1:21" ht="13.8" thickTop="1" x14ac:dyDescent="0.25">
      <c r="I30" s="90"/>
      <c r="J30" t="s">
        <v>26</v>
      </c>
      <c r="K30" s="669" t="s">
        <v>1317</v>
      </c>
      <c r="L30" s="156"/>
      <c r="M30" s="156"/>
      <c r="S30" s="7" t="s">
        <v>16</v>
      </c>
      <c r="T30" s="235">
        <f>'[2]Page 6'!$T$29</f>
        <v>55402</v>
      </c>
      <c r="U30" s="547"/>
    </row>
    <row r="31" spans="1:21" x14ac:dyDescent="0.25">
      <c r="A31" t="s">
        <v>264</v>
      </c>
      <c r="B31" s="211" t="s">
        <v>265</v>
      </c>
      <c r="C31" s="211"/>
      <c r="D31" s="211"/>
      <c r="E31" s="236"/>
      <c r="J31" t="s">
        <v>28</v>
      </c>
      <c r="K31" s="669" t="s">
        <v>1318</v>
      </c>
      <c r="L31" s="156"/>
      <c r="M31" s="156"/>
      <c r="S31" s="7" t="s">
        <v>16</v>
      </c>
      <c r="T31" s="237">
        <f>T29-T30</f>
        <v>-1565</v>
      </c>
      <c r="U31" s="547"/>
    </row>
    <row r="32" spans="1:21" ht="13.8" thickBot="1" x14ac:dyDescent="0.3">
      <c r="B32" t="s">
        <v>266</v>
      </c>
      <c r="F32" s="7"/>
      <c r="G32" s="28"/>
      <c r="J32" s="238" t="s">
        <v>31</v>
      </c>
      <c r="K32" t="s">
        <v>267</v>
      </c>
      <c r="L32" s="239"/>
      <c r="M32" s="239"/>
      <c r="P32" s="116"/>
      <c r="Q32" s="116"/>
      <c r="R32" s="116"/>
      <c r="S32" s="7" t="s">
        <v>16</v>
      </c>
      <c r="T32" s="240">
        <f>IF(PriorYearSalary&gt;0,T31/T30,0)</f>
        <v>-2.8000000000000001E-2</v>
      </c>
      <c r="U32" s="547"/>
    </row>
    <row r="33" spans="1:21" ht="13.5" customHeight="1" thickTop="1" x14ac:dyDescent="0.25">
      <c r="B33" t="s">
        <v>268</v>
      </c>
      <c r="F33" s="7" t="s">
        <v>16</v>
      </c>
      <c r="G33" s="26">
        <v>945665</v>
      </c>
      <c r="H33" s="827" t="str">
        <f>IF('Page 2'!J48=0,"",IF(OR(G36&lt;=0),"The Charter did not report any current expenses for student support services on line 4. If the Charter did not have any expense, verify by checking the box in A16 on the Cover Page.",""))</f>
        <v/>
      </c>
      <c r="I33" s="827"/>
      <c r="J33" s="827"/>
      <c r="K33" s="827"/>
      <c r="L33" s="827"/>
      <c r="M33" s="827"/>
      <c r="N33" s="827"/>
      <c r="O33" s="827"/>
      <c r="P33" s="827"/>
      <c r="Q33" s="827"/>
      <c r="R33" s="827"/>
      <c r="S33" s="827"/>
      <c r="T33" s="8"/>
      <c r="U33" s="8"/>
    </row>
    <row r="34" spans="1:21" ht="13.5" customHeight="1" x14ac:dyDescent="0.25">
      <c r="B34" t="s">
        <v>269</v>
      </c>
      <c r="C34" s="236"/>
      <c r="D34" s="236"/>
      <c r="E34" s="236"/>
      <c r="F34" s="7" t="s">
        <v>16</v>
      </c>
      <c r="G34" s="26">
        <v>49543</v>
      </c>
      <c r="H34" s="827"/>
      <c r="I34" s="827"/>
      <c r="J34" s="827"/>
      <c r="K34" s="827"/>
      <c r="L34" s="827"/>
      <c r="M34" s="827"/>
      <c r="N34" s="827"/>
      <c r="O34" s="827"/>
      <c r="P34" s="827"/>
      <c r="Q34" s="827"/>
      <c r="R34" s="827"/>
      <c r="S34" s="827"/>
      <c r="T34" s="8"/>
      <c r="U34" s="8"/>
    </row>
    <row r="35" spans="1:21" x14ac:dyDescent="0.25">
      <c r="B35" t="s">
        <v>270</v>
      </c>
      <c r="C35" s="236"/>
      <c r="D35" s="236"/>
      <c r="E35" s="236"/>
      <c r="F35" s="7" t="s">
        <v>16</v>
      </c>
      <c r="G35" s="27">
        <v>467366</v>
      </c>
      <c r="K35" t="s">
        <v>271</v>
      </c>
    </row>
    <row r="36" spans="1:21" x14ac:dyDescent="0.25">
      <c r="B36" t="s">
        <v>272</v>
      </c>
      <c r="C36" s="236"/>
      <c r="D36" s="236"/>
      <c r="E36" s="236"/>
      <c r="F36" s="7" t="s">
        <v>16</v>
      </c>
      <c r="G36" s="26">
        <v>363570</v>
      </c>
      <c r="K36" s="865" t="s">
        <v>1575</v>
      </c>
      <c r="L36" s="866"/>
      <c r="M36" s="866"/>
      <c r="N36" s="866"/>
      <c r="O36" s="866"/>
      <c r="P36" s="866"/>
      <c r="Q36" s="866"/>
      <c r="R36" s="866"/>
      <c r="S36" s="866"/>
      <c r="T36" s="867"/>
    </row>
    <row r="37" spans="1:21" ht="13.8" x14ac:dyDescent="0.25">
      <c r="A37" s="241"/>
      <c r="B37" t="s">
        <v>273</v>
      </c>
      <c r="E37" s="236"/>
      <c r="F37" s="7"/>
      <c r="G37" s="28"/>
      <c r="K37" s="868"/>
      <c r="L37" s="869"/>
      <c r="M37" s="869"/>
      <c r="N37" s="869"/>
      <c r="O37" s="869"/>
      <c r="P37" s="869"/>
      <c r="Q37" s="869"/>
      <c r="R37" s="869"/>
      <c r="S37" s="869"/>
      <c r="T37" s="870"/>
    </row>
    <row r="38" spans="1:21" ht="13.8" x14ac:dyDescent="0.25">
      <c r="A38" s="241"/>
      <c r="B38" t="s">
        <v>274</v>
      </c>
      <c r="E38" s="236"/>
      <c r="F38" s="7" t="s">
        <v>16</v>
      </c>
      <c r="G38" s="26">
        <f>340913+182777-1</f>
        <v>523689</v>
      </c>
      <c r="J38" s="217"/>
      <c r="K38" s="547"/>
      <c r="S38" s="7"/>
      <c r="T38" s="242"/>
    </row>
    <row r="39" spans="1:21" ht="14.4" thickBot="1" x14ac:dyDescent="0.3">
      <c r="A39" s="241"/>
      <c r="B39" s="90" t="s">
        <v>275</v>
      </c>
      <c r="F39" s="7" t="s">
        <v>16</v>
      </c>
      <c r="G39" s="233">
        <f>SUM(G33:G38)</f>
        <v>2349833</v>
      </c>
    </row>
    <row r="40" spans="1:21" ht="13.5" customHeight="1" thickTop="1" x14ac:dyDescent="0.25">
      <c r="B40" s="853" t="s">
        <v>276</v>
      </c>
      <c r="C40" s="853"/>
      <c r="D40" s="853"/>
      <c r="E40" s="853"/>
      <c r="F40" s="7" t="s">
        <v>16</v>
      </c>
      <c r="G40" s="26">
        <v>247402</v>
      </c>
    </row>
    <row r="41" spans="1:21" x14ac:dyDescent="0.25">
      <c r="B41" s="859" t="s">
        <v>277</v>
      </c>
      <c r="C41" s="859"/>
      <c r="D41" s="859"/>
      <c r="E41" s="859"/>
      <c r="F41" s="7" t="s">
        <v>16</v>
      </c>
      <c r="G41" s="214">
        <f>G39-G40</f>
        <v>2102431</v>
      </c>
    </row>
  </sheetData>
  <sheetProtection sheet="1" formatCells="0" formatColumns="0" formatRows="0"/>
  <mergeCells count="23">
    <mergeCell ref="C1:F1"/>
    <mergeCell ref="P16:Q16"/>
    <mergeCell ref="P21:Q21"/>
    <mergeCell ref="M22:O22"/>
    <mergeCell ref="P22:Q22"/>
    <mergeCell ref="M17:O17"/>
    <mergeCell ref="M18:O18"/>
    <mergeCell ref="B40:E40"/>
    <mergeCell ref="U6:AA6"/>
    <mergeCell ref="M16:O16"/>
    <mergeCell ref="K23:L24"/>
    <mergeCell ref="B41:E41"/>
    <mergeCell ref="P20:Q20"/>
    <mergeCell ref="P19:Q19"/>
    <mergeCell ref="M20:O20"/>
    <mergeCell ref="M21:O21"/>
    <mergeCell ref="P17:Q17"/>
    <mergeCell ref="K36:T37"/>
    <mergeCell ref="P24:Q24"/>
    <mergeCell ref="H33:S34"/>
    <mergeCell ref="M24:O24"/>
    <mergeCell ref="P18:Q18"/>
    <mergeCell ref="M19:O19"/>
  </mergeCells>
  <conditionalFormatting sqref="F6 F9:F10">
    <cfRule type="expression" dxfId="65" priority="16" stopIfTrue="1">
      <formula>$F6=""</formula>
    </cfRule>
  </conditionalFormatting>
  <conditionalFormatting sqref="F23:F28">
    <cfRule type="expression" dxfId="64" priority="10" stopIfTrue="1">
      <formula>$F23=""</formula>
    </cfRule>
  </conditionalFormatting>
  <conditionalFormatting sqref="G9:G10">
    <cfRule type="expression" dxfId="63" priority="15" stopIfTrue="1">
      <formula>$G9=""</formula>
    </cfRule>
  </conditionalFormatting>
  <conditionalFormatting sqref="G14:G19">
    <cfRule type="expression" dxfId="62" priority="11" stopIfTrue="1">
      <formula>$G14=""</formula>
    </cfRule>
  </conditionalFormatting>
  <conditionalFormatting sqref="G33:G36 G38 G40">
    <cfRule type="expression" dxfId="61" priority="8" stopIfTrue="1">
      <formula>$G33=""</formula>
    </cfRule>
  </conditionalFormatting>
  <conditionalFormatting sqref="G36">
    <cfRule type="expression" dxfId="60" priority="9" stopIfTrue="1">
      <formula>$H$33&lt;&gt;""</formula>
    </cfRule>
  </conditionalFormatting>
  <conditionalFormatting sqref="H33">
    <cfRule type="expression" dxfId="59" priority="18" stopIfTrue="1">
      <formula>$H$33&lt;&gt;""</formula>
    </cfRule>
  </conditionalFormatting>
  <conditionalFormatting sqref="M19:T22">
    <cfRule type="expression" dxfId="58" priority="5" stopIfTrue="1">
      <formula>M19=""</formula>
    </cfRule>
  </conditionalFormatting>
  <conditionalFormatting sqref="M24:T24">
    <cfRule type="expression" dxfId="57" priority="6" stopIfTrue="1">
      <formula>M24=""</formula>
    </cfRule>
  </conditionalFormatting>
  <conditionalFormatting sqref="T6:T13">
    <cfRule type="expression" dxfId="56" priority="7" stopIfTrue="1">
      <formula>$T6=""</formula>
    </cfRule>
  </conditionalFormatting>
  <conditionalFormatting sqref="T29:T30">
    <cfRule type="expression" dxfId="55" priority="14" stopIfTrue="1">
      <formula>$T29=""</formula>
    </cfRule>
  </conditionalFormatting>
  <dataValidations count="1">
    <dataValidation type="list" allowBlank="1" showInputMessage="1" showErrorMessage="1" sqref="K28" xr:uid="{00000000-0002-0000-0700-000000000000}">
      <formula1>"X"</formula1>
    </dataValidation>
  </dataValidations>
  <hyperlinks>
    <hyperlink ref="B8" location="AuditServices" display="AUDIT SERVICES" xr:uid="{00000000-0004-0000-0700-000000000000}"/>
    <hyperlink ref="B13" location="CapitalAcquisitions" display="CAPITAL ACQUISITIONS" xr:uid="{00000000-0004-0000-0700-000001000000}"/>
    <hyperlink ref="B22:F22" location="InvestmentInCapitalAssets" display="INVESTMENT IN CAPITAL ASSETS AS OF JUNE 30, 2013" xr:uid="{00000000-0004-0000-0700-000002000000}"/>
    <hyperlink ref="B31:D31" location="CurrentExpensesByCategory" display="CURRENT EXPENSES BY CATEGORY" xr:uid="{00000000-0004-0000-0700-000003000000}"/>
    <hyperlink ref="J17:L18" location="TeacherSalaries" display="TEACHER SALARIES (1)" xr:uid="{00000000-0004-0000-0700-000004000000}"/>
    <hyperlink ref="J19:L19" location="TeacherSalariesLine1" display="1." xr:uid="{00000000-0004-0000-0700-000005000000}"/>
    <hyperlink ref="J20:L20" location="TeacherSalariesLine2" display="2." xr:uid="{00000000-0004-0000-0700-000006000000}"/>
    <hyperlink ref="J21:L21" location="TeacherSalariesLine3" display="3." xr:uid="{00000000-0004-0000-0700-000007000000}"/>
    <hyperlink ref="J22:L22" location="TeacherSalariesLine4" display="4." xr:uid="{00000000-0004-0000-0700-000008000000}"/>
    <hyperlink ref="B19" location="CapitalAcquisitionsLine5" display="5.  0198  Construction in Progress" xr:uid="{00000000-0004-0000-0700-000009000000}"/>
    <hyperlink ref="B28" location="InvestmentInCapitalAssetsLine5" display="5.  0198  Construction in Progress" xr:uid="{00000000-0004-0000-0700-00000A000000}"/>
    <hyperlink ref="B40:D40" location="CurrentExpensesbyCategoryLines7and8" display="7. Current Expenses from Federal Projects, excluding those projects intended to replace local tax revenues (e.g., most Impact Aid Projects)" xr:uid="{00000000-0004-0000-0700-00000C000000}"/>
    <hyperlink ref="B41:E41" location="CurrentExpensesbyCategoryLines7and8" display="8. Current Expenses from State and Local Projects, including those projects intended to replace local tax revenues (e.g., most Impact Aid Projects)" xr:uid="{00000000-0004-0000-0700-00000D000000}"/>
    <hyperlink ref="K23:L24" location="TeacherSalariesLine5" display="Cocurr. Act., Athletics, &amp; Other (Program 600)" xr:uid="{00000000-0004-0000-0700-00000E000000}"/>
    <hyperlink ref="J27:R27" location="AverageTeacherSalary" display="AVERAGE TEACHER SALARY (A.R.S. §15-189.05, as added by Laws 2018, Ch. 285, §3)" xr:uid="{00000000-0004-0000-0700-00000F000000}"/>
    <hyperlink ref="J23" location="TeacherSalariesLine5" display="5." xr:uid="{00000000-0004-0000-0700-000010000000}"/>
    <hyperlink ref="B5" location="AuditServices" display="Instructions" xr:uid="{CB891C10-CC7D-4CE2-8277-7C44496949B8}"/>
    <hyperlink ref="J6:Q8" location="FullTimeEquivalentTeachers" display="1." xr:uid="{00000000-0004-0000-0700-00000B000000}"/>
  </hyperlinks>
  <pageMargins left="0.7" right="0.7" top="0.75" bottom="0.75" header="0.3" footer="0.3"/>
  <pageSetup scale="63" orientation="landscape" r:id="rId1"/>
  <headerFooter>
    <oddFooter>&amp;LRev. 8/25 Arizona Department of Education and Auditor General&amp;CFY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3BDB-7179-4DD0-A943-0C76DE5F692A}">
  <sheetPr>
    <pageSetUpPr fitToPage="1"/>
  </sheetPr>
  <dimension ref="A1:AA26"/>
  <sheetViews>
    <sheetView showGridLines="0" topLeftCell="A18" workbookViewId="0">
      <selection activeCell="T27" sqref="T27"/>
    </sheetView>
  </sheetViews>
  <sheetFormatPr defaultColWidth="9.33203125" defaultRowHeight="12.75" customHeight="1" x14ac:dyDescent="0.25"/>
  <cols>
    <col min="1" max="1" width="2.77734375" customWidth="1"/>
    <col min="2" max="2" width="9.77734375" customWidth="1"/>
    <col min="3" max="3" width="10.33203125" customWidth="1"/>
    <col min="4" max="4" width="10.77734375" customWidth="1"/>
    <col min="5" max="17" width="6.77734375" customWidth="1"/>
    <col min="18" max="18" width="9.6640625" customWidth="1"/>
    <col min="19" max="19" width="10.77734375" customWidth="1"/>
    <col min="20" max="20" width="10.44140625" customWidth="1"/>
    <col min="21" max="22" width="11" customWidth="1"/>
    <col min="23" max="23" width="3.77734375" customWidth="1"/>
    <col min="24" max="24" width="9.33203125" customWidth="1"/>
  </cols>
  <sheetData>
    <row r="1" spans="1:27" ht="12.75" customHeight="1" x14ac:dyDescent="0.25">
      <c r="A1" s="548" t="s">
        <v>0</v>
      </c>
      <c r="D1" s="810" t="str">
        <f>'Cover Page'!D1</f>
        <v>The Edge School, Inc</v>
      </c>
      <c r="E1" s="810"/>
      <c r="F1" s="810"/>
      <c r="G1" s="810"/>
      <c r="K1" s="61" t="s">
        <v>1</v>
      </c>
      <c r="L1" s="810" t="str">
        <f>'Cover Page'!M1</f>
        <v>Pima</v>
      </c>
      <c r="M1" s="810"/>
      <c r="P1" s="68"/>
      <c r="U1" s="61" t="s">
        <v>2</v>
      </c>
      <c r="V1" s="207" t="str">
        <f>'Cover Page'!R1</f>
        <v>108653000</v>
      </c>
    </row>
    <row r="2" spans="1:27" ht="12.75" customHeight="1" x14ac:dyDescent="0.25">
      <c r="Q2" s="68"/>
      <c r="T2" s="68"/>
    </row>
    <row r="3" spans="1:27" ht="12.75" customHeight="1" x14ac:dyDescent="0.25">
      <c r="A3" s="3" t="s">
        <v>278</v>
      </c>
      <c r="B3" s="4"/>
      <c r="C3" s="4"/>
      <c r="F3" s="892" t="s">
        <v>726</v>
      </c>
      <c r="G3" s="892"/>
      <c r="H3" s="892"/>
      <c r="K3" s="68"/>
      <c r="O3" s="68"/>
      <c r="P3" s="68"/>
      <c r="Q3" s="68"/>
      <c r="R3" s="68"/>
      <c r="S3" s="68"/>
      <c r="T3" s="68"/>
      <c r="U3" s="68"/>
      <c r="Y3" s="61"/>
    </row>
    <row r="4" spans="1:27" ht="6" customHeight="1" x14ac:dyDescent="0.25"/>
    <row r="5" spans="1:27" ht="12.75" customHeight="1" x14ac:dyDescent="0.25">
      <c r="A5" t="s">
        <v>279</v>
      </c>
    </row>
    <row r="6" spans="1:27" ht="12.75" customHeight="1" x14ac:dyDescent="0.25">
      <c r="E6" s="830" t="s">
        <v>280</v>
      </c>
      <c r="F6" s="845"/>
      <c r="G6" s="845"/>
      <c r="H6" s="845"/>
      <c r="I6" s="845"/>
      <c r="J6" s="845"/>
      <c r="K6" s="845"/>
      <c r="L6" s="845"/>
      <c r="M6" s="845"/>
      <c r="N6" s="845"/>
      <c r="O6" s="845"/>
      <c r="P6" s="845"/>
      <c r="Q6" s="845"/>
      <c r="R6" s="831"/>
    </row>
    <row r="7" spans="1:27" ht="12.75" customHeight="1" x14ac:dyDescent="0.25">
      <c r="B7" t="s">
        <v>281</v>
      </c>
      <c r="E7" s="580" t="s">
        <v>282</v>
      </c>
      <c r="F7" s="580">
        <v>1</v>
      </c>
      <c r="G7" s="580">
        <v>2</v>
      </c>
      <c r="H7" s="580">
        <v>3</v>
      </c>
      <c r="I7" s="580">
        <v>4</v>
      </c>
      <c r="J7" s="580">
        <v>5</v>
      </c>
      <c r="K7" s="580">
        <v>6</v>
      </c>
      <c r="L7" s="580">
        <v>7</v>
      </c>
      <c r="M7" s="580">
        <v>8</v>
      </c>
      <c r="N7" s="580">
        <v>9</v>
      </c>
      <c r="O7" s="580">
        <v>10</v>
      </c>
      <c r="P7" s="580">
        <v>11</v>
      </c>
      <c r="Q7" s="580">
        <v>12</v>
      </c>
      <c r="R7" s="580" t="s">
        <v>283</v>
      </c>
      <c r="S7" s="4"/>
      <c r="T7" s="4"/>
      <c r="AA7" s="50"/>
    </row>
    <row r="8" spans="1:27" ht="12.75" customHeight="1" x14ac:dyDescent="0.25">
      <c r="B8" t="s">
        <v>284</v>
      </c>
      <c r="E8" s="51">
        <v>0</v>
      </c>
      <c r="F8" s="51">
        <v>0</v>
      </c>
      <c r="G8" s="51">
        <v>0</v>
      </c>
      <c r="H8" s="51">
        <v>0</v>
      </c>
      <c r="I8" s="51">
        <v>0</v>
      </c>
      <c r="J8" s="51">
        <v>0</v>
      </c>
      <c r="K8" s="51">
        <v>0</v>
      </c>
      <c r="L8" s="51">
        <v>0</v>
      </c>
      <c r="M8" s="51">
        <v>0</v>
      </c>
      <c r="N8" s="51">
        <v>0</v>
      </c>
      <c r="O8" s="51">
        <v>0</v>
      </c>
      <c r="P8" s="51">
        <v>0</v>
      </c>
      <c r="Q8" s="51">
        <v>0</v>
      </c>
      <c r="R8" s="551">
        <f>SUM(E8:Q8)</f>
        <v>0</v>
      </c>
      <c r="S8" s="243" t="s">
        <v>24</v>
      </c>
      <c r="AA8" s="50" t="str">
        <f>IF(OR(E8="",F8="",G8="",H8="",I8="",J8="",K8="",L8="",M8="",N8="",O8="",P8="",Q8="",E9="",F9="",G9="",H9="",I9="",J9="",K9="",L9="",M9="",N9="",O9="",P9="",Q9=""),"yes","")</f>
        <v/>
      </c>
    </row>
    <row r="9" spans="1:27" ht="12.75" customHeight="1" x14ac:dyDescent="0.25">
      <c r="B9" t="s">
        <v>285</v>
      </c>
      <c r="E9" s="51">
        <v>0</v>
      </c>
      <c r="F9" s="51">
        <v>0</v>
      </c>
      <c r="G9" s="51">
        <v>0</v>
      </c>
      <c r="H9" s="51">
        <v>0</v>
      </c>
      <c r="I9" s="51">
        <v>0</v>
      </c>
      <c r="J9" s="51">
        <v>0</v>
      </c>
      <c r="K9" s="51">
        <v>0</v>
      </c>
      <c r="L9" s="51">
        <v>0</v>
      </c>
      <c r="M9" s="51">
        <v>0</v>
      </c>
      <c r="N9" s="51">
        <v>0</v>
      </c>
      <c r="O9" s="51">
        <v>0</v>
      </c>
      <c r="P9" s="51">
        <v>0</v>
      </c>
      <c r="Q9" s="51">
        <v>0</v>
      </c>
      <c r="R9" s="551">
        <f>SUM(E9:Q9)</f>
        <v>0</v>
      </c>
      <c r="S9" s="243" t="s">
        <v>26</v>
      </c>
      <c r="AA9" s="50" t="str">
        <f>IF(OR(E10="",F10="",G10="",H10="",I10="",J10="",K10="",L10="",M10="",N10="",O10="",P10="",Q10=""),"yes","")</f>
        <v/>
      </c>
    </row>
    <row r="10" spans="1:27" ht="12.75" customHeight="1" thickBot="1" x14ac:dyDescent="0.3">
      <c r="B10" t="s">
        <v>286</v>
      </c>
      <c r="E10" s="55">
        <v>0</v>
      </c>
      <c r="F10" s="55">
        <v>0</v>
      </c>
      <c r="G10" s="55">
        <v>0</v>
      </c>
      <c r="H10" s="55">
        <v>0</v>
      </c>
      <c r="I10" s="55">
        <v>0</v>
      </c>
      <c r="J10" s="55">
        <v>0</v>
      </c>
      <c r="K10" s="55">
        <v>0</v>
      </c>
      <c r="L10" s="55">
        <v>0</v>
      </c>
      <c r="M10" s="55">
        <v>0</v>
      </c>
      <c r="N10" s="55">
        <v>0</v>
      </c>
      <c r="O10" s="55">
        <v>0</v>
      </c>
      <c r="P10" s="55">
        <v>0</v>
      </c>
      <c r="Q10" s="55">
        <v>0</v>
      </c>
      <c r="R10" s="224">
        <f>SUM(E10:Q10)</f>
        <v>0</v>
      </c>
      <c r="S10" s="243" t="s">
        <v>28</v>
      </c>
      <c r="AA10" s="50"/>
    </row>
    <row r="11" spans="1:27" ht="12.75" customHeight="1" x14ac:dyDescent="0.25">
      <c r="B11" t="s">
        <v>287</v>
      </c>
      <c r="E11" s="887">
        <f t="shared" ref="E11:Q11" si="0">SUM(E8:E10)</f>
        <v>0</v>
      </c>
      <c r="F11" s="887">
        <f t="shared" si="0"/>
        <v>0</v>
      </c>
      <c r="G11" s="887">
        <f t="shared" si="0"/>
        <v>0</v>
      </c>
      <c r="H11" s="887">
        <f t="shared" si="0"/>
        <v>0</v>
      </c>
      <c r="I11" s="887">
        <f t="shared" si="0"/>
        <v>0</v>
      </c>
      <c r="J11" s="887">
        <f t="shared" ref="J11" si="1">SUM(J8:J10)</f>
        <v>0</v>
      </c>
      <c r="K11" s="887">
        <f t="shared" si="0"/>
        <v>0</v>
      </c>
      <c r="L11" s="887">
        <f t="shared" si="0"/>
        <v>0</v>
      </c>
      <c r="M11" s="887">
        <f>SUM(M8:M10)</f>
        <v>0</v>
      </c>
      <c r="N11" s="887">
        <f t="shared" si="0"/>
        <v>0</v>
      </c>
      <c r="O11" s="887">
        <f t="shared" si="0"/>
        <v>0</v>
      </c>
      <c r="P11" s="887">
        <f t="shared" si="0"/>
        <v>0</v>
      </c>
      <c r="Q11" s="887">
        <f t="shared" si="0"/>
        <v>0</v>
      </c>
      <c r="R11" s="887">
        <f>SUM(E11:Q11)</f>
        <v>0</v>
      </c>
      <c r="S11" s="243"/>
      <c r="AA11" s="50" t="str">
        <f>IF(OR(D17="",D18="",T16="",T17="",T18="",T19="",T20="",T21="",T22="",T25=""),"yes","")</f>
        <v/>
      </c>
    </row>
    <row r="12" spans="1:27" ht="13.8" thickBot="1" x14ac:dyDescent="0.3">
      <c r="B12" t="s">
        <v>288</v>
      </c>
      <c r="E12" s="888"/>
      <c r="F12" s="888"/>
      <c r="G12" s="888"/>
      <c r="H12" s="888"/>
      <c r="I12" s="888"/>
      <c r="J12" s="888"/>
      <c r="K12" s="888"/>
      <c r="L12" s="888"/>
      <c r="M12" s="888"/>
      <c r="N12" s="888"/>
      <c r="O12" s="888"/>
      <c r="P12" s="888"/>
      <c r="Q12" s="888"/>
      <c r="R12" s="888"/>
      <c r="S12" s="243" t="s">
        <v>31</v>
      </c>
      <c r="AA12" s="50" t="str">
        <f>IF(AND(AA8="",AA9="",AA11=""),"","yes")</f>
        <v/>
      </c>
    </row>
    <row r="13" spans="1:27" ht="16.5" customHeight="1" thickTop="1" x14ac:dyDescent="0.25">
      <c r="AA13" s="50"/>
    </row>
    <row r="14" spans="1:27" ht="12.75" customHeight="1" x14ac:dyDescent="0.25">
      <c r="A14" s="889" t="s">
        <v>289</v>
      </c>
      <c r="B14" s="889"/>
      <c r="C14" s="889"/>
      <c r="D14" s="889"/>
      <c r="E14" s="889"/>
      <c r="G14" s="244"/>
      <c r="AA14" s="50"/>
    </row>
    <row r="15" spans="1:27" ht="25.95" customHeight="1" x14ac:dyDescent="0.25">
      <c r="A15" s="211"/>
      <c r="B15" s="891" t="s">
        <v>290</v>
      </c>
      <c r="C15" s="891"/>
      <c r="D15" s="891"/>
      <c r="E15" s="891"/>
      <c r="G15" s="245"/>
      <c r="K15" s="540" t="s">
        <v>291</v>
      </c>
      <c r="L15" s="540"/>
      <c r="M15" s="540"/>
      <c r="N15" s="540"/>
      <c r="O15" s="540"/>
      <c r="P15" s="540"/>
      <c r="Q15" s="540"/>
      <c r="R15" s="540"/>
      <c r="S15" s="246" t="s">
        <v>292</v>
      </c>
      <c r="T15" s="247" t="s">
        <v>293</v>
      </c>
      <c r="AA15" s="50"/>
    </row>
    <row r="16" spans="1:27" ht="12.75" customHeight="1" x14ac:dyDescent="0.25">
      <c r="B16" s="566" t="s">
        <v>294</v>
      </c>
      <c r="K16" s="65" t="s">
        <v>24</v>
      </c>
      <c r="L16" s="889" t="s">
        <v>295</v>
      </c>
      <c r="M16" s="889"/>
      <c r="N16" s="889"/>
      <c r="O16" s="889"/>
      <c r="P16" s="889"/>
      <c r="S16" s="549">
        <f>'[1]Page 2'!$N$5</f>
        <v>213042</v>
      </c>
      <c r="T16" s="53">
        <v>199131</v>
      </c>
      <c r="U16" s="243" t="s">
        <v>24</v>
      </c>
    </row>
    <row r="17" spans="1:21" ht="12.75" customHeight="1" x14ac:dyDescent="0.25">
      <c r="B17" t="s">
        <v>296</v>
      </c>
      <c r="C17" s="7" t="s">
        <v>16</v>
      </c>
      <c r="D17" s="26">
        <v>0</v>
      </c>
      <c r="K17" s="65" t="s">
        <v>26</v>
      </c>
      <c r="L17" s="889" t="s">
        <v>297</v>
      </c>
      <c r="M17" s="889"/>
      <c r="N17" s="889"/>
      <c r="O17" s="175"/>
      <c r="S17" s="549">
        <f>[1]!P200GiftedEducation</f>
        <v>0</v>
      </c>
      <c r="T17" s="53">
        <v>0</v>
      </c>
      <c r="U17" s="243" t="s">
        <v>26</v>
      </c>
    </row>
    <row r="18" spans="1:21" ht="12.75" customHeight="1" x14ac:dyDescent="0.25">
      <c r="B18" s="243" t="s">
        <v>298</v>
      </c>
      <c r="C18" s="7" t="s">
        <v>16</v>
      </c>
      <c r="D18" s="27">
        <v>0</v>
      </c>
      <c r="K18" s="65" t="s">
        <v>28</v>
      </c>
      <c r="L18" t="s">
        <v>299</v>
      </c>
      <c r="S18" s="553">
        <f>[1]!P200ELLIncrementalCosts</f>
        <v>0</v>
      </c>
      <c r="T18" s="53">
        <v>0</v>
      </c>
      <c r="U18" s="243" t="s">
        <v>28</v>
      </c>
    </row>
    <row r="19" spans="1:21" ht="12.75" customHeight="1" thickBot="1" x14ac:dyDescent="0.3">
      <c r="B19" t="s">
        <v>300</v>
      </c>
      <c r="C19" s="7" t="s">
        <v>16</v>
      </c>
      <c r="D19" s="248">
        <f>SUM(D17:D18)</f>
        <v>0</v>
      </c>
      <c r="E19" s="175"/>
      <c r="K19" s="65" t="s">
        <v>31</v>
      </c>
      <c r="L19" t="s">
        <v>301</v>
      </c>
      <c r="S19" s="549">
        <f>[1]!P200ELLCompensatoryInstruction</f>
        <v>0</v>
      </c>
      <c r="T19" s="53">
        <v>0</v>
      </c>
      <c r="U19" s="243" t="s">
        <v>31</v>
      </c>
    </row>
    <row r="20" spans="1:21" ht="12.75" customHeight="1" thickTop="1" x14ac:dyDescent="0.25">
      <c r="K20" s="65" t="s">
        <v>33</v>
      </c>
      <c r="L20" t="s">
        <v>302</v>
      </c>
      <c r="S20" s="549">
        <f>[1]!P200RemedialEducation</f>
        <v>0</v>
      </c>
      <c r="T20" s="53">
        <v>0</v>
      </c>
      <c r="U20" s="243" t="s">
        <v>33</v>
      </c>
    </row>
    <row r="21" spans="1:21" ht="13.2" x14ac:dyDescent="0.25">
      <c r="K21" s="65" t="s">
        <v>35</v>
      </c>
      <c r="L21" t="s">
        <v>303</v>
      </c>
      <c r="S21" s="549">
        <f>[1]!P200VocationalandTechnologicalEd</f>
        <v>0</v>
      </c>
      <c r="T21" s="53">
        <v>0</v>
      </c>
      <c r="U21" s="243" t="s">
        <v>35</v>
      </c>
    </row>
    <row r="22" spans="1:21" ht="12" customHeight="1" thickBot="1" x14ac:dyDescent="0.3">
      <c r="K22" s="65" t="s">
        <v>36</v>
      </c>
      <c r="L22" t="s">
        <v>304</v>
      </c>
      <c r="S22" s="218">
        <f>[1]!P200CareerEducation</f>
        <v>0</v>
      </c>
      <c r="T22" s="56">
        <v>0</v>
      </c>
      <c r="U22" s="243" t="s">
        <v>36</v>
      </c>
    </row>
    <row r="23" spans="1:21" ht="12.75" customHeight="1" thickBot="1" x14ac:dyDescent="0.3">
      <c r="K23" s="65" t="s">
        <v>38</v>
      </c>
      <c r="L23" s="890" t="s">
        <v>305</v>
      </c>
      <c r="M23" s="890"/>
      <c r="N23" s="890"/>
      <c r="O23" s="890"/>
      <c r="P23" s="890"/>
      <c r="Q23" s="8"/>
      <c r="S23" s="249">
        <f>SUM(S16:S22)</f>
        <v>213042</v>
      </c>
      <c r="T23" s="249">
        <f>SUM(T16:T22)</f>
        <v>199131</v>
      </c>
      <c r="U23" s="243" t="s">
        <v>38</v>
      </c>
    </row>
    <row r="24" spans="1:21" ht="12.75" customHeight="1" thickTop="1" x14ac:dyDescent="0.25">
      <c r="A24" s="7"/>
      <c r="B24" s="816"/>
      <c r="C24" s="816"/>
      <c r="D24" s="816"/>
      <c r="E24" s="816"/>
      <c r="F24" s="816"/>
      <c r="G24" s="816"/>
      <c r="H24" s="816"/>
      <c r="K24" s="65"/>
      <c r="U24" s="243"/>
    </row>
    <row r="25" spans="1:21" ht="12.75" customHeight="1" x14ac:dyDescent="0.25">
      <c r="A25" s="7"/>
      <c r="B25" s="816"/>
      <c r="C25" s="816"/>
      <c r="D25" s="816"/>
      <c r="E25" s="816"/>
      <c r="F25" s="816"/>
      <c r="G25" s="816"/>
      <c r="H25" s="816"/>
      <c r="K25" s="65" t="s">
        <v>40</v>
      </c>
      <c r="L25" s="883" t="s">
        <v>306</v>
      </c>
      <c r="M25" s="883"/>
      <c r="N25" s="883"/>
      <c r="O25" s="883"/>
      <c r="P25" s="883"/>
      <c r="Q25" s="883"/>
      <c r="R25" s="884"/>
      <c r="S25" s="881">
        <f>'[1]Page 2'!$N$14</f>
        <v>0</v>
      </c>
      <c r="T25" s="885">
        <v>0</v>
      </c>
      <c r="U25" s="243" t="s">
        <v>40</v>
      </c>
    </row>
    <row r="26" spans="1:21" ht="19.5" customHeight="1" thickBot="1" x14ac:dyDescent="0.3">
      <c r="A26" s="65"/>
      <c r="L26" s="883"/>
      <c r="M26" s="883"/>
      <c r="N26" s="883"/>
      <c r="O26" s="883"/>
      <c r="P26" s="883"/>
      <c r="Q26" s="883"/>
      <c r="R26" s="884"/>
      <c r="S26" s="882"/>
      <c r="T26" s="886"/>
    </row>
  </sheetData>
  <sheetProtection sheet="1" formatCells="0" formatColumns="0" formatRows="0"/>
  <mergeCells count="28">
    <mergeCell ref="F3:H3"/>
    <mergeCell ref="D1:G1"/>
    <mergeCell ref="L1:M1"/>
    <mergeCell ref="E11:E12"/>
    <mergeCell ref="F11:F12"/>
    <mergeCell ref="G11:G12"/>
    <mergeCell ref="H11:H12"/>
    <mergeCell ref="J11:J12"/>
    <mergeCell ref="K11:K12"/>
    <mergeCell ref="L11:L12"/>
    <mergeCell ref="I11:I12"/>
    <mergeCell ref="E6:R6"/>
    <mergeCell ref="M11:M12"/>
    <mergeCell ref="N11:N12"/>
    <mergeCell ref="O11:O12"/>
    <mergeCell ref="P11:P12"/>
    <mergeCell ref="B24:H24"/>
    <mergeCell ref="B25:H25"/>
    <mergeCell ref="L17:N17"/>
    <mergeCell ref="L23:P23"/>
    <mergeCell ref="A14:E14"/>
    <mergeCell ref="B15:E15"/>
    <mergeCell ref="L16:P16"/>
    <mergeCell ref="S25:S26"/>
    <mergeCell ref="L25:R26"/>
    <mergeCell ref="T25:T26"/>
    <mergeCell ref="Q11:Q12"/>
    <mergeCell ref="R11:R12"/>
  </mergeCells>
  <conditionalFormatting sqref="D17:D18">
    <cfRule type="expression" dxfId="54" priority="2" stopIfTrue="1">
      <formula>$D17=""</formula>
    </cfRule>
  </conditionalFormatting>
  <conditionalFormatting sqref="E8:Q10">
    <cfRule type="expression" dxfId="53" priority="5" stopIfTrue="1">
      <formula>E8=""</formula>
    </cfRule>
  </conditionalFormatting>
  <conditionalFormatting sqref="T16:T22 T25">
    <cfRule type="expression" dxfId="52" priority="3" stopIfTrue="1">
      <formula>$T16=""</formula>
    </cfRule>
  </conditionalFormatting>
  <hyperlinks>
    <hyperlink ref="K17:N17" location="TotalActualGiftedExpenses" display="15." xr:uid="{00000000-0004-0000-0800-000000000000}"/>
    <hyperlink ref="K23:P23" r:id="rId1" display="22." xr:uid="{00000000-0004-0000-0800-000001000000}"/>
    <hyperlink ref="A14:E15" location="TotalActualGiftedExpenses" display="B. EXPENSES FOR GIFTED PUPILS " xr:uid="{00000000-0004-0000-0800-000002000000}"/>
    <hyperlink ref="L16:P16" location="AllDisabilityClassifications" display="Total All Disability Classifications" xr:uid="{00000000-0004-0000-0800-000003000000}"/>
    <hyperlink ref="K25" r:id="rId2" display="22." xr:uid="{00000000-0004-0000-0800-000004000000}"/>
    <hyperlink ref="L25:R26" location="Section_C_Transportation" display="Expenses incurred for transporting students with disabilities (as defined in A.R.S. §15-761) unique to the IEP" xr:uid="{00000000-0004-0000-0800-000005000000}"/>
    <hyperlink ref="L15" location="SpecialEdProgramsByType" display="D. SPECIAL EDUCATION PROGRAMS BY TYPE" xr:uid="{00000000-0004-0000-0800-000006000000}"/>
    <hyperlink ref="S15" location="SpecialEdProgramsByType" display="Program 200 budget" xr:uid="{00000000-0004-0000-0800-000007000000}"/>
    <hyperlink ref="T15" location="SpecialEdProgramsByType" display="Program 200 actual" xr:uid="{00000000-0004-0000-0800-000008000000}"/>
    <hyperlink ref="K15:R15" location="SpecialEdProgramsByType" display="C. Special education programs by type" xr:uid="{00000000-0004-0000-0800-000009000000}"/>
    <hyperlink ref="F3:H3" location="TotalActualGiftedExpenses" display="Instructions" xr:uid="{BCB3B9A7-2FBF-47FB-A6F2-A0A0568F4753}"/>
  </hyperlinks>
  <pageMargins left="0.7" right="0.7" top="0.75" bottom="0.75" header="0.3" footer="0.3"/>
  <pageSetup scale="76" orientation="landscape" r:id="rId3"/>
  <headerFooter>
    <oddFooter>&amp;LRev. 8/25 Arizona Department of Education and Auditor General&amp;CFY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F450-DE68-4942-B800-97A2E5966727}">
  <sheetPr>
    <pageSetUpPr fitToPage="1"/>
  </sheetPr>
  <dimension ref="A1:AC42"/>
  <sheetViews>
    <sheetView showGridLines="0" topLeftCell="A10" workbookViewId="0">
      <selection activeCell="K22" sqref="K22"/>
    </sheetView>
  </sheetViews>
  <sheetFormatPr defaultColWidth="9.33203125" defaultRowHeight="13.2" x14ac:dyDescent="0.25"/>
  <cols>
    <col min="1" max="1" width="21.33203125" customWidth="1"/>
    <col min="2" max="2" width="19.33203125" customWidth="1"/>
    <col min="3" max="3" width="13" customWidth="1"/>
    <col min="4" max="4" width="3.77734375" style="7" customWidth="1"/>
    <col min="5" max="12" width="13.77734375" customWidth="1"/>
    <col min="13" max="13" width="15.33203125" customWidth="1"/>
    <col min="14" max="14" width="13.77734375" customWidth="1"/>
    <col min="15" max="15" width="3.33203125" bestFit="1" customWidth="1"/>
    <col min="16" max="17" width="9.33203125" customWidth="1"/>
    <col min="18" max="18" width="9.33203125" hidden="1" customWidth="1"/>
    <col min="19" max="19" width="11" hidden="1" customWidth="1"/>
    <col min="20" max="25" width="9.33203125" hidden="1" customWidth="1"/>
    <col min="26" max="26" width="9.33203125" customWidth="1"/>
  </cols>
  <sheetData>
    <row r="1" spans="1:29" x14ac:dyDescent="0.25">
      <c r="A1" s="548" t="s">
        <v>0</v>
      </c>
      <c r="B1" s="810" t="str">
        <f>'Cover Page'!D1</f>
        <v>The Edge School, Inc</v>
      </c>
      <c r="C1" s="810"/>
      <c r="D1" s="810"/>
      <c r="G1" s="61" t="s">
        <v>1</v>
      </c>
      <c r="H1" s="810" t="str">
        <f>'Cover Page'!M1</f>
        <v>Pima</v>
      </c>
      <c r="I1" s="810"/>
      <c r="M1" s="61" t="s">
        <v>2</v>
      </c>
      <c r="N1" s="2" t="str">
        <f>'Cover Page'!R1</f>
        <v>108653000</v>
      </c>
    </row>
    <row r="3" spans="1:29" x14ac:dyDescent="0.25">
      <c r="A3" s="794" t="s">
        <v>307</v>
      </c>
      <c r="B3" s="794"/>
      <c r="C3" s="794"/>
      <c r="D3" s="893"/>
      <c r="E3" s="569" t="s">
        <v>184</v>
      </c>
      <c r="F3" s="606" t="s">
        <v>308</v>
      </c>
      <c r="G3" s="569"/>
      <c r="H3" s="569" t="s">
        <v>309</v>
      </c>
      <c r="I3" s="569"/>
      <c r="J3" s="177"/>
      <c r="K3" s="176"/>
      <c r="L3" s="176" t="s">
        <v>310</v>
      </c>
      <c r="M3" s="569" t="s">
        <v>311</v>
      </c>
      <c r="N3" s="569" t="s">
        <v>187</v>
      </c>
    </row>
    <row r="4" spans="1:29" x14ac:dyDescent="0.25">
      <c r="B4" s="892" t="s">
        <v>726</v>
      </c>
      <c r="C4" s="892"/>
      <c r="E4" s="80" t="s">
        <v>190</v>
      </c>
      <c r="F4" s="607" t="s">
        <v>184</v>
      </c>
      <c r="G4" s="80" t="s">
        <v>21</v>
      </c>
      <c r="H4" s="80" t="s">
        <v>312</v>
      </c>
      <c r="I4" s="80" t="s">
        <v>313</v>
      </c>
      <c r="J4" s="894" t="s">
        <v>89</v>
      </c>
      <c r="K4" s="895"/>
      <c r="L4" s="250" t="s">
        <v>314</v>
      </c>
      <c r="M4" s="80" t="s">
        <v>315</v>
      </c>
      <c r="N4" s="80" t="s">
        <v>190</v>
      </c>
      <c r="AA4" s="547"/>
      <c r="AB4" s="50"/>
      <c r="AC4" s="50"/>
    </row>
    <row r="5" spans="1:29" x14ac:dyDescent="0.25">
      <c r="A5" s="548" t="s">
        <v>316</v>
      </c>
      <c r="E5" s="85" t="s">
        <v>99</v>
      </c>
      <c r="F5" s="608" t="s">
        <v>483</v>
      </c>
      <c r="G5" s="85" t="s">
        <v>99</v>
      </c>
      <c r="H5" s="85" t="s">
        <v>99</v>
      </c>
      <c r="I5" s="85" t="s">
        <v>99</v>
      </c>
      <c r="J5" s="580" t="s">
        <v>98</v>
      </c>
      <c r="K5" s="580" t="s">
        <v>23</v>
      </c>
      <c r="L5" s="85" t="s">
        <v>317</v>
      </c>
      <c r="M5" s="85" t="s">
        <v>99</v>
      </c>
      <c r="N5" s="85" t="s">
        <v>99</v>
      </c>
      <c r="T5" s="547"/>
      <c r="AB5" s="50"/>
      <c r="AC5" s="50"/>
    </row>
    <row r="6" spans="1:29" x14ac:dyDescent="0.25">
      <c r="A6" t="s">
        <v>318</v>
      </c>
      <c r="D6" s="7" t="s">
        <v>24</v>
      </c>
      <c r="E6" s="549">
        <f>[2]!FP11001130EndBal</f>
        <v>0</v>
      </c>
      <c r="F6" s="53"/>
      <c r="G6" s="549">
        <f>-(SUMIFS('Accounting data'!$G$2:$G$37000,'Accounting data'!$H$2:$H$37000,"1100*",'Accounting data'!$K$2:$K$37000,"1*")+SUMIFS('Accounting data'!$G$2:$G$37000,'Accounting data'!$H$2:$H$37000,"1100*",'Accounting data'!$K$2:$K$37000,"2*")+SUMIFS('Accounting data'!$G$2:$G$37000,'Accounting data'!$H$2:$H$37000,"1100*",'Accounting data'!$K$2:$K$37000,"3*")+SUMIFS('Accounting data'!$G$2:$G$37000,'Accounting data'!$H$2:$H$37000,"1100*",'Accounting data'!$K$2:$K$37000,"4*")+SUMIFS('Accounting data'!$G$2:$G$37000,'Accounting data'!$H$2:$H$37000,"1100*",'Accounting data'!$K$2:$K$37000,"Other*"))</f>
        <v>53248</v>
      </c>
      <c r="H6" s="551">
        <f>SUMIFS('Accounting data'!$G$2:$G$37000,'Accounting data'!$H$2:$H$37000,"1100*",'Accounting data'!$K$2:$K$37000,"69*")</f>
        <v>965</v>
      </c>
      <c r="I6" s="51"/>
      <c r="J6" s="549">
        <f>[1]!FP11001130TitleI</f>
        <v>58000</v>
      </c>
      <c r="K6" s="551">
        <f>SUMIFS('Accounting data'!$G$2:$G$37000,'Accounting data'!$H$2:$H$37000,"1100*",'Accounting data'!$K$2:$K$37000,"6*")-SUMIFS('Accounting data'!$G$2:$G$37000,'Accounting data'!$H$2:$H$37000,"1100*",'Accounting data'!$K$2:$K$37000,"69*")-SUMIFS('Accounting data'!$G$2:$G$37000,'Accounting data'!$H$2:$H$37000,"1100*",'Accounting data'!$K$2:$K$37000,"67*")</f>
        <v>52283</v>
      </c>
      <c r="L6" s="251"/>
      <c r="M6" s="51"/>
      <c r="N6" s="551">
        <f>SUM(IF(F6="",E6,F6)+G6-H6-I6-K6-M6)</f>
        <v>0</v>
      </c>
      <c r="O6" s="217" t="s">
        <v>24</v>
      </c>
      <c r="P6" s="28"/>
      <c r="AB6" s="50"/>
      <c r="AC6" s="50" t="str">
        <f>IF(OR(I6="",I7="",I8="",I9="",I10="",I11="",I12="",I13="",I14="",I15="",I16="",I17="",I18="",I19="",I20="",I21="",I22=""),"yes","")</f>
        <v>yes</v>
      </c>
    </row>
    <row r="7" spans="1:29" x14ac:dyDescent="0.25">
      <c r="A7" t="s">
        <v>319</v>
      </c>
      <c r="D7" s="7" t="s">
        <v>26</v>
      </c>
      <c r="E7" s="549">
        <f>[2]!FP11401150EndBal</f>
        <v>0</v>
      </c>
      <c r="F7" s="53"/>
      <c r="G7" s="549">
        <f>-(SUMIFS('Accounting data'!$G$2:$G$37000,'Accounting data'!$H$2:$H$37000,"1140*",'Accounting data'!$K$2:$K$37000,"1*")+SUMIFS('Accounting data'!$G$2:$G$37000,'Accounting data'!$H$2:$H$37000,"1140*",'Accounting data'!$K$2:$K$37000,"2*")+SUMIFS('Accounting data'!$G$2:$G$37000,'Accounting data'!$H$2:$H$37000,"1140*",'Accounting data'!$K$2:$K$37000,"3*")+SUMIFS('Accounting data'!$G$2:$G$37000,'Accounting data'!$H$2:$H$37000,"1140*",'Accounting data'!$K$2:$K$37000,"4*")+SUMIFS('Accounting data'!$G$2:$G$37000,'Accounting data'!$H$2:$H$37000,"1140*",'Accounting data'!$K$2:$K$37000,"Other*"))</f>
        <v>0</v>
      </c>
      <c r="H7" s="551">
        <f>SUMIFS('Accounting data'!$G$2:$G$37000,'Accounting data'!$H$2:$H$37000,"1140*",'Accounting data'!$K$2:$K$37000,"69*")</f>
        <v>0</v>
      </c>
      <c r="I7" s="51"/>
      <c r="J7" s="549">
        <f>[1]!FP11401150TitleII</f>
        <v>0</v>
      </c>
      <c r="K7" s="551">
        <f>SUMIFS('Accounting data'!$G$2:$G$37000,'Accounting data'!$H$2:$H$37000,"1140*",'Accounting data'!$K$2:$K$37000,"6*")-SUMIFS('Accounting data'!$G$2:$G$37000,'Accounting data'!$H$2:$H$37000,"1140*",'Accounting data'!$K$2:$K$37000,"69*")-SUMIFS('Accounting data'!$G$2:$G$37000,'Accounting data'!$H$2:$H$37000,"1140*",'Accounting data'!$K$2:$K$37000,"67*")</f>
        <v>0</v>
      </c>
      <c r="L7" s="251"/>
      <c r="M7" s="51"/>
      <c r="N7" s="551">
        <f>SUM(IF(F7="",E7,F7)+G7-H7-I7-K7-M7)</f>
        <v>0</v>
      </c>
      <c r="O7" t="s">
        <v>26</v>
      </c>
      <c r="AB7" s="50"/>
      <c r="AC7" s="50" t="str">
        <f>IF(OR(M6="",M7="",M8="",M9="",M10="",M11="",M12="",M13="",M14="",M15="",M16="",M17="",M18="",M19="",M20="",M21="",M22=""),"yes","")</f>
        <v>yes</v>
      </c>
    </row>
    <row r="8" spans="1:29" x14ac:dyDescent="0.25">
      <c r="A8" t="s">
        <v>320</v>
      </c>
      <c r="D8" s="7" t="s">
        <v>28</v>
      </c>
      <c r="E8" s="549">
        <f>[2]!FP1160EndBal</f>
        <v>0</v>
      </c>
      <c r="F8" s="53"/>
      <c r="G8" s="549">
        <f>-(SUMIFS('Accounting data'!$G$2:$G$37000,'Accounting data'!$H$2:$H$37000,"1160*",'Accounting data'!$K$2:$K$37000,"1*")+SUMIFS('Accounting data'!$G$2:$G$37000,'Accounting data'!$H$2:$H$37000,"1160*",'Accounting data'!$K$2:$K$37000,"2*")+SUMIFS('Accounting data'!$G$2:$G$37000,'Accounting data'!$H$2:$H$37000,"1160*",'Accounting data'!$K$2:$K$37000,"3*")+SUMIFS('Accounting data'!$G$2:$G$37000,'Accounting data'!$H$2:$H$37000,"1160*",'Accounting data'!$K$2:$K$37000,"4*")+SUMIFS('Accounting data'!$G$2:$G$37000,'Accounting data'!$H$2:$H$37000,"1160*",'Accounting data'!$K$2:$K$37000,"Other*"))</f>
        <v>10000</v>
      </c>
      <c r="H8" s="551">
        <f>SUMIFS('Accounting data'!$G$2:$G$37000,'Accounting data'!$H$2:$H$37000,"1160*",'Accounting data'!$K$2:$K$37000,"69*")</f>
        <v>0</v>
      </c>
      <c r="I8" s="51"/>
      <c r="J8" s="549">
        <f>[1]!FP1160TitleIV</f>
        <v>10000</v>
      </c>
      <c r="K8" s="551">
        <f>SUMIFS('Accounting data'!$G$2:$G$37000,'Accounting data'!$H$2:$H$37000,"1160*",'Accounting data'!$K$2:$K$37000,"6*")-SUMIFS('Accounting data'!$G$2:$G$37000,'Accounting data'!$H$2:$H$37000,"1160*",'Accounting data'!$K$2:$K$37000,"69*")-SUMIFS('Accounting data'!$G$2:$G$37000,'Accounting data'!$H$2:$H$37000,"1160*",'Accounting data'!$K$2:$K$37000,"67*")</f>
        <v>10000</v>
      </c>
      <c r="L8" s="251"/>
      <c r="M8" s="51"/>
      <c r="N8" s="551">
        <f t="shared" ref="N8:N21" si="0">SUM(IF(F8="",E8,F8)+G8-H8-I8-K8-M8)</f>
        <v>0</v>
      </c>
      <c r="O8" t="s">
        <v>28</v>
      </c>
      <c r="AB8" s="50"/>
      <c r="AC8" s="50" t="str">
        <f>IF(OR(I25="",J25="",M25=""),"yes","")</f>
        <v>yes</v>
      </c>
    </row>
    <row r="9" spans="1:29" x14ac:dyDescent="0.25">
      <c r="A9" t="s">
        <v>321</v>
      </c>
      <c r="D9" s="7" t="s">
        <v>31</v>
      </c>
      <c r="E9" s="549">
        <f>[2]!FP11701180EndBal</f>
        <v>0</v>
      </c>
      <c r="F9" s="53"/>
      <c r="G9" s="549">
        <f>-(SUMIFS('Accounting data'!$G$2:$G$37000,'Accounting data'!$H$2:$H$37000,"1170*",'Accounting data'!$K$2:$K$37000,"1*")+SUMIFS('Accounting data'!$G$2:$G$37000,'Accounting data'!$H$2:$H$37000,"1170*",'Accounting data'!$K$2:$K$37000,"2*")+SUMIFS('Accounting data'!$G$2:$G$37000,'Accounting data'!$H$2:$H$37000,"1170*",'Accounting data'!$K$2:$K$37000,"3*")+SUMIFS('Accounting data'!$G$2:$G$37000,'Accounting data'!$H$2:$H$37000,"1170*",'Accounting data'!$K$2:$K$37000,"4*")+SUMIFS('Accounting data'!$G$2:$G$37000,'Accounting data'!$H$2:$H$37000,"1170*",'Accounting data'!$K$2:$K$37000,"Other*"))</f>
        <v>0</v>
      </c>
      <c r="H9" s="551">
        <f>SUMIFS('Accounting data'!$G$2:$G$37000,'Accounting data'!$H$2:$H$37000,"1170*",'Accounting data'!$K$2:$K$37000,"69*")</f>
        <v>0</v>
      </c>
      <c r="I9" s="51"/>
      <c r="J9" s="549">
        <f>[1]!FP11701180TitleV</f>
        <v>0</v>
      </c>
      <c r="K9" s="551">
        <f>SUMIFS('Accounting data'!$G$2:$G$37000,'Accounting data'!$H$2:$H$37000,"1170*",'Accounting data'!$K$2:$K$37000,"6*")-SUMIFS('Accounting data'!$G$2:$G$37000,'Accounting data'!$H$2:$H$37000,"1170*",'Accounting data'!$K$2:$K$37000,"69*")-SUMIFS('Accounting data'!$G$2:$G$37000,'Accounting data'!$H$2:$H$37000,"1170*",'Accounting data'!$K$2:$K$37000,"67*")</f>
        <v>0</v>
      </c>
      <c r="L9" s="251"/>
      <c r="M9" s="51"/>
      <c r="N9" s="551">
        <f t="shared" si="0"/>
        <v>0</v>
      </c>
      <c r="O9" t="s">
        <v>31</v>
      </c>
      <c r="AB9" s="50"/>
      <c r="AC9" s="50" t="str">
        <f>IF(OR(I28="",I29="",I30="",I31="",I32="",I33="",I34="",I35="",I36="",I37="",I38="",I39=""),"yes","")</f>
        <v>yes</v>
      </c>
    </row>
    <row r="10" spans="1:29" x14ac:dyDescent="0.25">
      <c r="A10" t="s">
        <v>322</v>
      </c>
      <c r="D10" s="7" t="s">
        <v>33</v>
      </c>
      <c r="E10" s="549">
        <f>[2]!FP1190EndBal</f>
        <v>0</v>
      </c>
      <c r="F10" s="53"/>
      <c r="G10" s="549">
        <f>-(SUMIFS('Accounting data'!$G$2:$G$37000,'Accounting data'!$H$2:$H$37000,"1190*",'Accounting data'!$K$2:$K$37000,"1*")+SUMIFS('Accounting data'!$G$2:$G$37000,'Accounting data'!$H$2:$H$37000,"1190*",'Accounting data'!$K$2:$K$37000,"2*")+SUMIFS('Accounting data'!$G$2:$G$37000,'Accounting data'!$H$2:$H$37000,"1190*",'Accounting data'!$K$2:$K$37000,"3*")+SUMIFS('Accounting data'!$G$2:$G$37000,'Accounting data'!$H$2:$H$37000,"1190*",'Accounting data'!$K$2:$K$37000,"4*")+SUMIFS('Accounting data'!$G$2:$G$37000,'Accounting data'!$H$2:$H$37000,"1190*",'Accounting data'!$K$2:$K$37000,"Other*"))</f>
        <v>0</v>
      </c>
      <c r="H10" s="551">
        <f>SUMIFS('Accounting data'!$G$2:$G$37000,'Accounting data'!$H$2:$H$37000,"1190*",'Accounting data'!$K$2:$K$37000,"69*")</f>
        <v>0</v>
      </c>
      <c r="I10" s="51"/>
      <c r="J10" s="549">
        <f>[1]!FP1190TitleIII</f>
        <v>0</v>
      </c>
      <c r="K10" s="551">
        <f>SUMIFS('Accounting data'!$G$2:$G$37000,'Accounting data'!$H$2:$H$37000,"1190*",'Accounting data'!$K$2:$K$37000,"6*")-SUMIFS('Accounting data'!$G$2:$G$37000,'Accounting data'!$H$2:$H$37000,"1190*",'Accounting data'!$K$2:$K$37000,"69*")-SUMIFS('Accounting data'!$G$2:$G$37000,'Accounting data'!$H$2:$H$37000,"1190*",'Accounting data'!$K$2:$K$37000,"67*")</f>
        <v>0</v>
      </c>
      <c r="L10" s="251"/>
      <c r="M10" s="51"/>
      <c r="N10" s="551">
        <f t="shared" si="0"/>
        <v>0</v>
      </c>
      <c r="O10" t="s">
        <v>33</v>
      </c>
      <c r="AB10" s="50"/>
      <c r="AC10" s="50" t="str">
        <f>IF(OR(M28="",M29="",M30="",M31="",M32="",M33="",M34="",M35="",M36="",M37="",M38="",M39=""),"yes","")</f>
        <v>yes</v>
      </c>
    </row>
    <row r="11" spans="1:29" x14ac:dyDescent="0.25">
      <c r="A11" t="s">
        <v>323</v>
      </c>
      <c r="D11" s="7" t="s">
        <v>35</v>
      </c>
      <c r="E11" s="549">
        <f>[2]!FP1200EndBal</f>
        <v>0</v>
      </c>
      <c r="F11" s="53"/>
      <c r="G11" s="549">
        <f>-(SUMIFS('Accounting data'!$G$2:$G$37000,'Accounting data'!$H$2:$H$37000,"1200*",'Accounting data'!$K$2:$K$37000,"1*")+SUMIFS('Accounting data'!$G$2:$G$37000,'Accounting data'!$H$2:$H$37000,"1200*",'Accounting data'!$K$2:$K$37000,"2*")+SUMIFS('Accounting data'!$G$2:$G$37000,'Accounting data'!$H$2:$H$37000,"1200*",'Accounting data'!$K$2:$K$37000,"3*")+SUMIFS('Accounting data'!$G$2:$G$37000,'Accounting data'!$H$2:$H$37000,"1200*",'Accounting data'!$K$2:$K$37000,"4*")+SUMIFS('Accounting data'!$G$2:$G$37000,'Accounting data'!$H$2:$H$37000,"1200*",'Accounting data'!$K$2:$K$37000,"Other*"))</f>
        <v>0</v>
      </c>
      <c r="H11" s="551">
        <f>SUMIFS('Accounting data'!$G$2:$G$37000,'Accounting data'!$H$2:$H$37000,"1200*",'Accounting data'!$K$2:$K$37000,"69*")</f>
        <v>0</v>
      </c>
      <c r="I11" s="51"/>
      <c r="J11" s="549">
        <f>[1]!FP1200TitleVII</f>
        <v>0</v>
      </c>
      <c r="K11" s="551">
        <f>SUMIFS('Accounting data'!$G$2:$G$37000,'Accounting data'!$H$2:$H$37000,"1200*",'Accounting data'!$K$2:$K$37000,"6*")-SUMIFS('Accounting data'!$G$2:$G$37000,'Accounting data'!$H$2:$H$37000,"1200*",'Accounting data'!$K$2:$K$37000,"69*")-SUMIFS('Accounting data'!$G$2:$G$37000,'Accounting data'!$H$2:$H$37000,"1200*",'Accounting data'!$K$2:$K$37000,"67*")</f>
        <v>0</v>
      </c>
      <c r="L11" s="251"/>
      <c r="M11" s="51"/>
      <c r="N11" s="551">
        <f t="shared" si="0"/>
        <v>0</v>
      </c>
      <c r="O11" t="s">
        <v>35</v>
      </c>
      <c r="AB11" s="50"/>
      <c r="AC11" s="50" t="str">
        <f>IF(AND(AC6="",AC8="",AC9="",AC7="",AC10=""),"","yes")</f>
        <v>yes</v>
      </c>
    </row>
    <row r="12" spans="1:29" x14ac:dyDescent="0.25">
      <c r="A12" t="s">
        <v>324</v>
      </c>
      <c r="D12" s="7" t="s">
        <v>36</v>
      </c>
      <c r="E12" s="549">
        <f>[2]!FP1210EndBal</f>
        <v>0</v>
      </c>
      <c r="F12" s="53"/>
      <c r="G12" s="549">
        <f>-(SUMIFS('Accounting data'!$G$2:$G$37000,'Accounting data'!$H$2:$H$37000,"1210*",'Accounting data'!$K$2:$K$37000,"1*")+SUMIFS('Accounting data'!$G$2:$G$37000,'Accounting data'!$H$2:$H$37000,"1210*",'Accounting data'!$K$2:$K$37000,"2*")+SUMIFS('Accounting data'!$G$2:$G$37000,'Accounting data'!$H$2:$H$37000,"1210*",'Accounting data'!$K$2:$K$37000,"3*")+SUMIFS('Accounting data'!$G$2:$G$37000,'Accounting data'!$H$2:$H$37000,"1210*",'Accounting data'!$K$2:$K$37000,"4*")+SUMIFS('Accounting data'!$G$2:$G$37000,'Accounting data'!$H$2:$H$37000,"1210*",'Accounting data'!$K$2:$K$37000,"Other*"))</f>
        <v>0</v>
      </c>
      <c r="H12" s="551">
        <f>SUMIFS('Accounting data'!$G$2:$G$37000,'Accounting data'!$H$2:$H$37000,"1210*",'Accounting data'!$K$2:$K$37000,"69*")</f>
        <v>0</v>
      </c>
      <c r="I12" s="51"/>
      <c r="J12" s="549">
        <f>[1]!FP1210TitleVI</f>
        <v>0</v>
      </c>
      <c r="K12" s="551">
        <f>SUMIFS('Accounting data'!$G$2:$G$37000,'Accounting data'!$H$2:$H$37000,"1210*",'Accounting data'!$K$2:$K$37000,"6*")-SUMIFS('Accounting data'!$G$2:$G$37000,'Accounting data'!$H$2:$H$37000,"1210*",'Accounting data'!$K$2:$K$37000,"69*")-SUMIFS('Accounting data'!$G$2:$G$37000,'Accounting data'!$H$2:$H$37000,"1210*",'Accounting data'!$K$2:$K$37000,"67*")</f>
        <v>0</v>
      </c>
      <c r="L12" s="251"/>
      <c r="M12" s="51"/>
      <c r="N12" s="551">
        <f t="shared" si="0"/>
        <v>0</v>
      </c>
      <c r="O12" t="s">
        <v>36</v>
      </c>
      <c r="AB12" s="50"/>
      <c r="AC12" s="50"/>
    </row>
    <row r="13" spans="1:29" x14ac:dyDescent="0.25">
      <c r="A13" t="s">
        <v>325</v>
      </c>
      <c r="D13" s="7" t="s">
        <v>38</v>
      </c>
      <c r="E13" s="549">
        <f>[2]!FP1220EndBal</f>
        <v>0</v>
      </c>
      <c r="F13" s="53"/>
      <c r="G13" s="549">
        <f>-(SUMIFS('Accounting data'!$G$2:$G$37000,'Accounting data'!$H$2:$H$37000,"122*",'Accounting data'!$K$2:$K$37000,"1*")+SUMIFS('Accounting data'!$G$2:$G$37000,'Accounting data'!$H$2:$H$37000,"122*",'Accounting data'!$K$2:$K$37000,"2*")+SUMIFS('Accounting data'!$G$2:$G$37000,'Accounting data'!$H$2:$H$37000,"122*",'Accounting data'!$K$2:$K$37000,"3*")+SUMIFS('Accounting data'!$G$2:$G$37000,'Accounting data'!$H$2:$H$37000,"122*",'Accounting data'!$K$2:$K$37000,"4*")+SUMIFS('Accounting data'!$G$2:$G$37000,'Accounting data'!$H$2:$H$37000,"122*",'Accounting data'!$K$2:$K$37000,"Other*"))</f>
        <v>25889</v>
      </c>
      <c r="H13" s="549">
        <f>SUMIFS('Accounting data'!$G$2:$G$37000,'Accounting data'!$H$2:$H$37000,"122*",'Accounting data'!$K$2:$K$37000,"69*")</f>
        <v>0</v>
      </c>
      <c r="I13" s="51"/>
      <c r="J13" s="549">
        <f>[1]!FP1220IDEA</f>
        <v>29447</v>
      </c>
      <c r="K13" s="551">
        <f>SUMIFS('Accounting data'!$G$2:$G$37000,'Accounting data'!$H$2:$H$37000,"122*",'Accounting data'!$K$2:$K$37000,"6*")-SUMIFS('Accounting data'!$G$2:$G$37000,'Accounting data'!$H$2:$H$37000,"122*",'Accounting data'!$K$2:$K$37000,"69*")-SUMIFS('Accounting data'!$G$2:$G$37000,'Accounting data'!$H$2:$H$37000,"122*",'Accounting data'!$K$2:$K$37000,"67*")</f>
        <v>25889</v>
      </c>
      <c r="L13" s="251"/>
      <c r="M13" s="51"/>
      <c r="N13" s="551">
        <f t="shared" si="0"/>
        <v>0</v>
      </c>
      <c r="O13" t="s">
        <v>38</v>
      </c>
      <c r="AB13" s="50"/>
      <c r="AC13" s="50"/>
    </row>
    <row r="14" spans="1:29" x14ac:dyDescent="0.25">
      <c r="A14" t="s">
        <v>326</v>
      </c>
      <c r="D14" s="7" t="s">
        <v>40</v>
      </c>
      <c r="E14" s="549">
        <f>[2]!FP1230EndBal</f>
        <v>0</v>
      </c>
      <c r="F14" s="53"/>
      <c r="G14" s="549">
        <f>-(SUMIFS('Accounting data'!$G$2:$G$37000,'Accounting data'!$H$2:$H$37000,"1230*",'Accounting data'!$K$2:$K$37000,"1*")+SUMIFS('Accounting data'!$G$2:$G$37000,'Accounting data'!$H$2:$H$37000,"1230*",'Accounting data'!$K$2:$K$37000,"2*")+SUMIFS('Accounting data'!$G$2:$G$37000,'Accounting data'!$H$2:$H$37000,"1230*",'Accounting data'!$K$2:$K$37000,"3*")+SUMIFS('Accounting data'!$G$2:$G$37000,'Accounting data'!$H$2:$H$37000,"1230*",'Accounting data'!$K$2:$K$37000,"4*")+SUMIFS('Accounting data'!$G$2:$G$37000,'Accounting data'!$H$2:$H$37000,"1230*",'Accounting data'!$K$2:$K$37000,"Other*"))</f>
        <v>0</v>
      </c>
      <c r="H14" s="551">
        <f>SUMIFS('Accounting data'!$G$2:$G$37000,'Accounting data'!$H$2:$H$37000,"1230*",'Accounting data'!$K$2:$K$37000,"69*")</f>
        <v>0</v>
      </c>
      <c r="I14" s="51"/>
      <c r="J14" s="549">
        <f>[1]!FP1230Johnson</f>
        <v>0</v>
      </c>
      <c r="K14" s="551">
        <f>SUMIFS('Accounting data'!$G$2:$G$37000,'Accounting data'!$H$2:$H$37000,"1230*",'Accounting data'!$K$2:$K$37000,"6*")-SUMIFS('Accounting data'!$G$2:$G$37000,'Accounting data'!$H$2:$H$37000,"1230*",'Accounting data'!$K$2:$K$37000,"69*")-SUMIFS('Accounting data'!$G$2:$G$37000,'Accounting data'!$H$2:$H$37000,"1230*",'Accounting data'!$K$2:$K$37000,"67*")</f>
        <v>0</v>
      </c>
      <c r="L14" s="251"/>
      <c r="M14" s="51"/>
      <c r="N14" s="551">
        <f t="shared" si="0"/>
        <v>0</v>
      </c>
      <c r="O14" t="s">
        <v>40</v>
      </c>
      <c r="AB14" s="50"/>
      <c r="AC14" s="50"/>
    </row>
    <row r="15" spans="1:29" x14ac:dyDescent="0.25">
      <c r="A15" t="s">
        <v>327</v>
      </c>
      <c r="D15" s="7" t="s">
        <v>42</v>
      </c>
      <c r="E15" s="549">
        <f>[2]!FP1240EndBal</f>
        <v>0</v>
      </c>
      <c r="F15" s="53"/>
      <c r="G15" s="549">
        <f>-(SUMIFS('Accounting data'!$G$2:$G$37000,'Accounting data'!$H$2:$H$37000,"1240*",'Accounting data'!$K$2:$K$37000,"1*")+SUMIFS('Accounting data'!$G$2:$G$37000,'Accounting data'!$H$2:$H$37000,"1240*",'Accounting data'!$K$2:$K$37000,"2*")+SUMIFS('Accounting data'!$G$2:$G$37000,'Accounting data'!$H$2:$H$37000,"1240*",'Accounting data'!$K$2:$K$37000,"3*")+SUMIFS('Accounting data'!$G$2:$G$37000,'Accounting data'!$H$2:$H$37000,"1240*",'Accounting data'!$K$2:$K$37000,"4*")+SUMIFS('Accounting data'!$G$2:$G$37000,'Accounting data'!$H$2:$H$37000,"1240*",'Accounting data'!$K$2:$K$37000,"Other*"))</f>
        <v>0</v>
      </c>
      <c r="H15" s="551">
        <f>SUMIFS('Accounting data'!$G$2:$G$37000,'Accounting data'!$H$2:$H$37000,"1240*",'Accounting data'!$K$2:$K$37000,"69*")</f>
        <v>0</v>
      </c>
      <c r="I15" s="51"/>
      <c r="J15" s="549">
        <f>[1]!FP1240WIA</f>
        <v>0</v>
      </c>
      <c r="K15" s="551">
        <f>SUMIFS('Accounting data'!$G$2:$G$37000,'Accounting data'!$H$2:$H$37000,"1240*",'Accounting data'!$K$2:$K$37000,"6*")-SUMIFS('Accounting data'!$G$2:$G$37000,'Accounting data'!$H$2:$H$37000,"1240*",'Accounting data'!$K$2:$K$37000,"69*")-SUMIFS('Accounting data'!$G$2:$G$37000,'Accounting data'!$H$2:$H$37000,"1240*",'Accounting data'!$K$2:$K$37000,"67*")</f>
        <v>0</v>
      </c>
      <c r="L15" s="251"/>
      <c r="M15" s="51"/>
      <c r="N15" s="551">
        <f t="shared" si="0"/>
        <v>0</v>
      </c>
      <c r="O15" t="s">
        <v>42</v>
      </c>
      <c r="AB15" s="50"/>
      <c r="AC15" s="50"/>
    </row>
    <row r="16" spans="1:29" x14ac:dyDescent="0.25">
      <c r="A16" t="s">
        <v>328</v>
      </c>
      <c r="D16" s="7" t="s">
        <v>44</v>
      </c>
      <c r="E16" s="549">
        <f>[2]!FP1250EndBal</f>
        <v>0</v>
      </c>
      <c r="F16" s="53"/>
      <c r="G16" s="549">
        <f>-(SUMIFS('Accounting data'!$G$2:$G$37000,'Accounting data'!$H$2:$H$37000,"1250*",'Accounting data'!$K$2:$K$37000,"1*")+SUMIFS('Accounting data'!$G$2:$G$37000,'Accounting data'!$H$2:$H$37000,"1250*",'Accounting data'!$K$2:$K$37000,"2*")+SUMIFS('Accounting data'!$G$2:$G$37000,'Accounting data'!$H$2:$H$37000,"1250*",'Accounting data'!$K$2:$K$37000,"3*")+SUMIFS('Accounting data'!$G$2:$G$37000,'Accounting data'!$H$2:$H$37000,"1250*",'Accounting data'!$K$2:$K$37000,"4*")+SUMIFS('Accounting data'!$G$2:$G$37000,'Accounting data'!$H$2:$H$37000,"1250*",'Accounting data'!$K$2:$K$37000,"Other*"))</f>
        <v>0</v>
      </c>
      <c r="H16" s="551">
        <f>SUMIFS('Accounting data'!$G$2:$G$37000,'Accounting data'!$H$2:$H$37000,"1250*",'Accounting data'!$K$2:$K$37000,"69*")</f>
        <v>0</v>
      </c>
      <c r="I16" s="51"/>
      <c r="J16" s="549">
        <f>[1]!FP1250AEA</f>
        <v>0</v>
      </c>
      <c r="K16" s="551">
        <f>SUMIFS('Accounting data'!$G$2:$G$37000,'Accounting data'!$H$2:$H$37000,"1250*",'Accounting data'!$K$2:$K$37000,"6*")-SUMIFS('Accounting data'!$G$2:$G$37000,'Accounting data'!$H$2:$H$37000,"1250*",'Accounting data'!$K$2:$K$37000,"69*")-SUMIFS('Accounting data'!$G$2:$G$37000,'Accounting data'!$H$2:$H$37000,"1250*",'Accounting data'!$K$2:$K$37000,"67*")</f>
        <v>0</v>
      </c>
      <c r="L16" s="251"/>
      <c r="M16" s="51"/>
      <c r="N16" s="551">
        <f t="shared" si="0"/>
        <v>0</v>
      </c>
      <c r="O16" t="s">
        <v>44</v>
      </c>
      <c r="AB16" s="50"/>
      <c r="AC16" s="50"/>
    </row>
    <row r="17" spans="1:26" x14ac:dyDescent="0.25">
      <c r="A17" t="s">
        <v>329</v>
      </c>
      <c r="D17" s="7" t="s">
        <v>45</v>
      </c>
      <c r="E17" s="549">
        <f>[2]!FP1260EndBal</f>
        <v>0</v>
      </c>
      <c r="F17" s="53"/>
      <c r="G17" s="549">
        <f>-(SUMIFS('Accounting data'!$G$2:$G$37000,'Accounting data'!$H$2:$H$37000,"1260*",'Accounting data'!$K$2:$K$37000,"1*")+SUMIFS('Accounting data'!$G$2:$G$37000,'Accounting data'!$H$2:$H$37000,"1260*",'Accounting data'!$K$2:$K$37000,"2*")+SUMIFS('Accounting data'!$G$2:$G$37000,'Accounting data'!$H$2:$H$37000,"1260*",'Accounting data'!$K$2:$K$37000,"3*")+SUMIFS('Accounting data'!$G$2:$G$37000,'Accounting data'!$H$2:$H$37000,"1260*",'Accounting data'!$K$2:$K$37000,"4*")+SUMIFS('Accounting data'!$G$2:$G$37000,'Accounting data'!$H$2:$H$37000,"1260*",'Accounting data'!$K$2:$K$37000,"Other*"))</f>
        <v>0</v>
      </c>
      <c r="H17" s="551">
        <f>SUMIFS('Accounting data'!$G$2:$G$37000,'Accounting data'!$H$2:$H$37000,"1260*",'Accounting data'!$K$2:$K$37000,"69*")</f>
        <v>0</v>
      </c>
      <c r="I17" s="51"/>
      <c r="J17" s="549">
        <f>[1]!FP12601270VocEd</f>
        <v>0</v>
      </c>
      <c r="K17" s="551">
        <f>SUMIFS('Accounting data'!$G$2:$G$37000,'Accounting data'!$H$2:$H$37000,"1260*",'Accounting data'!$K$2:$K$37000,"6*")-SUMIFS('Accounting data'!$G$2:$G$37000,'Accounting data'!$H$2:$H$37000,"1260*",'Accounting data'!$K$2:$K$37000,"69*")-SUMIFS('Accounting data'!$G$2:$G$37000,'Accounting data'!$H$2:$H$37000,"1260*",'Accounting data'!$K$2:$K$37000,"67*")</f>
        <v>0</v>
      </c>
      <c r="L17" s="251"/>
      <c r="M17" s="51"/>
      <c r="N17" s="551">
        <f t="shared" si="0"/>
        <v>0</v>
      </c>
      <c r="O17" t="s">
        <v>45</v>
      </c>
    </row>
    <row r="18" spans="1:26" x14ac:dyDescent="0.25">
      <c r="A18" t="s">
        <v>330</v>
      </c>
      <c r="D18" s="7" t="s">
        <v>47</v>
      </c>
      <c r="E18" s="549">
        <f>[2]!FP1280EndBal</f>
        <v>0</v>
      </c>
      <c r="F18" s="53"/>
      <c r="G18" s="549">
        <f>-(SUMIFS('Accounting data'!$G$2:$G$37000,'Accounting data'!$H$2:$H$37000,"1280*",'Accounting data'!$K$2:$K$37000,"1*")+SUMIFS('Accounting data'!$G$2:$G$37000,'Accounting data'!$H$2:$H$37000,"1280*",'Accounting data'!$K$2:$K$37000,"2*")+SUMIFS('Accounting data'!$G$2:$G$37000,'Accounting data'!$H$2:$H$37000,"1280*",'Accounting data'!$K$2:$K$37000,"3*")+SUMIFS('Accounting data'!$G$2:$G$37000,'Accounting data'!$H$2:$H$37000,"1280*",'Accounting data'!$K$2:$K$37000,"4*")+SUMIFS('Accounting data'!$G$2:$G$37000,'Accounting data'!$H$2:$H$37000,"1280*",'Accounting data'!$K$2:$K$37000,"Other*"))</f>
        <v>0</v>
      </c>
      <c r="H18" s="551">
        <f>SUMIFS('Accounting data'!$G$2:$G$37000,'Accounting data'!$H$2:$H$37000,"1280*",'Accounting data'!$K$2:$K$37000,"69*")</f>
        <v>0</v>
      </c>
      <c r="I18" s="51"/>
      <c r="J18" s="549">
        <f>[1]!FP1280TitleX</f>
        <v>0</v>
      </c>
      <c r="K18" s="551">
        <f>SUMIFS('Accounting data'!$G$2:$G$37000,'Accounting data'!$H$2:$H$37000,"1280*",'Accounting data'!$K$2:$K$37000,"6*")-SUMIFS('Accounting data'!$G$2:$G$37000,'Accounting data'!$H$2:$H$37000,"1280*",'Accounting data'!$K$2:$K$37000,"69*")-SUMIFS('Accounting data'!$G$2:$G$37000,'Accounting data'!$H$2:$H$37000,"1280*",'Accounting data'!$K$2:$K$37000,"67*")</f>
        <v>0</v>
      </c>
      <c r="L18" s="251"/>
      <c r="M18" s="51"/>
      <c r="N18" s="551">
        <f t="shared" si="0"/>
        <v>0</v>
      </c>
      <c r="O18" t="s">
        <v>47</v>
      </c>
      <c r="P18" s="547"/>
    </row>
    <row r="19" spans="1:26" x14ac:dyDescent="0.25">
      <c r="A19" t="s">
        <v>331</v>
      </c>
      <c r="D19" s="7" t="s">
        <v>49</v>
      </c>
      <c r="E19" s="549">
        <f>[2]!FP1290EndBal</f>
        <v>0</v>
      </c>
      <c r="F19" s="53"/>
      <c r="G19" s="549">
        <f>-(SUMIFS('Accounting data'!$G$2:$G$37000,'Accounting data'!$H$2:$H$37000,"1290*",'Accounting data'!$K$2:$K$37000,"1*")+SUMIFS('Accounting data'!$G$2:$G$37000,'Accounting data'!$H$2:$H$37000,"1290*",'Accounting data'!$K$2:$K$37000,"2*")+SUMIFS('Accounting data'!$G$2:$G$37000,'Accounting data'!$H$2:$H$37000,"1290*",'Accounting data'!$K$2:$K$37000,"3*")+SUMIFS('Accounting data'!$G$2:$G$37000,'Accounting data'!$H$2:$H$37000,"1290*",'Accounting data'!$K$2:$K$37000,"4*")+SUMIFS('Accounting data'!$G$2:$G$37000,'Accounting data'!$H$2:$H$37000,"1290*",'Accounting data'!$K$2:$K$37000,"Other*"))</f>
        <v>0</v>
      </c>
      <c r="H19" s="551">
        <f>SUMIFS('Accounting data'!$G$2:$G$37000,'Accounting data'!$H$2:$H$37000,"1290*",'Accounting data'!$K$2:$K$37000,"69*")</f>
        <v>0</v>
      </c>
      <c r="I19" s="51"/>
      <c r="J19" s="549">
        <f>[1]!FP1290Medicaid</f>
        <v>0</v>
      </c>
      <c r="K19" s="551">
        <f>SUMIFS('Accounting data'!$G$2:$G$37000,'Accounting data'!$H$2:$H$37000,"1290*",'Accounting data'!$K$2:$K$37000,"6*")-SUMIFS('Accounting data'!$G$2:$G$37000,'Accounting data'!$H$2:$H$37000,"1290*",'Accounting data'!$K$2:$K$37000,"69*")-SUMIFS('Accounting data'!$G$2:$G$37000,'Accounting data'!$H$2:$H$37000,"1290*",'Accounting data'!$K$2:$K$37000,"67*")</f>
        <v>0</v>
      </c>
      <c r="L19" s="251"/>
      <c r="M19" s="51"/>
      <c r="N19" s="551">
        <f t="shared" si="0"/>
        <v>0</v>
      </c>
      <c r="O19" t="s">
        <v>49</v>
      </c>
      <c r="P19" s="116"/>
      <c r="Q19" s="116"/>
      <c r="S19" s="28"/>
    </row>
    <row r="20" spans="1:26" x14ac:dyDescent="0.25">
      <c r="A20" t="s">
        <v>332</v>
      </c>
      <c r="D20" s="65" t="s">
        <v>51</v>
      </c>
      <c r="E20" s="549">
        <f>[2]!FP1300EndBal</f>
        <v>0</v>
      </c>
      <c r="F20" s="53"/>
      <c r="G20" s="549">
        <f>-(SUMIFS('Accounting data'!$G$2:$G$37000,'Accounting data'!$H$2:$H$37000,"1300*",'Accounting data'!$K$2:$K$37000,"1*")+SUMIFS('Accounting data'!$G$2:$G$37000,'Accounting data'!$H$2:$H$37000,"1300*",'Accounting data'!$K$2:$K$37000,"2*")+SUMIFS('Accounting data'!$G$2:$G$37000,'Accounting data'!$H$2:$H$37000,"1300*",'Accounting data'!$K$2:$K$37000,"3*")+SUMIFS('Accounting data'!$G$2:$G$37000,'Accounting data'!$H$2:$H$37000,"1300*",'Accounting data'!$K$2:$K$37000,"4*")+SUMIFS('Accounting data'!$G$2:$G$37000,'Accounting data'!$H$2:$H$37000,"1300*",'Accounting data'!$K$2:$K$37000,"Other*"))</f>
        <v>0</v>
      </c>
      <c r="H20" s="551">
        <f>SUMIFS('Accounting data'!$G$2:$G$37000,'Accounting data'!$H$2:$H$37000,"1300*",'Accounting data'!$K$2:$K$37000,"69*")</f>
        <v>0</v>
      </c>
      <c r="I20" s="51"/>
      <c r="J20" s="549">
        <f>[1]!FP1300Charter</f>
        <v>0</v>
      </c>
      <c r="K20" s="551">
        <f>SUMIFS('Accounting data'!$G$2:$G$37000,'Accounting data'!$H$2:$H$37000,"1300*",'Accounting data'!$K$2:$K$37000,"6*")-SUMIFS('Accounting data'!$G$2:$G$37000,'Accounting data'!$H$2:$H$37000,"1300*",'Accounting data'!$K$2:$K$37000,"69*")-SUMIFS('Accounting data'!$G$2:$G$37000,'Accounting data'!$H$2:$H$37000,"1300*",'Accounting data'!$K$2:$K$37000,"67*")</f>
        <v>0</v>
      </c>
      <c r="L20" s="251"/>
      <c r="M20" s="51"/>
      <c r="N20" s="551">
        <f t="shared" si="0"/>
        <v>0</v>
      </c>
      <c r="O20" s="243" t="s">
        <v>51</v>
      </c>
      <c r="P20" s="116"/>
      <c r="Q20" s="116"/>
      <c r="S20" s="28"/>
    </row>
    <row r="21" spans="1:26" x14ac:dyDescent="0.25">
      <c r="A21" s="211" t="s">
        <v>333</v>
      </c>
      <c r="B21" s="211"/>
      <c r="C21" s="211"/>
      <c r="D21" s="69" t="s">
        <v>53</v>
      </c>
      <c r="E21" s="549">
        <f>[2]!FP13XXImpactAidEndBal</f>
        <v>0</v>
      </c>
      <c r="F21" s="53"/>
      <c r="G21" s="549">
        <f>-(SUMIFS('Accounting data'!$G$2:$G$37000,'Accounting data'!$H$2:$H$37000,"13XX*",'Accounting data'!$K$2:$K$37000,"1*")+SUMIFS('Accounting data'!$G$2:$G$37000,'Accounting data'!$H$2:$H$37000,"13XX*",'Accounting data'!$K$2:$K$37000,"2*")+SUMIFS('Accounting data'!$G$2:$G$37000,'Accounting data'!$H$2:$H$37000,"13XX*",'Accounting data'!$K$2:$K$37000,"3*")+SUMIFS('Accounting data'!$G$2:$G$37000,'Accounting data'!$H$2:$H$37000,"13XX*",'Accounting data'!$K$2:$K$37000,"4*")+SUMIFS('Accounting data'!$G$2:$G$37000,'Accounting data'!$H$2:$H$37000,"13XX*",'Accounting data'!$K$2:$K$37000,"Other*"))</f>
        <v>0</v>
      </c>
      <c r="H21" s="551">
        <f>SUMIFS('Accounting data'!$G$2:$G$37000,'Accounting data'!$H$2:$H$37000,"13XX*",'Accounting data'!$K$2:$K$37000,"69*")</f>
        <v>0</v>
      </c>
      <c r="I21" s="51"/>
      <c r="J21" s="549">
        <f>[1]!FP13__ImpactAid</f>
        <v>0</v>
      </c>
      <c r="K21" s="551">
        <f>SUMIFS('Accounting data'!$G$2:$G$37000,'Accounting data'!$H$2:$H$37000,"13XX*",'Accounting data'!$K$2:$K$37000,"6*")-SUMIFS('Accounting data'!$G$2:$G$37000,'Accounting data'!$H$2:$H$37000,"13XX*",'Accounting data'!$K$2:$K$37000,"69*")-SUMIFS('Accounting data'!$G$2:$G$37000,'Accounting data'!$H$2:$H$37000,"13XX*",'Accounting data'!$K$2:$K$37000,"67*")</f>
        <v>0</v>
      </c>
      <c r="L21" s="251"/>
      <c r="M21" s="51"/>
      <c r="N21" s="551">
        <f t="shared" si="0"/>
        <v>0</v>
      </c>
      <c r="O21" s="243" t="s">
        <v>53</v>
      </c>
      <c r="P21" s="116"/>
      <c r="Q21" s="116"/>
      <c r="S21" s="28"/>
    </row>
    <row r="22" spans="1:26" ht="13.8" thickBot="1" x14ac:dyDescent="0.3">
      <c r="A22" s="211" t="s">
        <v>334</v>
      </c>
      <c r="B22" s="211"/>
      <c r="C22" s="211"/>
      <c r="D22" s="65" t="s">
        <v>55</v>
      </c>
      <c r="E22" s="218">
        <f>[2]!FP13101399EndBal</f>
        <v>0</v>
      </c>
      <c r="F22" s="56">
        <v>1465</v>
      </c>
      <c r="G22" s="218">
        <f>-(SUMIFS('Accounting data'!$G$2:$G$37000,'Accounting data'!$H$2:$H$37000,"1310*",'Accounting data'!$K$2:$K$37000,"1*")+SUMIFS('Accounting data'!$G$2:$G$37000,'Accounting data'!$H$2:$H$37000,"1310*",'Accounting data'!$K$2:$K$37000,"2*")+SUMIFS('Accounting data'!$G$2:$G$37000,'Accounting data'!$H$2:$H$37000,"1310*",'Accounting data'!$K$2:$K$37000,"3*")+SUMIFS('Accounting data'!$G$2:$G$37000,'Accounting data'!$H$2:$H$37000,"1310*",'Accounting data'!$K$2:$K$37000,"4*")+SUMIFS('Accounting data'!$G$2:$G$37000,'Accounting data'!$H$2:$H$37000,"1310*",'Accounting data'!$K$2:$K$37000,"Other*"))</f>
        <v>162318</v>
      </c>
      <c r="H22" s="224">
        <f>SUMIFS('Accounting data'!$G$2:$G$37000,'Accounting data'!$H$2:$H$37000,"1310*",'Accounting data'!$K$2:$K$37000,"69*")</f>
        <v>3088</v>
      </c>
      <c r="I22" s="55">
        <v>1465</v>
      </c>
      <c r="J22" s="218">
        <f>[1]!FP13101399Other</f>
        <v>158043</v>
      </c>
      <c r="K22" s="224">
        <f>SUMIFS('Accounting data'!$G$2:$G$37000,'Accounting data'!$H$2:$H$37000,"1310*",'Accounting data'!$K$2:$K$37000,"6*")-SUMIFS('Accounting data'!$G$2:$G$37000,'Accounting data'!$H$2:$H$37000,"1310*",'Accounting data'!$K$2:$K$37000,"69*")-SUMIFS('Accounting data'!$G$2:$G$37000,'Accounting data'!$H$2:$H$37000,"1310*",'Accounting data'!$K$2:$K$37000,"67*")</f>
        <v>159230</v>
      </c>
      <c r="L22" s="55"/>
      <c r="M22" s="55"/>
      <c r="N22" s="551">
        <f>SUM(IF(F22="",E22,F22)+G22-H22-I22-K22-M22-L22)</f>
        <v>0</v>
      </c>
      <c r="O22" s="243" t="s">
        <v>55</v>
      </c>
      <c r="P22" s="116"/>
      <c r="Q22" s="116"/>
      <c r="S22" s="28"/>
    </row>
    <row r="23" spans="1:26" ht="13.8" thickBot="1" x14ac:dyDescent="0.3">
      <c r="A23" t="s">
        <v>335</v>
      </c>
      <c r="D23" s="65" t="s">
        <v>57</v>
      </c>
      <c r="E23" s="219">
        <f t="shared" ref="E23:M23" si="1">SUM(E6:E22)</f>
        <v>0</v>
      </c>
      <c r="F23" s="219" cm="1">
        <f t="array" ref="F23">SUM(IF(F6:F22="",E6:E22,F6:F22))</f>
        <v>1465</v>
      </c>
      <c r="G23" s="219">
        <f t="shared" si="1"/>
        <v>251455</v>
      </c>
      <c r="H23" s="219">
        <f t="shared" si="1"/>
        <v>4053</v>
      </c>
      <c r="I23" s="219">
        <f>SUM(I6:I22)</f>
        <v>1465</v>
      </c>
      <c r="J23" s="219">
        <f>SUM(J6:J22)</f>
        <v>255490</v>
      </c>
      <c r="K23" s="219">
        <f t="shared" si="1"/>
        <v>247402</v>
      </c>
      <c r="L23" s="219">
        <f>SUM(L6:L22)</f>
        <v>0</v>
      </c>
      <c r="M23" s="219">
        <f t="shared" si="1"/>
        <v>0</v>
      </c>
      <c r="N23" s="551">
        <f>SUM(IF(F23="",E23,F23)+G23-H23-I23-K23-M23)</f>
        <v>0</v>
      </c>
      <c r="O23" s="243" t="s">
        <v>57</v>
      </c>
    </row>
    <row r="24" spans="1:26" ht="13.8" thickTop="1" x14ac:dyDescent="0.25">
      <c r="D24" s="65"/>
      <c r="E24" s="28"/>
      <c r="F24" s="28"/>
      <c r="G24" s="28"/>
      <c r="H24" s="28"/>
      <c r="I24" s="28"/>
      <c r="J24" s="28"/>
      <c r="K24" s="28"/>
      <c r="L24" s="28"/>
      <c r="M24" s="28"/>
      <c r="N24" s="28"/>
      <c r="O24" s="243"/>
    </row>
    <row r="25" spans="1:26" x14ac:dyDescent="0.25">
      <c r="A25" s="211" t="s">
        <v>336</v>
      </c>
      <c r="B25" s="211"/>
      <c r="C25" s="211"/>
      <c r="D25" s="65" t="s">
        <v>59</v>
      </c>
      <c r="E25" s="549">
        <f>'[2]Page 8'!$N$25</f>
        <v>0</v>
      </c>
      <c r="F25" s="53">
        <v>1465</v>
      </c>
      <c r="G25" s="551">
        <f>Q25+Z25</f>
        <v>1428</v>
      </c>
      <c r="H25" s="549">
        <f t="array" ref="H25">SUM(SUMIFS('Accounting data'!$G$2:$G$37000,'Accounting data'!$H$2:$H$37000,{"1310-1399-COVID-19*","1227*","1228*"},'Accounting data'!$K$2:$K$37000,"69*"))</f>
        <v>0</v>
      </c>
      <c r="I25" s="53">
        <v>1465</v>
      </c>
      <c r="J25" s="103"/>
      <c r="K25" s="551">
        <f t="array" ref="K25">SUM(SUMIFS('Accounting data'!$G$2:$G$37000,'Accounting data'!$H$2:$H$37000,{"1310-1399-COVID-19*","1227*","1228*"},'Accounting data'!$K$2:$K$37000,"6*"))-SUM(SUMIFS('Accounting data'!$G$2:$G$37000,'Accounting data'!$H$2:$H$37000,{"1310-1399-COVID-19*","1227*","1228*"},'Accounting data'!$K$2:$K$37000,"69*"))-SUM(SUMIFS('Accounting data'!$G$2:$G$37000,'Accounting data'!$H$2:$H$37000,{"1310-1399-COVID-19*","1227*","1228*"},'Accounting data'!$K$2:$K$37000,"67*"))</f>
        <v>1428</v>
      </c>
      <c r="L25" s="51"/>
      <c r="M25" s="53"/>
      <c r="N25" s="551">
        <f>SUM(IF(F25="",E25,F25)+G25-H25-I25-K25-M25-L25)</f>
        <v>0</v>
      </c>
      <c r="O25" s="65" t="s">
        <v>59</v>
      </c>
      <c r="Q25" s="50">
        <f t="array" ref="Q25">-(SUMIFS('Accounting data'!$G$2:$G$37000,'Accounting data'!$H$2:$H$37000,"1310-1399-COVID-19*",'Accounting data'!$K$2:$K$37000,"1*")+SUMIFS('Accounting data'!$G$2:$G$37000,'Accounting data'!$H$2:$H$37000,"1310-1399-COVID-19*",'Accounting data'!$K$2:$K$37000,"2*")+SUMIFS('Accounting data'!$G$2:$G$37000,'Accounting data'!$H$2:$H$37000,"1310-1399-COVID-19*",'Accounting data'!$K$2:$K$37000,"3*")+SUMIFS('Accounting data'!$G$2:$G$37000,'Accounting data'!$H$2:$H$37000,"1310-1399-COVID-19*",'Accounting data'!$K$2:$K$37000,"4*")+SUMIFS('Accounting data'!$G$2:$G$37000,'Accounting data'!$H$2:$H$37000,"1310-1399-COVID-19*",'Accounting data'!$K$2:$K$37000,"Other*")+SUM(SUMIFS('Accounting data'!$G$2:$G$37000,'Accounting data'!$H$2:$H$37000,"1227*",'Accounting data'!$K$2:$K$37000,{"1*","2*","3*","4*","Other*"})))</f>
        <v>1428.38</v>
      </c>
      <c r="R25" s="50"/>
      <c r="S25" s="50"/>
      <c r="T25" s="50"/>
      <c r="U25" s="50"/>
      <c r="V25" s="50"/>
      <c r="W25" s="50"/>
      <c r="X25" s="50"/>
      <c r="Y25" s="50"/>
      <c r="Z25" s="50">
        <f t="array" ref="Z25">-SUM(SUMIFS('Accounting data'!$G$2:$G$37000,'Accounting data'!$H$2:$H$37000,"1228*",'Accounting data'!$K$2:$K$37000,{"1*","2*","3*","4*","Other*"}))</f>
        <v>0</v>
      </c>
    </row>
    <row r="26" spans="1:26" x14ac:dyDescent="0.25">
      <c r="D26" s="65"/>
      <c r="E26" s="28"/>
      <c r="F26" s="28"/>
      <c r="G26" s="28"/>
      <c r="H26" s="28"/>
      <c r="I26" s="28"/>
      <c r="J26" s="28"/>
      <c r="K26" s="28"/>
      <c r="L26" s="28"/>
      <c r="M26" s="28"/>
      <c r="N26" s="28"/>
      <c r="O26" s="243"/>
    </row>
    <row r="27" spans="1:26" x14ac:dyDescent="0.25">
      <c r="A27" s="548" t="s">
        <v>337</v>
      </c>
      <c r="E27" s="214"/>
      <c r="F27" s="214"/>
      <c r="G27" s="214"/>
      <c r="H27" s="214"/>
      <c r="I27" s="214"/>
      <c r="J27" s="214"/>
      <c r="K27" s="214"/>
      <c r="L27" s="214"/>
      <c r="M27" s="214"/>
      <c r="N27" s="214"/>
    </row>
    <row r="28" spans="1:26" x14ac:dyDescent="0.25">
      <c r="A28" t="s">
        <v>338</v>
      </c>
      <c r="D28" s="65" t="s">
        <v>61</v>
      </c>
      <c r="E28" s="549">
        <f>[2]!StP1400EndBal</f>
        <v>0</v>
      </c>
      <c r="F28" s="53"/>
      <c r="G28" s="549">
        <f>-(SUMIFS('Accounting data'!$G$2:$G$37000,'Accounting data'!$H$2:$H$37000,"1400*",'Accounting data'!$K$2:$K$37000,"1*")+SUMIFS('Accounting data'!$G$2:$G$37000,'Accounting data'!$H$2:$H$37000,"1400*",'Accounting data'!$K$2:$K$37000,"2*")+SUMIFS('Accounting data'!$G$2:$G$37000,'Accounting data'!$H$2:$H$37000,"1400*",'Accounting data'!$K$2:$K$37000,"3*")+SUMIFS('Accounting data'!$G$2:$G$37000,'Accounting data'!$H$2:$H$37000,"1400*",'Accounting data'!$K$2:$K$37000,"4*")+SUMIFS('Accounting data'!$G$2:$G$37000,'Accounting data'!$H$2:$H$37000,"1400*",'Accounting data'!$K$2:$K$37000,"Other*"))</f>
        <v>0</v>
      </c>
      <c r="H28" s="101"/>
      <c r="I28" s="51"/>
      <c r="J28" s="549">
        <f>[1]!SP1400VocEd</f>
        <v>0</v>
      </c>
      <c r="K28" s="551">
        <f>SUMIFS('Accounting data'!$G$2:$G$37000,'Accounting data'!$H$2:$H$37000,"1400*",'Accounting data'!$K$2:$K$37000,"6*")-SUMIFS('Accounting data'!$G$2:$G$37000,'Accounting data'!$H$2:$H$37000,"1400*",'Accounting data'!$K$2:$K$37000,"69*")-SUMIFS('Accounting data'!$G$2:$G$37000,'Accounting data'!$H$2:$H$37000,"1400*",'Accounting data'!$K$2:$K$37000,"67*")</f>
        <v>0</v>
      </c>
      <c r="L28" s="51"/>
      <c r="M28" s="51"/>
      <c r="N28" s="551">
        <f>SUM(IF(F28="",E28,F28)+G28-H28-I28-K28-L28-M28)</f>
        <v>0</v>
      </c>
      <c r="O28" s="65" t="s">
        <v>61</v>
      </c>
    </row>
    <row r="29" spans="1:26" x14ac:dyDescent="0.25">
      <c r="A29" t="s">
        <v>339</v>
      </c>
      <c r="D29" s="65" t="s">
        <v>63</v>
      </c>
      <c r="E29" s="549">
        <f>[2]!StP1410EndBal</f>
        <v>0</v>
      </c>
      <c r="F29" s="53"/>
      <c r="G29" s="549">
        <f>-(SUMIFS('Accounting data'!$G$2:$G$37000,'Accounting data'!$H$2:$H$37000,"1410*",'Accounting data'!$K$2:$K$37000,"1*")+SUMIFS('Accounting data'!$G$2:$G$37000,'Accounting data'!$H$2:$H$37000,"1410*",'Accounting data'!$K$2:$K$37000,"2*")+SUMIFS('Accounting data'!$G$2:$G$37000,'Accounting data'!$H$2:$H$37000,"1410*",'Accounting data'!$K$2:$K$37000,"3*")+SUMIFS('Accounting data'!$G$2:$G$37000,'Accounting data'!$H$2:$H$37000,"1410*",'Accounting data'!$K$2:$K$37000,"4*")+SUMIFS('Accounting data'!$G$2:$G$37000,'Accounting data'!$H$2:$H$37000,"1410*",'Accounting data'!$K$2:$K$37000,"Other*"))</f>
        <v>0</v>
      </c>
      <c r="H29" s="101"/>
      <c r="I29" s="51"/>
      <c r="J29" s="549">
        <f>[1]!SP1410EarlyChildhoodBlockGrant</f>
        <v>0</v>
      </c>
      <c r="K29" s="551">
        <f>SUMIFS('Accounting data'!$G$2:$G$37000,'Accounting data'!$H$2:$H$37000,"1410*",'Accounting data'!$K$2:$K$37000,"6*")-SUMIFS('Accounting data'!$G$2:$G$37000,'Accounting data'!$H$2:$H$37000,"1410*",'Accounting data'!$K$2:$K$37000,"69*")-SUMIFS('Accounting data'!$G$2:$G$37000,'Accounting data'!$H$2:$H$37000,"1410*",'Accounting data'!$K$2:$K$37000,"67*")</f>
        <v>0</v>
      </c>
      <c r="L29" s="51"/>
      <c r="M29" s="51"/>
      <c r="N29" s="551">
        <f t="shared" ref="N29:N39" si="2">SUM(IF(F29="",E29,F29)+G29-H29-I29-K29-L29-M29)</f>
        <v>0</v>
      </c>
      <c r="O29" s="65" t="s">
        <v>63</v>
      </c>
    </row>
    <row r="30" spans="1:26" x14ac:dyDescent="0.25">
      <c r="A30" t="s">
        <v>340</v>
      </c>
      <c r="D30" s="65" t="s">
        <v>65</v>
      </c>
      <c r="E30" s="549">
        <f>[2]!StP1420EndBal</f>
        <v>0</v>
      </c>
      <c r="F30" s="53"/>
      <c r="G30" s="549">
        <f>-(SUMIFS('Accounting data'!$G$2:$G$37000,'Accounting data'!$H$2:$H$37000,"1420*",'Accounting data'!$K$2:$K$37000,"1*")+SUMIFS('Accounting data'!$G$2:$G$37000,'Accounting data'!$H$2:$H$37000,"1420*",'Accounting data'!$K$2:$K$37000,"2*")+SUMIFS('Accounting data'!$G$2:$G$37000,'Accounting data'!$H$2:$H$37000,"1420*",'Accounting data'!$K$2:$K$37000,"3*")+SUMIFS('Accounting data'!$G$2:$G$37000,'Accounting data'!$H$2:$H$37000,"1420*",'Accounting data'!$K$2:$K$37000,"4*")+SUMIFS('Accounting data'!$G$2:$G$37000,'Accounting data'!$H$2:$H$37000,"1420*",'Accounting data'!$K$2:$K$37000,"Other*"))</f>
        <v>0</v>
      </c>
      <c r="H30" s="101"/>
      <c r="I30" s="51"/>
      <c r="J30" s="549">
        <f>[1]!FP1420ExtendedSchool</f>
        <v>0</v>
      </c>
      <c r="K30" s="551">
        <f>SUMIFS('Accounting data'!$G$2:$G$37000,'Accounting data'!$H$2:$H$37000,"1420*",'Accounting data'!$K$2:$K$37000,"6*")-SUMIFS('Accounting data'!$G$2:$G$37000,'Accounting data'!$H$2:$H$37000,"1420*",'Accounting data'!$K$2:$K$37000,"69*")-SUMIFS('Accounting data'!$G$2:$G$37000,'Accounting data'!$H$2:$H$37000,"1420*",'Accounting data'!$K$2:$K$37000,"67*")</f>
        <v>0</v>
      </c>
      <c r="L30" s="51"/>
      <c r="M30" s="51"/>
      <c r="N30" s="551">
        <f t="shared" si="2"/>
        <v>0</v>
      </c>
      <c r="O30" s="65" t="s">
        <v>65</v>
      </c>
    </row>
    <row r="31" spans="1:26" x14ac:dyDescent="0.25">
      <c r="A31" t="s">
        <v>341</v>
      </c>
      <c r="D31" s="65" t="s">
        <v>67</v>
      </c>
      <c r="E31" s="549">
        <f>[2]!StP1425EndBal</f>
        <v>0</v>
      </c>
      <c r="F31" s="53"/>
      <c r="G31" s="549">
        <f>-(SUMIFS('Accounting data'!$G$2:$G$37000,'Accounting data'!$H$2:$H$37000,"1425*",'Accounting data'!$K$2:$K$37000,"1*")+SUMIFS('Accounting data'!$G$2:$G$37000,'Accounting data'!$H$2:$H$37000,"1425*",'Accounting data'!$K$2:$K$37000,"2*")+SUMIFS('Accounting data'!$G$2:$G$37000,'Accounting data'!$H$2:$H$37000,"1425*",'Accounting data'!$K$2:$K$37000,"3*")+SUMIFS('Accounting data'!$G$2:$G$37000,'Accounting data'!$H$2:$H$37000,"1425*",'Accounting data'!$K$2:$K$37000,"4*")+SUMIFS('Accounting data'!$G$2:$G$37000,'Accounting data'!$H$2:$H$37000,"1425*",'Accounting data'!$K$2:$K$37000,"Other*"))</f>
        <v>0</v>
      </c>
      <c r="H31" s="101"/>
      <c r="I31" s="51"/>
      <c r="J31" s="549">
        <f>[1]!SP1425AdultBasicEd</f>
        <v>0</v>
      </c>
      <c r="K31" s="551">
        <f>SUMIFS('Accounting data'!$G$2:$G$37000,'Accounting data'!$H$2:$H$37000,"1425*",'Accounting data'!$K$2:$K$37000,"6*")-SUMIFS('Accounting data'!$G$2:$G$37000,'Accounting data'!$H$2:$H$37000,"1425*",'Accounting data'!$K$2:$K$37000,"69*")-SUMIFS('Accounting data'!$G$2:$G$37000,'Accounting data'!$H$2:$H$37000,"1425*",'Accounting data'!$K$2:$K$37000,"67*")</f>
        <v>0</v>
      </c>
      <c r="L31" s="51"/>
      <c r="M31" s="51"/>
      <c r="N31" s="551">
        <f t="shared" si="2"/>
        <v>0</v>
      </c>
      <c r="O31" s="65" t="s">
        <v>67</v>
      </c>
    </row>
    <row r="32" spans="1:26" x14ac:dyDescent="0.25">
      <c r="A32" t="s">
        <v>342</v>
      </c>
      <c r="D32" s="65" t="s">
        <v>69</v>
      </c>
      <c r="E32" s="549">
        <f>[2]!StP1430EndBal</f>
        <v>0</v>
      </c>
      <c r="F32" s="53"/>
      <c r="G32" s="549">
        <f>-(SUMIFS('Accounting data'!$G$2:$G$37000,'Accounting data'!$H$2:$H$37000,"1430*",'Accounting data'!$K$2:$K$37000,"1*")+SUMIFS('Accounting data'!$G$2:$G$37000,'Accounting data'!$H$2:$H$37000,"1430*",'Accounting data'!$K$2:$K$37000,"2*")+SUMIFS('Accounting data'!$G$2:$G$37000,'Accounting data'!$H$2:$H$37000,"1430*",'Accounting data'!$K$2:$K$37000,"3*")+SUMIFS('Accounting data'!$G$2:$G$37000,'Accounting data'!$H$2:$H$37000,"1430*",'Accounting data'!$K$2:$K$37000,"4*")+SUMIFS('Accounting data'!$G$2:$G$37000,'Accounting data'!$H$2:$H$37000,"1430*",'Accounting data'!$K$2:$K$37000,"Other*"))</f>
        <v>0</v>
      </c>
      <c r="H32" s="101"/>
      <c r="I32" s="51"/>
      <c r="J32" s="549">
        <f>[1]!SP1430ChemicalAbuse</f>
        <v>0</v>
      </c>
      <c r="K32" s="551">
        <f>SUMIFS('Accounting data'!$G$2:$G$37000,'Accounting data'!$H$2:$H$37000,"1430*",'Accounting data'!$K$2:$K$37000,"6*")-SUMIFS('Accounting data'!$G$2:$G$37000,'Accounting data'!$H$2:$H$37000,"1430*",'Accounting data'!$K$2:$K$37000,"69*")-SUMIFS('Accounting data'!$G$2:$G$37000,'Accounting data'!$H$2:$H$37000,"1430*",'Accounting data'!$K$2:$K$37000,"67*")</f>
        <v>0</v>
      </c>
      <c r="L32" s="51"/>
      <c r="M32" s="51"/>
      <c r="N32" s="551">
        <f t="shared" si="2"/>
        <v>0</v>
      </c>
      <c r="O32" s="65" t="s">
        <v>69</v>
      </c>
    </row>
    <row r="33" spans="1:15" ht="12.75" customHeight="1" x14ac:dyDescent="0.25">
      <c r="A33" t="s">
        <v>343</v>
      </c>
      <c r="D33" s="65" t="s">
        <v>71</v>
      </c>
      <c r="E33" s="549">
        <f>[2]!StP1435EndBal</f>
        <v>0</v>
      </c>
      <c r="F33" s="53"/>
      <c r="G33" s="549">
        <f>-(SUMIFS('Accounting data'!$G$2:$G$37000,'Accounting data'!$H$2:$H$37000,"1435*",'Accounting data'!$K$2:$K$37000,"1*")+SUMIFS('Accounting data'!$G$2:$G$37000,'Accounting data'!$H$2:$H$37000,"1435*",'Accounting data'!$K$2:$K$37000,"2*")+SUMIFS('Accounting data'!$G$2:$G$37000,'Accounting data'!$H$2:$H$37000,"1435*",'Accounting data'!$K$2:$K$37000,"3*")+SUMIFS('Accounting data'!$G$2:$G$37000,'Accounting data'!$H$2:$H$37000,"1435*",'Accounting data'!$K$2:$K$37000,"4*")+SUMIFS('Accounting data'!$G$2:$G$37000,'Accounting data'!$H$2:$H$37000,"1435*",'Accounting data'!$K$2:$K$37000,"Other*"))</f>
        <v>0</v>
      </c>
      <c r="H33" s="101"/>
      <c r="I33" s="51"/>
      <c r="J33" s="549">
        <f>[1]!SP1435AcademicContests</f>
        <v>0</v>
      </c>
      <c r="K33" s="551">
        <f>SUMIFS('Accounting data'!$G$2:$G$37000,'Accounting data'!$H$2:$H$37000,"1435*",'Accounting data'!$K$2:$K$37000,"6*")-SUMIFS('Accounting data'!$G$2:$G$37000,'Accounting data'!$H$2:$H$37000,"1435*",'Accounting data'!$K$2:$K$37000,"69*")-SUMIFS('Accounting data'!$G$2:$G$37000,'Accounting data'!$H$2:$H$37000,"1435*",'Accounting data'!$K$2:$K$37000,"67*")</f>
        <v>0</v>
      </c>
      <c r="L33" s="51"/>
      <c r="M33" s="51"/>
      <c r="N33" s="551">
        <f t="shared" si="2"/>
        <v>0</v>
      </c>
      <c r="O33" s="65" t="s">
        <v>71</v>
      </c>
    </row>
    <row r="34" spans="1:15" ht="12.75" customHeight="1" x14ac:dyDescent="0.25">
      <c r="A34" t="s">
        <v>344</v>
      </c>
      <c r="D34" s="65" t="s">
        <v>73</v>
      </c>
      <c r="E34" s="549">
        <f>[2]!StP1450EndBal</f>
        <v>0</v>
      </c>
      <c r="F34" s="53"/>
      <c r="G34" s="549">
        <f>-(SUMIFS('Accounting data'!$G$2:$G$37000,'Accounting data'!$H$2:$H$37000,"1450*",'Accounting data'!$K$2:$K$37000,"1*")+SUMIFS('Accounting data'!$G$2:$G$37000,'Accounting data'!$H$2:$H$37000,"1450*",'Accounting data'!$K$2:$K$37000,"2*")+SUMIFS('Accounting data'!$G$2:$G$37000,'Accounting data'!$H$2:$H$37000,"1450*",'Accounting data'!$K$2:$K$37000,"3*")+SUMIFS('Accounting data'!$G$2:$G$37000,'Accounting data'!$H$2:$H$37000,"1450*",'Accounting data'!$K$2:$K$37000,"4*")+SUMIFS('Accounting data'!$G$2:$G$37000,'Accounting data'!$H$2:$H$37000,"1450*",'Accounting data'!$K$2:$K$37000,"Other*"))</f>
        <v>0</v>
      </c>
      <c r="H34" s="101"/>
      <c r="I34" s="51"/>
      <c r="J34" s="549">
        <f>[1]!SP1450GiftedEd</f>
        <v>0</v>
      </c>
      <c r="K34" s="551">
        <f>SUMIFS('Accounting data'!$G$2:$G$37000,'Accounting data'!$H$2:$H$37000,"1450*",'Accounting data'!$K$2:$K$37000,"6*")-SUMIFS('Accounting data'!$G$2:$G$37000,'Accounting data'!$H$2:$H$37000,"1450*",'Accounting data'!$K$2:$K$37000,"69*")-SUMIFS('Accounting data'!$G$2:$G$37000,'Accounting data'!$H$2:$H$37000,"1450*",'Accounting data'!$K$2:$K$37000,"67*")</f>
        <v>0</v>
      </c>
      <c r="L34" s="51"/>
      <c r="M34" s="51"/>
      <c r="N34" s="551">
        <f t="shared" si="2"/>
        <v>0</v>
      </c>
      <c r="O34" s="65" t="s">
        <v>73</v>
      </c>
    </row>
    <row r="35" spans="1:15" ht="12.75" customHeight="1" x14ac:dyDescent="0.25">
      <c r="A35" t="s">
        <v>345</v>
      </c>
      <c r="D35" s="65" t="s">
        <v>75</v>
      </c>
      <c r="E35" s="549" cm="1">
        <f t="array" ref="E35">[2]!StP1456EndBal</f>
        <v>0</v>
      </c>
      <c r="F35" s="53"/>
      <c r="G35" s="549">
        <f>-(SUMIFS('Accounting data'!$G$2:$G$37000,'Accounting data'!$H$2:$H$37000,"1456*",'Accounting data'!$K$2:$K$37000,"1*")+SUMIFS('Accounting data'!$G$2:$G$37000,'Accounting data'!$H$2:$H$37000,"1456*",'Accounting data'!$K$2:$K$37000,"2*")+SUMIFS('Accounting data'!$G$2:$G$37000,'Accounting data'!$H$2:$H$37000,"1456*",'Accounting data'!$K$2:$K$37000,"3*")+SUMIFS('Accounting data'!$G$2:$G$37000,'Accounting data'!$H$2:$H$37000,"1456*",'Accounting data'!$K$2:$K$37000,"4*")+SUMIFS('Accounting data'!$G$2:$G$37000,'Accounting data'!$H$2:$H$37000,"1456*",'Accounting data'!$K$2:$K$37000,"Other*"))</f>
        <v>0</v>
      </c>
      <c r="H35" s="101"/>
      <c r="I35" s="51"/>
      <c r="J35" s="549">
        <f>+'[1]Page 2'!$E$31</f>
        <v>0</v>
      </c>
      <c r="K35" s="551">
        <f>SUMIFS('Accounting data'!$G$2:$G$37000,'Accounting data'!$H$2:$H$37000,"1456*",'Accounting data'!$K$2:$K$37000,"6*")-SUMIFS('Accounting data'!$G$2:$G$37000,'Accounting data'!$H$2:$H$37000,"1456*",'Accounting data'!$K$2:$K$37000,"69*")-SUMIFS('Accounting data'!$G$2:$G$37000,'Accounting data'!$H$2:$H$37000,"1456*",'Accounting data'!$K$2:$K$37000,"67*")</f>
        <v>0</v>
      </c>
      <c r="L35" s="51"/>
      <c r="M35" s="51"/>
      <c r="N35" s="551">
        <f t="shared" si="2"/>
        <v>0</v>
      </c>
      <c r="O35" s="65" t="s">
        <v>75</v>
      </c>
    </row>
    <row r="36" spans="1:15" x14ac:dyDescent="0.25">
      <c r="A36" t="s">
        <v>346</v>
      </c>
      <c r="D36" s="65" t="s">
        <v>77</v>
      </c>
      <c r="E36" s="549">
        <f>[2]!StP1460EndBal</f>
        <v>0</v>
      </c>
      <c r="F36" s="53"/>
      <c r="G36" s="549">
        <f>-(SUMIFS('Accounting data'!$G$2:$G$37000,'Accounting data'!$H$2:$H$37000,"1460*",'Accounting data'!$K$2:$K$37000,"1*")+SUMIFS('Accounting data'!$G$2:$G$37000,'Accounting data'!$H$2:$H$37000,"1460*",'Accounting data'!$K$2:$K$37000,"2*")+SUMIFS('Accounting data'!$G$2:$G$37000,'Accounting data'!$H$2:$H$37000,"1460*",'Accounting data'!$K$2:$K$37000,"3*")+SUMIFS('Accounting data'!$G$2:$G$37000,'Accounting data'!$H$2:$H$37000,"1460*",'Accounting data'!$K$2:$K$37000,"4*")+SUMIFS('Accounting data'!$G$2:$G$37000,'Accounting data'!$H$2:$H$37000,"1460*",'Accounting data'!$K$2:$K$37000,"Other*"))</f>
        <v>0</v>
      </c>
      <c r="H36" s="184"/>
      <c r="I36" s="51"/>
      <c r="J36" s="549">
        <f>[1]!SP1460EnvironmentalSpecialPlate</f>
        <v>0</v>
      </c>
      <c r="K36" s="551">
        <f>SUMIFS('Accounting data'!$G$2:$G$37000,'Accounting data'!$H$2:$H$37000,"1460*",'Accounting data'!$K$2:$K$37000,"6*")-SUMIFS('Accounting data'!$G$2:$G$37000,'Accounting data'!$H$2:$H$37000,"1460*",'Accounting data'!$K$2:$K$37000,"69*")-SUMIFS('Accounting data'!$G$2:$G$37000,'Accounting data'!$H$2:$H$37000,"1460*",'Accounting data'!$K$2:$K$37000,"67*")</f>
        <v>0</v>
      </c>
      <c r="L36" s="51"/>
      <c r="M36" s="51"/>
      <c r="N36" s="551">
        <f t="shared" si="2"/>
        <v>0</v>
      </c>
      <c r="O36" s="65" t="s">
        <v>79</v>
      </c>
    </row>
    <row r="37" spans="1:15" ht="12.75" customHeight="1" x14ac:dyDescent="0.25">
      <c r="A37" t="s">
        <v>347</v>
      </c>
      <c r="D37" s="65" t="s">
        <v>79</v>
      </c>
      <c r="E37" s="549">
        <f>[2]!StP1465EndBal</f>
        <v>0</v>
      </c>
      <c r="F37" s="53"/>
      <c r="G37" s="549">
        <f>-(SUMIFS('Accounting data'!$G$2:$G$37000,'Accounting data'!$H$2:$H$37000,"1465*",'Accounting data'!$K$2:$K$37000,"1*")+SUMIFS('Accounting data'!$G$2:$G$37000,'Accounting data'!$H$2:$H$37000,"1465*",'Accounting data'!$K$2:$K$37000,"2*")+SUMIFS('Accounting data'!$G$2:$G$37000,'Accounting data'!$H$2:$H$37000,"1465*",'Accounting data'!$K$2:$K$37000,"3*")+SUMIFS('Accounting data'!$G$2:$G$37000,'Accounting data'!$H$2:$H$37000,"1465*",'Accounting data'!$K$2:$K$37000,"4*")+SUMIFS('Accounting data'!$G$2:$G$37000,'Accounting data'!$H$2:$H$37000,"1465*",'Accounting data'!$K$2:$K$37000,"Other*"))</f>
        <v>0</v>
      </c>
      <c r="H37" s="252"/>
      <c r="I37" s="51"/>
      <c r="J37" s="549">
        <f>[1]!SP1465CharterSchool</f>
        <v>0</v>
      </c>
      <c r="K37" s="551">
        <f>SUMIFS('Accounting data'!$G$2:$G$37000,'Accounting data'!$H$2:$H$37000,"1465*",'Accounting data'!$K$2:$K$37000,"6*")-SUMIFS('Accounting data'!$G$2:$G$37000,'Accounting data'!$H$2:$H$37000,"1465*",'Accounting data'!$K$2:$K$37000,"69*")-SUMIFS('Accounting data'!$G$2:$G$37000,'Accounting data'!$H$2:$H$37000,"1465*",'Accounting data'!$K$2:$K$37000,"67*")</f>
        <v>0</v>
      </c>
      <c r="L37" s="51"/>
      <c r="M37" s="51"/>
      <c r="N37" s="551">
        <f t="shared" si="2"/>
        <v>0</v>
      </c>
      <c r="O37" s="65" t="s">
        <v>81</v>
      </c>
    </row>
    <row r="38" spans="1:15" ht="12.75" customHeight="1" x14ac:dyDescent="0.25">
      <c r="A38" s="253" t="s">
        <v>348</v>
      </c>
      <c r="B38" s="253"/>
      <c r="C38" s="253"/>
      <c r="D38" s="69" t="s">
        <v>81</v>
      </c>
      <c r="E38" s="549">
        <f t="array" ref="E38">[2]!StP14XXEndBal</f>
        <v>0</v>
      </c>
      <c r="F38" s="53"/>
      <c r="G38" s="549">
        <f>-(SUMIFS('Accounting data'!$G$2:$G$37000,'Accounting data'!$H$2:$H$37000,"14XX*",'Accounting data'!$K$2:$K$37000,"1*")+SUMIFS('Accounting data'!$G$2:$G$37000,'Accounting data'!$H$2:$H$37000,"14XX*",'Accounting data'!$K$2:$K$37000,"2*")+SUMIFS('Accounting data'!$G$2:$G$37000,'Accounting data'!$H$2:$H$37000,"14XX*",'Accounting data'!$K$2:$K$37000,"3*")+SUMIFS('Accounting data'!$G$2:$G$37000,'Accounting data'!$H$2:$H$37000,"14XX*",'Accounting data'!$K$2:$K$37000,"4*")+SUMIFS('Accounting data'!$G$2:$G$37000,'Accounting data'!$H$2:$H$37000,"14XX*",'Accounting data'!$K$2:$K$37000,"Other*"))</f>
        <v>0</v>
      </c>
      <c r="H38" s="252"/>
      <c r="I38" s="51"/>
      <c r="J38" s="549">
        <f>'[1]Page 2'!$E$34</f>
        <v>0</v>
      </c>
      <c r="K38" s="551">
        <f>SUMIFS('Accounting data'!$G$2:$G$37000,'Accounting data'!$H$2:$H$37000,"14XX*",'Accounting data'!$K$2:$K$37000,"6*")-SUMIFS('Accounting data'!$G$2:$G$37000,'Accounting data'!$H$2:$H$37000,"14XX*",'Accounting data'!$K$2:$K$37000,"69*")-SUMIFS('Accounting data'!$G$2:$G$37000,'Accounting data'!$H$2:$H$37000,"14XX*",'Accounting data'!$K$2:$K$37000,"67*")</f>
        <v>0</v>
      </c>
      <c r="L38" s="51"/>
      <c r="M38" s="51"/>
      <c r="N38" s="551">
        <f t="shared" si="2"/>
        <v>0</v>
      </c>
      <c r="O38" s="69" t="s">
        <v>83</v>
      </c>
    </row>
    <row r="39" spans="1:15" ht="12.75" customHeight="1" thickBot="1" x14ac:dyDescent="0.3">
      <c r="A39" t="s">
        <v>349</v>
      </c>
      <c r="D39" s="65" t="s">
        <v>83</v>
      </c>
      <c r="E39" s="218">
        <f>[2]!StP14701499EndBal</f>
        <v>0</v>
      </c>
      <c r="F39" s="56"/>
      <c r="G39" s="218">
        <f>-(SUMIFS('Accounting data'!$G$2:$G$37000,'Accounting data'!$H$2:$H$37000,"1470*",'Accounting data'!$K$2:$K$37000,"1*")+SUMIFS('Accounting data'!$G$2:$G$37000,'Accounting data'!$H$2:$H$37000,"1470*",'Accounting data'!$K$2:$K$37000,"2*")+SUMIFS('Accounting data'!$G$2:$G$37000,'Accounting data'!$H$2:$H$37000,"1470*",'Accounting data'!$K$2:$K$37000,"3*")+SUMIFS('Accounting data'!$G$2:$G$37000,'Accounting data'!$H$2:$H$37000,"1470*",'Accounting data'!$K$2:$K$37000,"4*")+SUMIFS('Accounting data'!$G$2:$G$37000,'Accounting data'!$H$2:$H$37000,"1470*",'Accounting data'!$K$2:$K$37000,"Other*"))</f>
        <v>0</v>
      </c>
      <c r="H39" s="254"/>
      <c r="I39" s="55"/>
      <c r="J39" s="218">
        <f>[1]!SP14701499Other</f>
        <v>0</v>
      </c>
      <c r="K39" s="224">
        <f>SUMIFS('Accounting data'!$G$2:$G$37000,'Accounting data'!$H$2:$H$37000,"1470*",'Accounting data'!$K$2:$K$37000,"6*")-SUMIFS('Accounting data'!$G$2:$G$37000,'Accounting data'!$H$2:$H$37000,"1470*",'Accounting data'!$K$2:$K$37000,"69*")-SUMIFS('Accounting data'!$G$2:$G$37000,'Accounting data'!$H$2:$H$37000,"1470*",'Accounting data'!$K$2:$K$37000,"67*")</f>
        <v>0</v>
      </c>
      <c r="L39" s="55"/>
      <c r="M39" s="55"/>
      <c r="N39" s="551">
        <f t="shared" si="2"/>
        <v>0</v>
      </c>
      <c r="O39" s="65" t="s">
        <v>84</v>
      </c>
    </row>
    <row r="40" spans="1:15" ht="13.8" thickBot="1" x14ac:dyDescent="0.3">
      <c r="A40" t="s">
        <v>1130</v>
      </c>
      <c r="D40" s="65" t="s">
        <v>84</v>
      </c>
      <c r="E40" s="219">
        <f>SUM(E28:E39)</f>
        <v>0</v>
      </c>
      <c r="F40" s="219" cm="1">
        <f t="array" ref="F40">SUM(IF(F28:F39="",E28:E39,F28:F39))</f>
        <v>0</v>
      </c>
      <c r="G40" s="219">
        <f>SUM(G28:G39)</f>
        <v>0</v>
      </c>
      <c r="H40" s="255"/>
      <c r="I40" s="219">
        <f>SUM(I28:I39)</f>
        <v>0</v>
      </c>
      <c r="J40" s="219">
        <f>SUM(J28:J39)</f>
        <v>0</v>
      </c>
      <c r="K40" s="219">
        <f>SUM(K28:K39)</f>
        <v>0</v>
      </c>
      <c r="L40" s="219">
        <f>SUM(L28:L39)</f>
        <v>0</v>
      </c>
      <c r="M40" s="219">
        <f>SUM(M28:M39)</f>
        <v>0</v>
      </c>
      <c r="N40" s="551">
        <f>SUM(IF(F40="",E40,F40)+G40-H40-I40-K40-L40-M40)</f>
        <v>0</v>
      </c>
      <c r="O40" s="65" t="s">
        <v>137</v>
      </c>
    </row>
    <row r="41" spans="1:15" ht="13.8" thickTop="1" x14ac:dyDescent="0.25">
      <c r="D41" s="256"/>
      <c r="E41" s="28"/>
      <c r="F41" s="28"/>
      <c r="G41" s="28"/>
      <c r="H41" s="28"/>
      <c r="I41" s="28"/>
      <c r="J41" s="28"/>
      <c r="K41" s="28"/>
      <c r="L41" s="28"/>
      <c r="M41" s="28"/>
      <c r="N41" s="28"/>
      <c r="O41" s="257"/>
    </row>
    <row r="42" spans="1:15" ht="13.8" thickBot="1" x14ac:dyDescent="0.3">
      <c r="A42" s="211" t="s">
        <v>1129</v>
      </c>
      <c r="B42" s="211"/>
      <c r="C42" s="211"/>
      <c r="D42" s="65" t="s">
        <v>137</v>
      </c>
      <c r="E42" s="258">
        <f>SUM(E23+E40)</f>
        <v>0</v>
      </c>
      <c r="F42" s="258">
        <f>SUM(F23+F40)</f>
        <v>1465</v>
      </c>
      <c r="G42" s="258">
        <f>SUM(G23+G40)</f>
        <v>251455</v>
      </c>
      <c r="H42" s="557">
        <f>H23</f>
        <v>4053</v>
      </c>
      <c r="I42" s="258">
        <f>SUM(I23+I40)</f>
        <v>1465</v>
      </c>
      <c r="J42" s="258">
        <f>SUM(J23+J40)</f>
        <v>255490</v>
      </c>
      <c r="K42" s="258">
        <f>SUM(K23+K40)</f>
        <v>247402</v>
      </c>
      <c r="L42" s="258">
        <f>SUM(L23+L40)</f>
        <v>0</v>
      </c>
      <c r="M42" s="258">
        <f>SUM(M23+M40)</f>
        <v>0</v>
      </c>
      <c r="N42" s="551">
        <f>SUM(IF(F42="",E42,F42)+G42-H42-I42-K42-L42-M42)</f>
        <v>0</v>
      </c>
      <c r="O42" s="65" t="s">
        <v>138</v>
      </c>
    </row>
  </sheetData>
  <sheetProtection sheet="1" formatCells="0" formatColumns="0" formatRows="0"/>
  <mergeCells count="5">
    <mergeCell ref="A3:D3"/>
    <mergeCell ref="B1:D1"/>
    <mergeCell ref="H1:I1"/>
    <mergeCell ref="J4:K4"/>
    <mergeCell ref="B4:C4"/>
  </mergeCells>
  <conditionalFormatting sqref="F6:F22 F25 F28:F39">
    <cfRule type="expression" dxfId="51" priority="1" stopIfTrue="1">
      <formula>$F6=""</formula>
    </cfRule>
  </conditionalFormatting>
  <conditionalFormatting sqref="I6:I22 I28:I39">
    <cfRule type="expression" dxfId="50" priority="7" stopIfTrue="1">
      <formula>$I6=""</formula>
    </cfRule>
  </conditionalFormatting>
  <conditionalFormatting sqref="I25 M25">
    <cfRule type="expression" dxfId="49" priority="5" stopIfTrue="1">
      <formula>I$25=""</formula>
    </cfRule>
  </conditionalFormatting>
  <conditionalFormatting sqref="L22 L28:L39">
    <cfRule type="containsBlanks" dxfId="48" priority="4">
      <formula>LEN(TRIM(L22))=0</formula>
    </cfRule>
  </conditionalFormatting>
  <conditionalFormatting sqref="L25">
    <cfRule type="containsBlanks" dxfId="47" priority="3">
      <formula>LEN(TRIM(L25))=0</formula>
    </cfRule>
  </conditionalFormatting>
  <conditionalFormatting sqref="M6:M22 M28:M39">
    <cfRule type="expression" dxfId="46" priority="6" stopIfTrue="1">
      <formula>$M6=""</formula>
    </cfRule>
  </conditionalFormatting>
  <hyperlinks>
    <hyperlink ref="A3:D3" location="FederalAndStateProjectsPage9" display="FEDERAL AND STATE PROJECTS" xr:uid="{00000000-0004-0000-0900-000000000000}"/>
    <hyperlink ref="A42:C42" location="FederalAndStateProjectsPage9Line30" display="     Total Federal and State Projects (lines 17 and 29)" xr:uid="{00000000-0004-0000-0900-000001000000}"/>
    <hyperlink ref="A21:C22" location="ImpactAidandOtherFederalProjects" display="13__ Impact Aid" xr:uid="{00000000-0004-0000-0900-000002000000}"/>
    <hyperlink ref="A25:C25" location="ImpactAidandOtherFederalProjects" display="Total COVID-19 federal relief projects included in line 17" xr:uid="{00000000-0004-0000-0900-000003000000}"/>
    <hyperlink ref="F3" location="FederalAndStateProjectsAdjustedBeginningProjectBalance" display="Adjusted" xr:uid="{00000000-0004-0000-0900-000004000000}"/>
    <hyperlink ref="F4" location="FederalAndStateProjectsAdjustedBeginningProjectBalance" display="Beginning" xr:uid="{00000000-0004-0000-0900-000005000000}"/>
    <hyperlink ref="F5" location="FederalAndStateProjectsAdjustedBeginningProjectBalance" display="Project Balance" xr:uid="{00000000-0004-0000-0900-000006000000}"/>
    <hyperlink ref="B4" location="FederalAndStateProjectsPage9" display="Instructions" xr:uid="{F088FE02-AC28-4617-B207-65B044D1BE71}"/>
  </hyperlinks>
  <pageMargins left="0.7" right="0.7" top="0.75" bottom="0.75" header="0.3" footer="0.3"/>
  <pageSetup scale="68" orientation="landscape" r:id="rId1"/>
  <headerFooter>
    <oddFooter>&amp;LRev. 8/25 Arizona Department of Education and Auditor General&amp;CFY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4E4D-A9EB-428D-BDA2-238716D84E95}">
  <sheetPr>
    <pageSetUpPr fitToPage="1"/>
  </sheetPr>
  <dimension ref="A1:AA64"/>
  <sheetViews>
    <sheetView showGridLines="0" topLeftCell="A49" workbookViewId="0">
      <selection activeCell="K64" sqref="K64"/>
    </sheetView>
  </sheetViews>
  <sheetFormatPr defaultColWidth="9.33203125" defaultRowHeight="12.75" customHeight="1" x14ac:dyDescent="0.25"/>
  <cols>
    <col min="1" max="1" width="19.77734375" style="153" customWidth="1"/>
    <col min="2" max="2" width="42.77734375" style="153" customWidth="1"/>
    <col min="3" max="3" width="3" style="153" customWidth="1"/>
    <col min="4" max="6" width="16.77734375" style="153" customWidth="1"/>
    <col min="7" max="7" width="18.6640625" style="153" customWidth="1"/>
    <col min="8" max="10" width="17.77734375" style="156" customWidth="1"/>
    <col min="11" max="11" width="16.77734375" style="156" customWidth="1"/>
    <col min="12" max="12" width="3" style="153" customWidth="1"/>
    <col min="13" max="13" width="10.77734375" style="153" customWidth="1"/>
    <col min="14" max="14" width="9.33203125" style="153" customWidth="1"/>
    <col min="15" max="15" width="2.33203125" style="153" customWidth="1"/>
    <col min="16" max="16" width="9.33203125" style="153" customWidth="1"/>
    <col min="17" max="25" width="9.33203125" style="153" hidden="1" customWidth="1"/>
    <col min="26" max="29" width="9.33203125" style="153" customWidth="1"/>
    <col min="30" max="16384" width="9.33203125" style="153"/>
  </cols>
  <sheetData>
    <row r="1" spans="1:27" ht="12" customHeight="1" x14ac:dyDescent="0.25">
      <c r="A1" s="3" t="s">
        <v>0</v>
      </c>
      <c r="B1" s="1" t="str">
        <f>'Cover Page'!D1</f>
        <v>The Edge School, Inc</v>
      </c>
      <c r="C1" s="4"/>
      <c r="D1"/>
      <c r="E1" s="61" t="s">
        <v>1</v>
      </c>
      <c r="F1" s="810" t="str">
        <f>'Cover Page'!M1</f>
        <v>Pima</v>
      </c>
      <c r="G1" s="810"/>
      <c r="H1"/>
      <c r="I1" s="61"/>
      <c r="J1" s="61" t="s">
        <v>2</v>
      </c>
      <c r="K1" s="2" t="str">
        <f>'Cover Page'!R1</f>
        <v>108653000</v>
      </c>
      <c r="L1" s="259"/>
      <c r="M1" s="4"/>
      <c r="N1" s="579"/>
      <c r="O1" s="579"/>
    </row>
    <row r="2" spans="1:27" ht="12" customHeight="1" x14ac:dyDescent="0.25">
      <c r="A2" s="61"/>
      <c r="B2" s="61"/>
      <c r="C2" s="3"/>
      <c r="D2" s="4"/>
      <c r="E2"/>
      <c r="F2"/>
      <c r="G2"/>
      <c r="H2" s="61"/>
      <c r="I2" s="4"/>
      <c r="J2" s="4"/>
      <c r="K2" s="4"/>
      <c r="L2"/>
      <c r="M2" s="4"/>
      <c r="N2" s="579"/>
      <c r="O2" s="579"/>
    </row>
    <row r="3" spans="1:27" ht="12" customHeight="1" x14ac:dyDescent="0.25">
      <c r="A3" s="260"/>
      <c r="B3" s="260"/>
      <c r="C3" s="260"/>
      <c r="D3" s="260"/>
      <c r="E3" s="260"/>
      <c r="F3" s="260"/>
      <c r="G3" s="260"/>
      <c r="H3" s="260"/>
      <c r="I3" s="260"/>
      <c r="J3" s="260"/>
      <c r="K3" s="260"/>
      <c r="L3" s="260"/>
      <c r="M3" s="260"/>
    </row>
    <row r="4" spans="1:27" ht="12" customHeight="1" x14ac:dyDescent="0.25">
      <c r="A4" s="260"/>
      <c r="B4" s="260"/>
      <c r="C4" s="905" t="s">
        <v>350</v>
      </c>
      <c r="D4" s="905"/>
      <c r="E4" s="905"/>
      <c r="F4" s="905"/>
      <c r="G4" s="905"/>
      <c r="H4" s="905"/>
      <c r="I4" s="905"/>
      <c r="J4" s="905"/>
      <c r="K4" s="905"/>
      <c r="L4" s="905"/>
      <c r="M4" s="260"/>
    </row>
    <row r="5" spans="1:27" ht="12" customHeight="1" x14ac:dyDescent="0.25">
      <c r="B5" s="655" t="s">
        <v>726</v>
      </c>
    </row>
    <row r="6" spans="1:27" ht="12" customHeight="1" x14ac:dyDescent="0.25">
      <c r="A6" s="261"/>
      <c r="B6" s="261"/>
      <c r="D6" s="906" t="s">
        <v>351</v>
      </c>
      <c r="E6" s="906"/>
      <c r="F6" s="906"/>
      <c r="G6" s="906"/>
      <c r="H6" s="906"/>
      <c r="I6" s="906"/>
      <c r="J6" s="906"/>
      <c r="K6" s="906"/>
      <c r="L6" s="262"/>
      <c r="M6" s="156"/>
      <c r="N6" s="156"/>
      <c r="V6" s="263"/>
    </row>
    <row r="7" spans="1:27" ht="12" customHeight="1" x14ac:dyDescent="0.25">
      <c r="D7" s="264"/>
      <c r="E7" s="265"/>
      <c r="F7" s="265" t="s">
        <v>150</v>
      </c>
      <c r="G7" s="265"/>
      <c r="H7" s="265"/>
      <c r="I7" s="266"/>
      <c r="J7" s="266" t="s">
        <v>94</v>
      </c>
      <c r="K7" s="267"/>
      <c r="L7" s="268"/>
      <c r="M7" s="156"/>
      <c r="N7" s="156"/>
      <c r="T7" s="263"/>
      <c r="V7" s="263"/>
    </row>
    <row r="8" spans="1:27" ht="12" customHeight="1" x14ac:dyDescent="0.25">
      <c r="D8" s="269"/>
      <c r="E8" s="270" t="s">
        <v>85</v>
      </c>
      <c r="F8" s="270" t="s">
        <v>92</v>
      </c>
      <c r="G8" s="270"/>
      <c r="H8" s="271" t="s">
        <v>352</v>
      </c>
      <c r="I8" s="271"/>
      <c r="J8" s="271" t="s">
        <v>353</v>
      </c>
      <c r="K8" s="267"/>
      <c r="L8" s="272"/>
      <c r="N8" s="156"/>
      <c r="U8" s="263"/>
    </row>
    <row r="9" spans="1:27" ht="12" customHeight="1" x14ac:dyDescent="0.25">
      <c r="D9" s="270" t="s">
        <v>90</v>
      </c>
      <c r="E9" s="273" t="s">
        <v>91</v>
      </c>
      <c r="F9" s="273" t="s">
        <v>354</v>
      </c>
      <c r="G9" s="273" t="s">
        <v>93</v>
      </c>
      <c r="H9" s="271" t="s">
        <v>355</v>
      </c>
      <c r="I9" s="274" t="s">
        <v>356</v>
      </c>
      <c r="J9" s="274" t="s">
        <v>357</v>
      </c>
      <c r="K9" s="275" t="s">
        <v>358</v>
      </c>
      <c r="L9" s="272"/>
      <c r="N9" s="156"/>
      <c r="U9" s="263"/>
      <c r="AA9" s="263"/>
    </row>
    <row r="10" spans="1:27" ht="12" customHeight="1" x14ac:dyDescent="0.25">
      <c r="A10" s="276" t="s">
        <v>359</v>
      </c>
      <c r="B10" s="276"/>
      <c r="D10" s="273">
        <v>6100</v>
      </c>
      <c r="E10" s="273">
        <v>6200</v>
      </c>
      <c r="F10" s="273">
        <v>6500</v>
      </c>
      <c r="G10" s="273">
        <v>6600</v>
      </c>
      <c r="H10" s="273">
        <v>6810</v>
      </c>
      <c r="I10" s="274">
        <v>6890</v>
      </c>
      <c r="J10" s="274" t="s">
        <v>360</v>
      </c>
      <c r="K10" s="277" t="s">
        <v>361</v>
      </c>
      <c r="L10" s="272"/>
      <c r="N10" s="156"/>
      <c r="S10" s="263"/>
      <c r="AA10" s="156"/>
    </row>
    <row r="11" spans="1:27" ht="12" customHeight="1" x14ac:dyDescent="0.25">
      <c r="A11" s="576" t="s">
        <v>197</v>
      </c>
      <c r="B11" s="576"/>
      <c r="C11" s="278" t="s">
        <v>24</v>
      </c>
      <c r="D11" s="551">
        <f>Calculations!E8</f>
        <v>667019</v>
      </c>
      <c r="E11" s="551">
        <f>Calculations!E113</f>
        <v>193953</v>
      </c>
      <c r="F11" s="551">
        <f>Calculations!E238</f>
        <v>83884</v>
      </c>
      <c r="G11" s="551">
        <f>Calculations!E636</f>
        <v>49543</v>
      </c>
      <c r="H11" s="551">
        <f>Calculations!E951</f>
        <v>809</v>
      </c>
      <c r="I11" s="551">
        <f>Calculations!E1116</f>
        <v>0</v>
      </c>
      <c r="J11" s="551">
        <f>Calculations!E1454-H11-I11</f>
        <v>0</v>
      </c>
      <c r="K11" s="544">
        <v>3578</v>
      </c>
      <c r="L11" s="279" t="s">
        <v>24</v>
      </c>
      <c r="N11" s="156"/>
      <c r="S11" s="263"/>
      <c r="AA11" s="280" t="str">
        <f>IF(OR(K11="",K14="",K13="",K15="",K16="",K17="",K18="",K19="",K21="",K22="",K24="",K25="",K26=""),"yes","")</f>
        <v/>
      </c>
    </row>
    <row r="12" spans="1:27" ht="12" customHeight="1" x14ac:dyDescent="0.25">
      <c r="A12" s="153" t="s">
        <v>198</v>
      </c>
      <c r="C12" s="278"/>
      <c r="D12" s="281"/>
      <c r="E12" s="281"/>
      <c r="F12" s="281"/>
      <c r="G12" s="281"/>
      <c r="H12" s="281"/>
      <c r="I12" s="281"/>
      <c r="J12" s="281"/>
      <c r="K12" s="87"/>
      <c r="L12" s="279"/>
      <c r="N12" s="156"/>
      <c r="S12" s="263"/>
      <c r="AA12" s="280" t="str">
        <f>IF(OR(E33="",E34="",E35="",E36="",E40="",E41="",E42="",E43="",E44="",E49="",E53="",E54="",E55="",E56=""),"yes","")</f>
        <v/>
      </c>
    </row>
    <row r="13" spans="1:27" ht="12" customHeight="1" x14ac:dyDescent="0.25">
      <c r="A13" s="576" t="s">
        <v>362</v>
      </c>
      <c r="B13" s="576"/>
      <c r="C13" s="278" t="s">
        <v>26</v>
      </c>
      <c r="D13" s="556">
        <f>Calculations!E15</f>
        <v>238219</v>
      </c>
      <c r="E13" s="556">
        <f>Calculations!E120</f>
        <v>70958</v>
      </c>
      <c r="F13" s="556">
        <f>Calculations!E265</f>
        <v>41539</v>
      </c>
      <c r="G13" s="556">
        <f>Calculations!E643</f>
        <v>12755</v>
      </c>
      <c r="H13" s="556">
        <f>Calculations!E958</f>
        <v>99</v>
      </c>
      <c r="I13" s="556">
        <f>Calculations!E1123</f>
        <v>0</v>
      </c>
      <c r="J13" s="556">
        <f>Calculations!E1459-H13-I13</f>
        <v>0</v>
      </c>
      <c r="K13" s="52">
        <v>0</v>
      </c>
      <c r="L13" s="279" t="s">
        <v>26</v>
      </c>
      <c r="W13" s="263"/>
      <c r="AA13" s="280" t="str">
        <f>IF(OR(K30="",K31="",K32="",K36="",K37="",K38="",K41="",K42="",K46="",K47="",K51="",K52="",K53="",K54="",K55="",K56="",K59="",K60=""),"yes","")</f>
        <v/>
      </c>
    </row>
    <row r="14" spans="1:27" ht="12" customHeight="1" x14ac:dyDescent="0.25">
      <c r="A14" s="576" t="s">
        <v>363</v>
      </c>
      <c r="B14" s="576"/>
      <c r="C14" s="278" t="s">
        <v>28</v>
      </c>
      <c r="D14" s="551">
        <f>Calculations!E22</f>
        <v>9952</v>
      </c>
      <c r="E14" s="551">
        <f>Calculations!E127</f>
        <v>4327</v>
      </c>
      <c r="F14" s="551">
        <f>Calculations!E292</f>
        <v>39536</v>
      </c>
      <c r="G14" s="551">
        <f>Calculations!E650</f>
        <v>3312</v>
      </c>
      <c r="H14" s="551">
        <f>Calculations!E965</f>
        <v>0</v>
      </c>
      <c r="I14" s="551">
        <f>Calculations!E1130</f>
        <v>0</v>
      </c>
      <c r="J14" s="551">
        <f>Calculations!E1464-H14-I14</f>
        <v>0</v>
      </c>
      <c r="K14" s="52">
        <v>0</v>
      </c>
      <c r="L14" s="282" t="s">
        <v>28</v>
      </c>
      <c r="N14" s="156"/>
      <c r="W14" s="263"/>
      <c r="AA14" s="280" t="str">
        <f>IF(AND(AA11="",AA12="",AA13=""),"","yes")</f>
        <v/>
      </c>
    </row>
    <row r="15" spans="1:27" ht="12" customHeight="1" x14ac:dyDescent="0.25">
      <c r="A15" s="576" t="s">
        <v>364</v>
      </c>
      <c r="B15" s="576"/>
      <c r="C15" s="278" t="s">
        <v>31</v>
      </c>
      <c r="D15" s="551">
        <f>Calculations!E29</f>
        <v>0</v>
      </c>
      <c r="E15" s="551">
        <f>Calculations!E134</f>
        <v>0</v>
      </c>
      <c r="F15" s="551">
        <f>Calculations!E319</f>
        <v>21384</v>
      </c>
      <c r="G15" s="551">
        <f>Calculations!E657</f>
        <v>299</v>
      </c>
      <c r="H15" s="551">
        <f>Calculations!E972</f>
        <v>2210</v>
      </c>
      <c r="I15" s="551">
        <f>Calculations!E1137</f>
        <v>0</v>
      </c>
      <c r="J15" s="551">
        <f>Calculations!E1469-H15-I15</f>
        <v>0</v>
      </c>
      <c r="K15" s="51">
        <v>0</v>
      </c>
      <c r="L15" s="282" t="s">
        <v>31</v>
      </c>
    </row>
    <row r="16" spans="1:27" ht="12" customHeight="1" x14ac:dyDescent="0.25">
      <c r="A16" s="283" t="s">
        <v>365</v>
      </c>
      <c r="B16" s="283"/>
      <c r="C16" s="284" t="s">
        <v>33</v>
      </c>
      <c r="D16" s="551">
        <f>Calculations!E36</f>
        <v>189922</v>
      </c>
      <c r="E16" s="551">
        <f>Calculations!E141</f>
        <v>54693</v>
      </c>
      <c r="F16" s="551">
        <f>Calculations!E346</f>
        <v>32907</v>
      </c>
      <c r="G16" s="551">
        <f>Calculations!E664</f>
        <v>4407</v>
      </c>
      <c r="H16" s="551">
        <f>Calculations!E979</f>
        <v>3384</v>
      </c>
      <c r="I16" s="551">
        <f>Calculations!E1144</f>
        <v>0</v>
      </c>
      <c r="J16" s="551">
        <f>Calculations!E1474-H16-I16</f>
        <v>0</v>
      </c>
      <c r="K16" s="51">
        <v>0</v>
      </c>
      <c r="L16" s="285" t="s">
        <v>33</v>
      </c>
    </row>
    <row r="17" spans="1:12" ht="12" customHeight="1" x14ac:dyDescent="0.25">
      <c r="A17" s="286" t="s">
        <v>366</v>
      </c>
      <c r="B17" s="286"/>
      <c r="C17" s="284" t="s">
        <v>35</v>
      </c>
      <c r="D17" s="551">
        <f>Calculations!E43+Calculations!E50</f>
        <v>77630</v>
      </c>
      <c r="E17" s="551">
        <f>Calculations!E148+Calculations!E155</f>
        <v>22646</v>
      </c>
      <c r="F17" s="551">
        <f>Calculations!E373+Calculations!E400</f>
        <v>40418</v>
      </c>
      <c r="G17" s="551">
        <f>Calculations!E671+Calculations!E678</f>
        <v>159</v>
      </c>
      <c r="H17" s="551">
        <f>Calculations!E986+Calculations!E993</f>
        <v>17307</v>
      </c>
      <c r="I17" s="551">
        <f>Calculations!E1151+Calculations!E1158</f>
        <v>0</v>
      </c>
      <c r="J17" s="551">
        <f>Calculations!E1479+Calculations!E1484-Calculations!E1082-H17-I17</f>
        <v>0</v>
      </c>
      <c r="K17" s="51">
        <v>0</v>
      </c>
      <c r="L17" s="285" t="s">
        <v>35</v>
      </c>
    </row>
    <row r="18" spans="1:12" ht="12" customHeight="1" x14ac:dyDescent="0.25">
      <c r="A18" s="576" t="s">
        <v>367</v>
      </c>
      <c r="B18" s="576"/>
      <c r="C18" s="284" t="s">
        <v>36</v>
      </c>
      <c r="D18" s="551">
        <f>Calculations!E57</f>
        <v>1504</v>
      </c>
      <c r="E18" s="551">
        <f>Calculations!E162</f>
        <v>301</v>
      </c>
      <c r="F18" s="551">
        <f>Calculations!E427</f>
        <v>262784</v>
      </c>
      <c r="G18" s="551">
        <f>Calculations!E685</f>
        <v>18492</v>
      </c>
      <c r="H18" s="551">
        <f>Calculations!E1000</f>
        <v>705</v>
      </c>
      <c r="I18" s="551">
        <f>Calculations!E1165</f>
        <v>0</v>
      </c>
      <c r="J18" s="551">
        <f>Calculations!E1489-H18-I18</f>
        <v>0</v>
      </c>
      <c r="K18" s="51">
        <v>0</v>
      </c>
      <c r="L18" s="285" t="s">
        <v>36</v>
      </c>
    </row>
    <row r="19" spans="1:12" ht="12" customHeight="1" x14ac:dyDescent="0.25">
      <c r="A19" s="287" t="s">
        <v>368</v>
      </c>
      <c r="B19" s="287"/>
      <c r="C19" s="284" t="s">
        <v>38</v>
      </c>
      <c r="D19" s="551">
        <f>Calculations!E64</f>
        <v>0</v>
      </c>
      <c r="E19" s="551">
        <f>Calculations!E169</f>
        <v>0</v>
      </c>
      <c r="F19" s="551">
        <f>Calculations!E454</f>
        <v>0</v>
      </c>
      <c r="G19" s="551">
        <f>Calculations!E692</f>
        <v>0</v>
      </c>
      <c r="H19" s="551">
        <f>Calculations!E1007</f>
        <v>0</v>
      </c>
      <c r="I19" s="551">
        <f>Calculations!E1172</f>
        <v>0</v>
      </c>
      <c r="J19" s="551">
        <f>Calculations!E1494-H19-I19</f>
        <v>0</v>
      </c>
      <c r="K19" s="54">
        <v>0</v>
      </c>
      <c r="L19" s="285" t="s">
        <v>38</v>
      </c>
    </row>
    <row r="20" spans="1:12" ht="12" customHeight="1" x14ac:dyDescent="0.25">
      <c r="A20" s="576" t="s">
        <v>369</v>
      </c>
      <c r="B20" s="576"/>
      <c r="C20" s="284"/>
      <c r="D20" s="281"/>
      <c r="E20" s="281"/>
      <c r="F20" s="281"/>
      <c r="G20" s="281"/>
      <c r="H20" s="281"/>
      <c r="I20" s="281"/>
      <c r="J20" s="281"/>
      <c r="K20" s="87"/>
      <c r="L20" s="288"/>
    </row>
    <row r="21" spans="1:12" ht="12" customHeight="1" x14ac:dyDescent="0.25">
      <c r="A21" s="287" t="s">
        <v>370</v>
      </c>
      <c r="B21" s="287"/>
      <c r="C21" s="284" t="s">
        <v>40</v>
      </c>
      <c r="D21" s="556">
        <f>Calculations!E71</f>
        <v>0</v>
      </c>
      <c r="E21" s="556">
        <f>Calculations!E176</f>
        <v>0</v>
      </c>
      <c r="F21" s="556">
        <f>Calculations!E481</f>
        <v>0</v>
      </c>
      <c r="G21" s="556">
        <f>Calculations!E699</f>
        <v>0</v>
      </c>
      <c r="H21" s="556">
        <f>Calculations!E1014</f>
        <v>0</v>
      </c>
      <c r="I21" s="556">
        <f>Calculations!E1179</f>
        <v>0</v>
      </c>
      <c r="J21" s="556">
        <f>Calculations!E1499-H21-I21</f>
        <v>0</v>
      </c>
      <c r="K21" s="52">
        <v>0</v>
      </c>
      <c r="L21" s="288" t="s">
        <v>40</v>
      </c>
    </row>
    <row r="22" spans="1:12" ht="12" customHeight="1" x14ac:dyDescent="0.25">
      <c r="A22" s="287" t="s">
        <v>371</v>
      </c>
      <c r="B22" s="287"/>
      <c r="C22" s="284" t="s">
        <v>42</v>
      </c>
      <c r="D22" s="551">
        <f>Calculations!E85</f>
        <v>0</v>
      </c>
      <c r="E22" s="551">
        <f>Calculations!E190</f>
        <v>0</v>
      </c>
      <c r="F22" s="551">
        <f>Calculations!E535</f>
        <v>0</v>
      </c>
      <c r="G22" s="551">
        <f>Calculations!E713</f>
        <v>0</v>
      </c>
      <c r="H22" s="551">
        <f>Calculations!E1028</f>
        <v>0</v>
      </c>
      <c r="I22" s="551">
        <f>Calculations!E1193</f>
        <v>0</v>
      </c>
      <c r="J22" s="551">
        <f>Calculations!E1504-H22-I22</f>
        <v>0</v>
      </c>
      <c r="K22" s="52">
        <v>0</v>
      </c>
      <c r="L22" s="285" t="s">
        <v>42</v>
      </c>
    </row>
    <row r="23" spans="1:12" ht="12" customHeight="1" x14ac:dyDescent="0.25">
      <c r="A23" s="287" t="s">
        <v>372</v>
      </c>
      <c r="B23" s="287"/>
      <c r="C23" s="284" t="s">
        <v>44</v>
      </c>
      <c r="D23" s="551">
        <f t="shared" ref="D23:K23" si="0">SUM(D11:D22)</f>
        <v>1184246</v>
      </c>
      <c r="E23" s="551">
        <f t="shared" si="0"/>
        <v>346878</v>
      </c>
      <c r="F23" s="551">
        <f t="shared" si="0"/>
        <v>522452</v>
      </c>
      <c r="G23" s="551">
        <f t="shared" si="0"/>
        <v>88967</v>
      </c>
      <c r="H23" s="551">
        <f t="shared" si="0"/>
        <v>24514</v>
      </c>
      <c r="I23" s="551">
        <f t="shared" si="0"/>
        <v>0</v>
      </c>
      <c r="J23" s="551">
        <f t="shared" si="0"/>
        <v>0</v>
      </c>
      <c r="K23" s="551">
        <f t="shared" si="0"/>
        <v>3578</v>
      </c>
      <c r="L23" s="285" t="s">
        <v>44</v>
      </c>
    </row>
    <row r="24" spans="1:12" ht="12" customHeight="1" x14ac:dyDescent="0.25">
      <c r="A24" s="287" t="s">
        <v>373</v>
      </c>
      <c r="B24" s="287"/>
      <c r="C24" s="284" t="s">
        <v>45</v>
      </c>
      <c r="D24" s="551">
        <f>Calculations!E106</f>
        <v>171197</v>
      </c>
      <c r="E24" s="551">
        <f>Calculations!E211</f>
        <v>57046</v>
      </c>
      <c r="F24" s="551">
        <f>Calculations!E629</f>
        <v>17159</v>
      </c>
      <c r="G24" s="549">
        <f>Calculations!E734+'Food Service'!$E$10+'Food Service'!$E$11</f>
        <v>2000</v>
      </c>
      <c r="H24" s="551">
        <f>Calculations!E1049</f>
        <v>0</v>
      </c>
      <c r="I24" s="551">
        <f>Calculations!E1214</f>
        <v>0</v>
      </c>
      <c r="J24" s="551">
        <f>Calculations!E1518-Calculations!E1109-H24-I24</f>
        <v>0</v>
      </c>
      <c r="K24" s="51">
        <v>0</v>
      </c>
      <c r="L24" s="285" t="s">
        <v>45</v>
      </c>
    </row>
    <row r="25" spans="1:12" ht="12" customHeight="1" x14ac:dyDescent="0.25">
      <c r="A25" s="287" t="s">
        <v>374</v>
      </c>
      <c r="B25" s="287"/>
      <c r="C25" s="284" t="s">
        <v>47</v>
      </c>
      <c r="D25" s="551">
        <f>Calculations!E93-Calculations!E106</f>
        <v>1013049</v>
      </c>
      <c r="E25" s="551">
        <f>Calculations!E198-Calculations!E211</f>
        <v>289832</v>
      </c>
      <c r="F25" s="551">
        <f>Calculations!E563-Calculations!E629</f>
        <v>505293</v>
      </c>
      <c r="G25" s="549">
        <f>Calculations!E721-Calculations!E734-'Food Service'!$E$10-'Food Service'!$E$11</f>
        <v>86967</v>
      </c>
      <c r="H25" s="551">
        <f>Calculations!E1036-Calculations!E1049</f>
        <v>24514</v>
      </c>
      <c r="I25" s="551">
        <f>Calculations!E1201-Calculations!E1214</f>
        <v>0</v>
      </c>
      <c r="J25" s="551">
        <f>Calculations!E1505-Calculations!E1518-Calculations!E1082-H25-I25</f>
        <v>0</v>
      </c>
      <c r="K25" s="51">
        <v>3578</v>
      </c>
      <c r="L25" s="285" t="s">
        <v>47</v>
      </c>
    </row>
    <row r="26" spans="1:12" ht="12" customHeight="1" x14ac:dyDescent="0.25">
      <c r="A26" s="287" t="s">
        <v>375</v>
      </c>
      <c r="B26" s="287"/>
      <c r="C26" s="284" t="s">
        <v>49</v>
      </c>
      <c r="D26" s="551">
        <f>Calculations!E92</f>
        <v>0</v>
      </c>
      <c r="E26" s="551">
        <f>Calculations!E197</f>
        <v>0</v>
      </c>
      <c r="F26" s="551">
        <f>Calculations!E562</f>
        <v>0</v>
      </c>
      <c r="G26" s="551">
        <f>Calculations!E720</f>
        <v>0</v>
      </c>
      <c r="H26" s="551">
        <f>Calculations!E1035</f>
        <v>0</v>
      </c>
      <c r="I26" s="551">
        <f>Calculations!E1200</f>
        <v>0</v>
      </c>
      <c r="J26" s="551">
        <f>Calculations!E1523-H26-I26</f>
        <v>0</v>
      </c>
      <c r="K26" s="51">
        <v>0</v>
      </c>
      <c r="L26" s="285" t="s">
        <v>49</v>
      </c>
    </row>
    <row r="27" spans="1:12" ht="12" customHeight="1" x14ac:dyDescent="0.25">
      <c r="B27" s="576"/>
      <c r="C27" s="284"/>
      <c r="D27" s="289"/>
      <c r="E27" s="289"/>
      <c r="F27" s="289"/>
      <c r="G27" s="289"/>
      <c r="H27" s="289"/>
      <c r="I27" s="289"/>
      <c r="J27" s="289"/>
      <c r="K27" s="290"/>
      <c r="L27" s="289"/>
    </row>
    <row r="28" spans="1:12" ht="13.2" hidden="1" x14ac:dyDescent="0.25">
      <c r="A28" s="291"/>
      <c r="B28" s="576"/>
      <c r="C28" s="284"/>
      <c r="D28" s="289"/>
      <c r="E28" s="289"/>
      <c r="F28" s="289"/>
      <c r="G28" s="289"/>
      <c r="H28" s="289"/>
      <c r="I28" s="289"/>
      <c r="J28" s="289"/>
      <c r="K28" s="290"/>
      <c r="L28" s="289"/>
    </row>
    <row r="29" spans="1:12" ht="12" customHeight="1" x14ac:dyDescent="0.25">
      <c r="A29" s="292"/>
      <c r="B29" s="292"/>
      <c r="C29" s="292"/>
      <c r="D29" s="293" t="s">
        <v>376</v>
      </c>
      <c r="E29" s="294"/>
      <c r="F29" s="295"/>
      <c r="H29" s="296" t="s">
        <v>1326</v>
      </c>
      <c r="I29" s="211"/>
      <c r="J29" s="296"/>
    </row>
    <row r="30" spans="1:12" ht="12" customHeight="1" x14ac:dyDescent="0.25">
      <c r="A30" s="292"/>
      <c r="B30" s="292"/>
      <c r="C30" s="297"/>
      <c r="D30" s="152" t="s">
        <v>377</v>
      </c>
      <c r="E30" s="298"/>
      <c r="F30" s="295"/>
      <c r="H30" s="903" t="s">
        <v>378</v>
      </c>
      <c r="I30" s="903"/>
      <c r="J30" s="907"/>
      <c r="K30" s="51">
        <f>128275-7827</f>
        <v>120448</v>
      </c>
      <c r="L30" s="299" t="s">
        <v>24</v>
      </c>
    </row>
    <row r="31" spans="1:12" ht="12" customHeight="1" x14ac:dyDescent="0.25">
      <c r="A31" s="292"/>
      <c r="B31" s="292"/>
      <c r="C31" s="297"/>
      <c r="D31" s="152" t="s">
        <v>379</v>
      </c>
      <c r="E31" s="300" t="s">
        <v>380</v>
      </c>
      <c r="F31" s="295"/>
      <c r="H31" s="903" t="s">
        <v>381</v>
      </c>
      <c r="I31" s="903"/>
      <c r="J31" s="907"/>
      <c r="K31" s="51">
        <v>7827</v>
      </c>
      <c r="L31" s="299" t="s">
        <v>26</v>
      </c>
    </row>
    <row r="32" spans="1:12" ht="12" customHeight="1" x14ac:dyDescent="0.25">
      <c r="A32" s="292"/>
      <c r="B32" s="292"/>
      <c r="C32" s="297"/>
      <c r="D32" s="301" t="s">
        <v>382</v>
      </c>
      <c r="E32" s="302" t="s">
        <v>361</v>
      </c>
      <c r="F32" s="292"/>
      <c r="H32" s="903" t="s">
        <v>383</v>
      </c>
      <c r="I32" s="903"/>
      <c r="J32" s="907"/>
      <c r="K32" s="51">
        <f>294278-120448-7827</f>
        <v>166003</v>
      </c>
      <c r="L32" s="299" t="s">
        <v>28</v>
      </c>
    </row>
    <row r="33" spans="1:12" ht="12" customHeight="1" x14ac:dyDescent="0.25">
      <c r="A33" s="901" t="s">
        <v>384</v>
      </c>
      <c r="B33" s="901"/>
      <c r="C33" s="303"/>
      <c r="D33" s="551">
        <f t="array" ref="D33">SUM(SUMIFS('Accounting data'!$G$2:$G$37000,'Accounting data'!$I$2:$I$37000,"7*",'Accounting data'!$J$2:$J$37000,{"1*","2*","3*","4*","5*"},'Accounting data'!$K$2:$K$37000,"6*"))-SUM(SUMIFS('Accounting data'!$G$2:$G$37000,'Accounting data'!$I$2:$I$37000,"7*",'Accounting data'!$J$2:$J$37000,{"1*","2*","3*","4*","5*"},'Accounting data'!$K$2:$K$37000,"67*"))-SUM(SUMIFS('Accounting data'!$G$2:$G$37000,'Accounting data'!$I$2:$I$37000,"7*",'Accounting data'!$J$2:$J$37000,{"1*","2*","3*","4*","5*"},'Accounting data'!$K$2:$K$37000,"69*"))</f>
        <v>0</v>
      </c>
      <c r="E33" s="51">
        <v>0</v>
      </c>
      <c r="F33" s="304" t="s">
        <v>24</v>
      </c>
      <c r="H33" s="153"/>
      <c r="I33" s="153"/>
      <c r="J33" s="153"/>
      <c r="K33" s="305"/>
    </row>
    <row r="34" spans="1:12" ht="12" customHeight="1" x14ac:dyDescent="0.25">
      <c r="A34" s="903" t="s">
        <v>385</v>
      </c>
      <c r="B34" s="903"/>
      <c r="C34" s="577"/>
      <c r="D34" s="551">
        <f t="array" ref="D34">SUM(SUMIFS('Accounting data'!$G$2:$G$37000,'Accounting data'!$I$2:$I$37000,"8*",'Accounting data'!$J$2:$J$37000,{"1*","2*","3*","4*","5*"},'Accounting data'!$K$2:$K$37000,"6*"))-SUM(SUMIFS('Accounting data'!$G$2:$G$37000,'Accounting data'!$I$2:$I$37000,"8*",'Accounting data'!$J$2:$J$37000,{"1*","2*","3*","4*","5*"},'Accounting data'!$K$2:$K$37000,"67*"))-SUM(SUMIFS('Accounting data'!$G$2:$G$37000,'Accounting data'!$I$2:$I$37000,"8*",'Accounting data'!$J$2:$J$37000,{"1*","2*","3*","4*","5*"},'Accounting data'!$K$2:$K$37000,"69*"))</f>
        <v>0</v>
      </c>
      <c r="E34" s="51">
        <v>0</v>
      </c>
      <c r="F34" s="304" t="s">
        <v>26</v>
      </c>
      <c r="H34" s="153"/>
      <c r="I34" s="153"/>
      <c r="J34" s="153"/>
      <c r="K34" s="305"/>
    </row>
    <row r="35" spans="1:12" ht="12" customHeight="1" x14ac:dyDescent="0.25">
      <c r="A35" s="903" t="s">
        <v>386</v>
      </c>
      <c r="B35" s="903"/>
      <c r="C35" s="577"/>
      <c r="D35" s="551">
        <f t="array" ref="D35">SUM(SUMIFS('Accounting data'!$G$2:$G$37000,'Accounting data'!$I$2:$I$37000,"9*",'Accounting data'!$J$2:$J$37000,{"1*","2*","3*","4*","5*"},'Accounting data'!$K$2:$K$37000,"6*"))-SUM(SUMIFS('Accounting data'!$G$2:$G$37000,'Accounting data'!$I$2:$I$37000,"9*",'Accounting data'!$J$2:$J$37000,{"1*","2*","3*","4*","5*"},'Accounting data'!$K$2:$K$37000,"67*"))-SUM(SUMIFS('Accounting data'!$G$2:$G$37000,'Accounting data'!$I$2:$I$37000,"9*",'Accounting data'!$J$2:$J$37000,{"1*","2*","3*","4*","5*"},'Accounting data'!$K$2:$K$37000,"69*"))</f>
        <v>0</v>
      </c>
      <c r="E35" s="51">
        <v>0</v>
      </c>
      <c r="F35" s="304" t="s">
        <v>28</v>
      </c>
      <c r="H35" s="296" t="s">
        <v>387</v>
      </c>
      <c r="I35" s="211"/>
      <c r="J35" s="153"/>
      <c r="K35" s="305"/>
    </row>
    <row r="36" spans="1:12" ht="12" customHeight="1" x14ac:dyDescent="0.25">
      <c r="A36" s="903" t="s">
        <v>388</v>
      </c>
      <c r="B36" s="903"/>
      <c r="C36" s="303"/>
      <c r="D36" s="551">
        <f>Calculations!E1335</f>
        <v>0</v>
      </c>
      <c r="E36" s="51">
        <v>0</v>
      </c>
      <c r="F36" s="288" t="s">
        <v>31</v>
      </c>
      <c r="H36" s="899" t="s">
        <v>1319</v>
      </c>
      <c r="I36" s="899"/>
      <c r="J36" s="900"/>
      <c r="K36" s="51">
        <v>3095000</v>
      </c>
      <c r="L36" s="299" t="s">
        <v>24</v>
      </c>
    </row>
    <row r="37" spans="1:12" ht="12" customHeight="1" x14ac:dyDescent="0.25">
      <c r="C37" s="299"/>
      <c r="E37" s="156"/>
      <c r="F37" s="304"/>
      <c r="H37" s="899" t="s">
        <v>1320</v>
      </c>
      <c r="I37" s="899"/>
      <c r="J37" s="900"/>
      <c r="K37" s="51">
        <v>0</v>
      </c>
      <c r="L37" s="299" t="s">
        <v>26</v>
      </c>
    </row>
    <row r="38" spans="1:12" ht="12" customHeight="1" x14ac:dyDescent="0.25">
      <c r="C38" s="299"/>
      <c r="E38" s="156"/>
      <c r="F38" s="304"/>
      <c r="H38" s="899" t="s">
        <v>1321</v>
      </c>
      <c r="I38" s="899"/>
      <c r="J38" s="900"/>
      <c r="K38" s="51">
        <v>155000</v>
      </c>
      <c r="L38" s="299" t="s">
        <v>28</v>
      </c>
    </row>
    <row r="39" spans="1:12" ht="12" customHeight="1" x14ac:dyDescent="0.25">
      <c r="A39" s="296" t="s">
        <v>389</v>
      </c>
      <c r="B39" s="211"/>
      <c r="E39" s="306" t="s">
        <v>390</v>
      </c>
      <c r="F39"/>
      <c r="H39" s="899" t="s">
        <v>1322</v>
      </c>
      <c r="I39" s="899"/>
      <c r="J39" s="900"/>
      <c r="K39" s="551">
        <f>K36+K37-K38</f>
        <v>2940000</v>
      </c>
      <c r="L39" s="299" t="s">
        <v>31</v>
      </c>
    </row>
    <row r="40" spans="1:12" ht="12" customHeight="1" x14ac:dyDescent="0.25">
      <c r="A40" s="904" t="s">
        <v>391</v>
      </c>
      <c r="B40" s="816"/>
      <c r="E40" s="53">
        <v>0</v>
      </c>
      <c r="F40" s="217" t="s">
        <v>24</v>
      </c>
      <c r="K40" s="305"/>
    </row>
    <row r="41" spans="1:12" ht="12" customHeight="1" x14ac:dyDescent="0.25">
      <c r="A41" s="816" t="s">
        <v>392</v>
      </c>
      <c r="B41" s="816"/>
      <c r="C41" s="307"/>
      <c r="E41" s="53">
        <v>0</v>
      </c>
      <c r="F41" s="288" t="s">
        <v>26</v>
      </c>
      <c r="H41" s="899" t="s">
        <v>1323</v>
      </c>
      <c r="I41" s="899"/>
      <c r="J41" s="899"/>
      <c r="K41" s="53">
        <v>0</v>
      </c>
      <c r="L41" s="299" t="s">
        <v>33</v>
      </c>
    </row>
    <row r="42" spans="1:12" ht="12" customHeight="1" x14ac:dyDescent="0.25">
      <c r="A42" s="816" t="s">
        <v>393</v>
      </c>
      <c r="B42" s="816"/>
      <c r="C42" s="307"/>
      <c r="E42" s="53">
        <v>0</v>
      </c>
      <c r="F42" s="288" t="s">
        <v>28</v>
      </c>
      <c r="H42" s="899" t="s">
        <v>1324</v>
      </c>
      <c r="I42" s="899"/>
      <c r="J42" s="899"/>
      <c r="K42" s="53">
        <v>0</v>
      </c>
      <c r="L42" s="299" t="s">
        <v>35</v>
      </c>
    </row>
    <row r="43" spans="1:12" ht="12" customHeight="1" x14ac:dyDescent="0.25">
      <c r="A43" s="816" t="s">
        <v>394</v>
      </c>
      <c r="B43" s="816"/>
      <c r="C43" s="307"/>
      <c r="E43" s="53">
        <v>3578</v>
      </c>
      <c r="F43" s="288" t="s">
        <v>31</v>
      </c>
      <c r="K43" s="305"/>
    </row>
    <row r="44" spans="1:12" ht="12" customHeight="1" x14ac:dyDescent="0.25">
      <c r="A44" s="816" t="s">
        <v>395</v>
      </c>
      <c r="B44" s="816"/>
      <c r="C44" s="307"/>
      <c r="E44" s="53">
        <v>0</v>
      </c>
      <c r="F44" s="288" t="s">
        <v>33</v>
      </c>
      <c r="H44" s="299"/>
      <c r="I44" s="308"/>
      <c r="J44" s="308"/>
      <c r="K44" s="309"/>
      <c r="L44" s="308"/>
    </row>
    <row r="45" spans="1:12" ht="12" customHeight="1" x14ac:dyDescent="0.25">
      <c r="A45"/>
      <c r="B45"/>
      <c r="C45" s="299"/>
      <c r="E45"/>
      <c r="F45"/>
      <c r="H45" s="296" t="s">
        <v>396</v>
      </c>
      <c r="I45" s="211"/>
      <c r="J45" s="296"/>
      <c r="K45" s="305"/>
    </row>
    <row r="46" spans="1:12" ht="12.75" customHeight="1" x14ac:dyDescent="0.25">
      <c r="E46" s="310"/>
      <c r="H46" s="901" t="s">
        <v>397</v>
      </c>
      <c r="I46" s="901"/>
      <c r="J46" s="902"/>
      <c r="K46" s="51">
        <v>2690</v>
      </c>
      <c r="L46" s="299" t="s">
        <v>24</v>
      </c>
    </row>
    <row r="47" spans="1:12" ht="12.75" customHeight="1" x14ac:dyDescent="0.25">
      <c r="A47" s="311" t="s">
        <v>398</v>
      </c>
      <c r="B47" s="312"/>
      <c r="C47" s="295"/>
      <c r="E47" s="313" t="s">
        <v>351</v>
      </c>
      <c r="H47" s="901" t="s">
        <v>399</v>
      </c>
      <c r="I47" s="901"/>
      <c r="J47" s="902"/>
      <c r="K47" s="51">
        <v>10514</v>
      </c>
      <c r="L47" s="299" t="s">
        <v>26</v>
      </c>
    </row>
    <row r="48" spans="1:12" ht="12.75" customHeight="1" x14ac:dyDescent="0.25">
      <c r="A48" s="576" t="s">
        <v>400</v>
      </c>
      <c r="B48" s="576"/>
      <c r="C48" s="314"/>
      <c r="E48" s="551">
        <f>Calculations!E1082+Calculations!E1449</f>
        <v>182777</v>
      </c>
      <c r="F48" s="304" t="s">
        <v>24</v>
      </c>
      <c r="G48" s="576"/>
      <c r="K48" s="305"/>
    </row>
    <row r="49" spans="1:26" ht="12.75" customHeight="1" x14ac:dyDescent="0.25">
      <c r="A49" s="901" t="s">
        <v>401</v>
      </c>
      <c r="B49" s="901"/>
      <c r="C49" s="314"/>
      <c r="E49" s="51">
        <v>155000</v>
      </c>
      <c r="F49" s="304" t="s">
        <v>26</v>
      </c>
      <c r="K49" s="305"/>
    </row>
    <row r="50" spans="1:26" ht="12.75" customHeight="1" x14ac:dyDescent="0.25">
      <c r="A50" s="903" t="s">
        <v>402</v>
      </c>
      <c r="B50" s="903"/>
      <c r="E50" s="551">
        <f>Calculations!E1539-Calculations!E1449</f>
        <v>0</v>
      </c>
      <c r="F50" s="315" t="s">
        <v>28</v>
      </c>
      <c r="H50" s="296" t="s">
        <v>403</v>
      </c>
      <c r="I50" s="296"/>
      <c r="K50" s="305"/>
    </row>
    <row r="51" spans="1:26" ht="12.75" customHeight="1" x14ac:dyDescent="0.25">
      <c r="E51" s="156"/>
      <c r="G51" s="316"/>
      <c r="H51" s="156" t="s">
        <v>404</v>
      </c>
      <c r="K51" s="53">
        <v>36756</v>
      </c>
      <c r="L51" s="299" t="s">
        <v>24</v>
      </c>
      <c r="Z51" s="514"/>
    </row>
    <row r="52" spans="1:26" ht="12.75" customHeight="1" x14ac:dyDescent="0.25">
      <c r="A52" s="211" t="s">
        <v>405</v>
      </c>
      <c r="B52" s="317"/>
      <c r="C52" s="299"/>
      <c r="E52" s="156"/>
      <c r="G52" s="316"/>
      <c r="H52" s="156" t="s">
        <v>406</v>
      </c>
      <c r="K52" s="53">
        <v>0</v>
      </c>
      <c r="L52" s="299" t="s">
        <v>26</v>
      </c>
      <c r="Z52" s="514"/>
    </row>
    <row r="53" spans="1:26" ht="12.75" customHeight="1" x14ac:dyDescent="0.25">
      <c r="A53" s="153" t="s">
        <v>407</v>
      </c>
      <c r="C53" s="278"/>
      <c r="D53" s="318"/>
      <c r="E53" s="53">
        <v>0</v>
      </c>
      <c r="F53" s="319" t="s">
        <v>24</v>
      </c>
      <c r="G53" s="316"/>
      <c r="H53" s="156" t="s">
        <v>408</v>
      </c>
      <c r="K53" s="53">
        <v>0</v>
      </c>
      <c r="L53" s="278" t="s">
        <v>28</v>
      </c>
      <c r="Z53" s="514"/>
    </row>
    <row r="54" spans="1:26" ht="12.75" customHeight="1" x14ac:dyDescent="0.25">
      <c r="A54" s="153" t="s">
        <v>409</v>
      </c>
      <c r="C54" s="278"/>
      <c r="D54" s="318"/>
      <c r="E54" s="53">
        <v>0</v>
      </c>
      <c r="F54" s="319" t="s">
        <v>26</v>
      </c>
      <c r="G54" s="316"/>
      <c r="H54" s="156" t="s">
        <v>410</v>
      </c>
      <c r="K54" s="53">
        <v>25127</v>
      </c>
      <c r="L54" s="278" t="s">
        <v>31</v>
      </c>
      <c r="Z54" s="514"/>
    </row>
    <row r="55" spans="1:26" ht="12.75" customHeight="1" x14ac:dyDescent="0.25">
      <c r="A55" s="153" t="s">
        <v>411</v>
      </c>
      <c r="C55" s="278"/>
      <c r="D55" s="318"/>
      <c r="E55" s="53">
        <v>0</v>
      </c>
      <c r="F55" s="319" t="s">
        <v>28</v>
      </c>
      <c r="G55" s="316"/>
      <c r="H55" s="576" t="s">
        <v>412</v>
      </c>
      <c r="I55" s="576"/>
      <c r="J55" s="576"/>
      <c r="K55" s="53">
        <v>70300</v>
      </c>
      <c r="L55" s="278" t="s">
        <v>33</v>
      </c>
      <c r="Z55" s="514"/>
    </row>
    <row r="56" spans="1:26" ht="12.75" customHeight="1" x14ac:dyDescent="0.25">
      <c r="A56" s="153" t="s">
        <v>413</v>
      </c>
      <c r="C56" s="278"/>
      <c r="D56" s="318"/>
      <c r="E56" s="53">
        <v>0</v>
      </c>
      <c r="F56" s="319" t="s">
        <v>31</v>
      </c>
      <c r="H56" s="576" t="s">
        <v>414</v>
      </c>
      <c r="I56" s="576"/>
      <c r="J56" s="576"/>
      <c r="K56" s="53">
        <v>3578</v>
      </c>
      <c r="L56" s="278" t="s">
        <v>35</v>
      </c>
      <c r="Z56" s="514"/>
    </row>
    <row r="57" spans="1:26" ht="12.75" customHeight="1" x14ac:dyDescent="0.25">
      <c r="C57" s="320"/>
      <c r="D57" s="318"/>
      <c r="F57" s="263"/>
      <c r="G57" s="316"/>
      <c r="K57" s="305"/>
      <c r="L57" s="278"/>
      <c r="Z57" s="514"/>
    </row>
    <row r="58" spans="1:26" ht="12.45" customHeight="1" x14ac:dyDescent="0.25">
      <c r="G58" s="316"/>
      <c r="H58" s="897" t="s">
        <v>1294</v>
      </c>
      <c r="I58" s="897"/>
      <c r="J58" s="897"/>
      <c r="K58" s="897"/>
      <c r="Z58" s="514"/>
    </row>
    <row r="59" spans="1:26" ht="41.55" customHeight="1" x14ac:dyDescent="0.25">
      <c r="G59" s="316"/>
      <c r="H59" s="898" t="s">
        <v>1289</v>
      </c>
      <c r="I59" s="898"/>
      <c r="J59" s="898"/>
      <c r="K59" s="662">
        <v>0</v>
      </c>
      <c r="L59" s="278" t="s">
        <v>24</v>
      </c>
      <c r="Z59" s="514"/>
    </row>
    <row r="60" spans="1:26" ht="41.55" customHeight="1" x14ac:dyDescent="0.25">
      <c r="G60" s="316"/>
      <c r="H60" s="898" t="s">
        <v>1290</v>
      </c>
      <c r="I60" s="898"/>
      <c r="J60" s="898"/>
      <c r="K60" s="662">
        <v>0</v>
      </c>
      <c r="L60" s="278" t="s">
        <v>26</v>
      </c>
      <c r="Z60" s="514"/>
    </row>
    <row r="61" spans="1:26" ht="27" customHeight="1" x14ac:dyDescent="0.25">
      <c r="G61" s="316"/>
      <c r="Z61" s="514"/>
    </row>
    <row r="62" spans="1:26" ht="12.75" customHeight="1" x14ac:dyDescent="0.25">
      <c r="H62" s="694" t="s">
        <v>1378</v>
      </c>
      <c r="Z62" s="514"/>
    </row>
    <row r="63" spans="1:26" ht="12.75" customHeight="1" x14ac:dyDescent="0.25">
      <c r="H63" s="896" t="s">
        <v>1295</v>
      </c>
      <c r="I63" s="896"/>
      <c r="J63" s="896"/>
      <c r="K63" s="663">
        <v>165</v>
      </c>
      <c r="L63" s="679" t="s">
        <v>24</v>
      </c>
      <c r="Z63" s="514"/>
    </row>
    <row r="64" spans="1:26" ht="12.75" customHeight="1" x14ac:dyDescent="0.25">
      <c r="Z64" s="514"/>
    </row>
  </sheetData>
  <sheetProtection sheet="1" formatCells="0" formatColumns="0" formatRows="0"/>
  <mergeCells count="29">
    <mergeCell ref="F1:G1"/>
    <mergeCell ref="C4:L4"/>
    <mergeCell ref="D6:K6"/>
    <mergeCell ref="H32:J32"/>
    <mergeCell ref="H30:J30"/>
    <mergeCell ref="H31:J31"/>
    <mergeCell ref="A50:B50"/>
    <mergeCell ref="A33:B33"/>
    <mergeCell ref="A44:B44"/>
    <mergeCell ref="A40:B40"/>
    <mergeCell ref="A43:B43"/>
    <mergeCell ref="A34:B34"/>
    <mergeCell ref="A49:B49"/>
    <mergeCell ref="A35:B35"/>
    <mergeCell ref="A36:B36"/>
    <mergeCell ref="A41:B41"/>
    <mergeCell ref="A42:B42"/>
    <mergeCell ref="H36:J36"/>
    <mergeCell ref="H42:J42"/>
    <mergeCell ref="H41:J41"/>
    <mergeCell ref="H38:J38"/>
    <mergeCell ref="H39:J39"/>
    <mergeCell ref="H63:J63"/>
    <mergeCell ref="H58:K58"/>
    <mergeCell ref="H59:J59"/>
    <mergeCell ref="H60:J60"/>
    <mergeCell ref="H37:J37"/>
    <mergeCell ref="H46:J46"/>
    <mergeCell ref="H47:J47"/>
  </mergeCells>
  <conditionalFormatting sqref="E33:E36 E49 E53:E56">
    <cfRule type="expression" dxfId="45" priority="8" stopIfTrue="1">
      <formula>$E33=""</formula>
    </cfRule>
  </conditionalFormatting>
  <conditionalFormatting sqref="E40:E44">
    <cfRule type="expression" dxfId="44" priority="4" stopIfTrue="1">
      <formula>$E40=""</formula>
    </cfRule>
  </conditionalFormatting>
  <conditionalFormatting sqref="K11 K13:K19 K21:K22 K24:K26 K30:K32 K36:K38 K41:K42 K46:K47 K51:K56 K59:K60">
    <cfRule type="expression" dxfId="43" priority="7" stopIfTrue="1">
      <formula>$K11=""</formula>
    </cfRule>
  </conditionalFormatting>
  <conditionalFormatting sqref="K63">
    <cfRule type="expression" dxfId="42" priority="1" stopIfTrue="1">
      <formula>$K63=""</formula>
    </cfRule>
  </conditionalFormatting>
  <dataValidations count="2">
    <dataValidation allowBlank="1" showInputMessage="1" showErrorMessage="1" prompt="This amount has been adjusted to include federal food service revenue amounts included on the FS AFR." sqref="G24" xr:uid="{00000000-0002-0000-0A00-000000000000}"/>
    <dataValidation allowBlank="1" showInputMessage="1" showErrorMessage="1" prompt="This amount has been adjusted to exclude federal food service revenue amounts included on the FS AFR. If the amount is negative, refer to the General instructions for Page 10." sqref="G25" xr:uid="{00000000-0002-0000-0A00-000001000000}"/>
  </dataValidations>
  <hyperlinks>
    <hyperlink ref="E31:E32" location="PropertyDisbursements" display="Property " xr:uid="{00000000-0004-0000-0A00-000000000000}"/>
    <hyperlink ref="A39:B39" location="PropertyDisbursementsByType" display="Property Disbursements by Type" xr:uid="{00000000-0004-0000-0A00-000001000000}"/>
    <hyperlink ref="A47" location="DebtService" display="Debt Service" xr:uid="{00000000-0004-0000-0A00-000002000000}"/>
    <hyperlink ref="H35" location="DebtService" display="Debt Service" xr:uid="{00000000-0004-0000-0A00-000003000000}"/>
    <hyperlink ref="H45" location="DebtService" display="Debt Service" xr:uid="{00000000-0004-0000-0A00-000004000000}"/>
    <hyperlink ref="H35:I35" location="LongandShortTermDebt" display="Long-term and Short-term Debt" xr:uid="{00000000-0004-0000-0A00-000005000000}"/>
    <hyperlink ref="H45:J45" location="UtilitiesandEnergyServices" display="Utilities and Energy Detail (Function 2600)" xr:uid="{00000000-0004-0000-0A00-000006000000}"/>
    <hyperlink ref="H50" location="TechnologyDetail" display="Technology" xr:uid="{00000000-0004-0000-0A00-000007000000}"/>
    <hyperlink ref="H29:J29" location="CashandInvestments" display="Cash and Investments held at June 30, 2017" xr:uid="{00000000-0004-0000-0A00-000008000000}"/>
    <hyperlink ref="K9:K10" location="PropertyDisbursements" display="Property" xr:uid="{00000000-0004-0000-0A00-000009000000}"/>
    <hyperlink ref="A52:B52" location="Revenue_From_Selected_Federal_Sources" display="Revenue from selected federal sources " xr:uid="{00000000-0004-0000-0A00-00000A000000}"/>
    <hyperlink ref="H58" location="SupportServicesInstructionDetail" display="Support services-instruction detail" xr:uid="{00000000-0004-0000-0A00-00000B000000}"/>
    <hyperlink ref="B5" location="GeneralPage10" display="Instructions" xr:uid="{E1591FB8-69FB-41E2-828E-BC739B4F460B}"/>
  </hyperlinks>
  <pageMargins left="0.7" right="0.7" top="0.75" bottom="0.75" header="0.3" footer="0.3"/>
  <pageSetup scale="63" orientation="landscape" r:id="rId1"/>
  <headerFooter>
    <oddFooter>&amp;LRev. 8/25 Arizona Department of Education and Auditor General&amp;CFY 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9292-990F-4161-9B89-C3CD151F6C38}">
  <sheetPr>
    <pageSetUpPr fitToPage="1"/>
  </sheetPr>
  <dimension ref="A1:AV49"/>
  <sheetViews>
    <sheetView showGridLines="0" topLeftCell="D1" workbookViewId="0">
      <selection activeCell="H16" sqref="H16"/>
    </sheetView>
  </sheetViews>
  <sheetFormatPr defaultColWidth="9" defaultRowHeight="13.2" x14ac:dyDescent="0.25"/>
  <cols>
    <col min="1" max="1" width="48.33203125" style="322" customWidth="1"/>
    <col min="2" max="2" width="2.77734375" style="322" customWidth="1"/>
    <col min="3" max="3" width="35.33203125" style="322" customWidth="1"/>
    <col min="4" max="4" width="13.77734375" style="322" bestFit="1" customWidth="1"/>
    <col min="5" max="5" width="15.33203125" style="322" customWidth="1"/>
    <col min="6" max="6" width="14.21875" style="322" customWidth="1"/>
    <col min="7" max="7" width="15.21875" style="322" customWidth="1"/>
    <col min="8" max="8" width="13.33203125" style="323" customWidth="1"/>
    <col min="9" max="9" width="17.33203125" style="323" customWidth="1"/>
    <col min="10" max="10" width="15.21875" style="323" customWidth="1"/>
    <col min="11" max="11" width="20.33203125" style="323" customWidth="1"/>
    <col min="12" max="12" width="16" style="322" customWidth="1"/>
    <col min="13" max="13" width="16.77734375" style="322" customWidth="1"/>
    <col min="14" max="14" width="16" style="322" customWidth="1"/>
    <col min="15" max="15" width="14.77734375" style="322" customWidth="1"/>
    <col min="16" max="16" width="9.44140625" style="322" customWidth="1"/>
    <col min="17" max="17" width="14.77734375" style="322" customWidth="1"/>
    <col min="18" max="21" width="9" style="328" customWidth="1"/>
    <col min="22" max="26" width="9" style="329" customWidth="1"/>
    <col min="27" max="27" width="8.21875" style="329" bestFit="1" customWidth="1"/>
    <col min="28" max="29" width="9" style="329" customWidth="1"/>
    <col min="30" max="34" width="10.33203125" style="330" customWidth="1"/>
    <col min="35" max="35" width="9" style="330" customWidth="1"/>
    <col min="36" max="48" width="9" style="328" customWidth="1"/>
    <col min="49" max="256" width="9" style="322" customWidth="1"/>
    <col min="257" max="257" width="60.33203125" style="322" customWidth="1"/>
    <col min="258" max="258" width="2.77734375" style="322" customWidth="1"/>
    <col min="259" max="259" width="14.77734375" style="322" customWidth="1"/>
    <col min="260" max="260" width="13.77734375" style="322" bestFit="1" customWidth="1"/>
    <col min="261" max="261" width="15.33203125" style="322" customWidth="1"/>
    <col min="262" max="262" width="14.21875" style="322" customWidth="1"/>
    <col min="263" max="263" width="15.21875" style="322" customWidth="1"/>
    <col min="264" max="264" width="13.33203125" style="322" customWidth="1"/>
    <col min="265" max="265" width="17.33203125" style="322" customWidth="1"/>
    <col min="266" max="266" width="15.21875" style="322" customWidth="1"/>
    <col min="267" max="267" width="19.6640625" style="322" customWidth="1"/>
    <col min="268" max="270" width="16" style="322" customWidth="1"/>
    <col min="271" max="271" width="14.77734375" style="322" customWidth="1"/>
    <col min="272" max="272" width="17.33203125" style="322" customWidth="1"/>
    <col min="273" max="273" width="14.77734375" style="322" customWidth="1"/>
    <col min="274" max="282" width="9" style="322" customWidth="1"/>
    <col min="283" max="283" width="7.21875" style="322" bestFit="1" customWidth="1"/>
    <col min="284" max="285" width="9" style="322" customWidth="1"/>
    <col min="286" max="290" width="10.33203125" style="322" customWidth="1"/>
    <col min="291" max="512" width="9" style="322" customWidth="1"/>
    <col min="513" max="513" width="60.33203125" style="322" customWidth="1"/>
    <col min="514" max="514" width="2.77734375" style="322" customWidth="1"/>
    <col min="515" max="515" width="14.77734375" style="322" customWidth="1"/>
    <col min="516" max="516" width="13.77734375" style="322" bestFit="1" customWidth="1"/>
    <col min="517" max="517" width="15.33203125" style="322" customWidth="1"/>
    <col min="518" max="518" width="14.21875" style="322" customWidth="1"/>
    <col min="519" max="519" width="15.21875" style="322" customWidth="1"/>
    <col min="520" max="520" width="13.33203125" style="322" customWidth="1"/>
    <col min="521" max="521" width="17.33203125" style="322" customWidth="1"/>
    <col min="522" max="522" width="15.21875" style="322" customWidth="1"/>
    <col min="523" max="523" width="19.6640625" style="322" customWidth="1"/>
    <col min="524" max="526" width="16" style="322" customWidth="1"/>
    <col min="527" max="527" width="14.77734375" style="322" customWidth="1"/>
    <col min="528" max="528" width="17.33203125" style="322" customWidth="1"/>
    <col min="529" max="529" width="14.77734375" style="322" customWidth="1"/>
    <col min="530" max="538" width="9" style="322" customWidth="1"/>
    <col min="539" max="539" width="7.21875" style="322" bestFit="1" customWidth="1"/>
    <col min="540" max="541" width="9" style="322" customWidth="1"/>
    <col min="542" max="546" width="10.33203125" style="322" customWidth="1"/>
    <col min="547" max="768" width="9" style="322" customWidth="1"/>
    <col min="769" max="769" width="60.33203125" style="322" customWidth="1"/>
    <col min="770" max="770" width="2.77734375" style="322" customWidth="1"/>
    <col min="771" max="771" width="14.77734375" style="322" customWidth="1"/>
    <col min="772" max="772" width="13.77734375" style="322" bestFit="1" customWidth="1"/>
    <col min="773" max="773" width="15.33203125" style="322" customWidth="1"/>
    <col min="774" max="774" width="14.21875" style="322" customWidth="1"/>
    <col min="775" max="775" width="15.21875" style="322" customWidth="1"/>
    <col min="776" max="776" width="13.33203125" style="322" customWidth="1"/>
    <col min="777" max="777" width="17.33203125" style="322" customWidth="1"/>
    <col min="778" max="778" width="15.21875" style="322" customWidth="1"/>
    <col min="779" max="779" width="19.6640625" style="322" customWidth="1"/>
    <col min="780" max="782" width="16" style="322" customWidth="1"/>
    <col min="783" max="783" width="14.77734375" style="322" customWidth="1"/>
    <col min="784" max="784" width="17.33203125" style="322" customWidth="1"/>
    <col min="785" max="785" width="14.77734375" style="322" customWidth="1"/>
    <col min="786" max="794" width="9" style="322" customWidth="1"/>
    <col min="795" max="795" width="7.21875" style="322" bestFit="1" customWidth="1"/>
    <col min="796" max="797" width="9" style="322" customWidth="1"/>
    <col min="798" max="802" width="10.33203125" style="322" customWidth="1"/>
    <col min="803" max="1024" width="9" style="322" customWidth="1"/>
    <col min="1025" max="1025" width="60.33203125" style="322" customWidth="1"/>
    <col min="1026" max="1026" width="2.77734375" style="322" customWidth="1"/>
    <col min="1027" max="1027" width="14.77734375" style="322" customWidth="1"/>
    <col min="1028" max="1028" width="13.77734375" style="322" bestFit="1" customWidth="1"/>
    <col min="1029" max="1029" width="15.33203125" style="322" customWidth="1"/>
    <col min="1030" max="1030" width="14.21875" style="322" customWidth="1"/>
    <col min="1031" max="1031" width="15.21875" style="322" customWidth="1"/>
    <col min="1032" max="1032" width="13.33203125" style="322" customWidth="1"/>
    <col min="1033" max="1033" width="17.33203125" style="322" customWidth="1"/>
    <col min="1034" max="1034" width="15.21875" style="322" customWidth="1"/>
    <col min="1035" max="1035" width="19.6640625" style="322" customWidth="1"/>
    <col min="1036" max="1038" width="16" style="322" customWidth="1"/>
    <col min="1039" max="1039" width="14.77734375" style="322" customWidth="1"/>
    <col min="1040" max="1040" width="17.33203125" style="322" customWidth="1"/>
    <col min="1041" max="1041" width="14.77734375" style="322" customWidth="1"/>
    <col min="1042" max="1050" width="9" style="322" customWidth="1"/>
    <col min="1051" max="1051" width="7.21875" style="322" bestFit="1" customWidth="1"/>
    <col min="1052" max="1053" width="9" style="322" customWidth="1"/>
    <col min="1054" max="1058" width="10.33203125" style="322" customWidth="1"/>
    <col min="1059" max="1280" width="9" style="322" customWidth="1"/>
    <col min="1281" max="1281" width="60.33203125" style="322" customWidth="1"/>
    <col min="1282" max="1282" width="2.77734375" style="322" customWidth="1"/>
    <col min="1283" max="1283" width="14.77734375" style="322" customWidth="1"/>
    <col min="1284" max="1284" width="13.77734375" style="322" bestFit="1" customWidth="1"/>
    <col min="1285" max="1285" width="15.33203125" style="322" customWidth="1"/>
    <col min="1286" max="1286" width="14.21875" style="322" customWidth="1"/>
    <col min="1287" max="1287" width="15.21875" style="322" customWidth="1"/>
    <col min="1288" max="1288" width="13.33203125" style="322" customWidth="1"/>
    <col min="1289" max="1289" width="17.33203125" style="322" customWidth="1"/>
    <col min="1290" max="1290" width="15.21875" style="322" customWidth="1"/>
    <col min="1291" max="1291" width="19.6640625" style="322" customWidth="1"/>
    <col min="1292" max="1294" width="16" style="322" customWidth="1"/>
    <col min="1295" max="1295" width="14.77734375" style="322" customWidth="1"/>
    <col min="1296" max="1296" width="17.33203125" style="322" customWidth="1"/>
    <col min="1297" max="1297" width="14.77734375" style="322" customWidth="1"/>
    <col min="1298" max="1306" width="9" style="322" customWidth="1"/>
    <col min="1307" max="1307" width="7.21875" style="322" bestFit="1" customWidth="1"/>
    <col min="1308" max="1309" width="9" style="322" customWidth="1"/>
    <col min="1310" max="1314" width="10.33203125" style="322" customWidth="1"/>
    <col min="1315" max="1536" width="9" style="322" customWidth="1"/>
    <col min="1537" max="1537" width="60.33203125" style="322" customWidth="1"/>
    <col min="1538" max="1538" width="2.77734375" style="322" customWidth="1"/>
    <col min="1539" max="1539" width="14.77734375" style="322" customWidth="1"/>
    <col min="1540" max="1540" width="13.77734375" style="322" bestFit="1" customWidth="1"/>
    <col min="1541" max="1541" width="15.33203125" style="322" customWidth="1"/>
    <col min="1542" max="1542" width="14.21875" style="322" customWidth="1"/>
    <col min="1543" max="1543" width="15.21875" style="322" customWidth="1"/>
    <col min="1544" max="1544" width="13.33203125" style="322" customWidth="1"/>
    <col min="1545" max="1545" width="17.33203125" style="322" customWidth="1"/>
    <col min="1546" max="1546" width="15.21875" style="322" customWidth="1"/>
    <col min="1547" max="1547" width="19.6640625" style="322" customWidth="1"/>
    <col min="1548" max="1550" width="16" style="322" customWidth="1"/>
    <col min="1551" max="1551" width="14.77734375" style="322" customWidth="1"/>
    <col min="1552" max="1552" width="17.33203125" style="322" customWidth="1"/>
    <col min="1553" max="1553" width="14.77734375" style="322" customWidth="1"/>
    <col min="1554" max="1562" width="9" style="322" customWidth="1"/>
    <col min="1563" max="1563" width="7.21875" style="322" bestFit="1" customWidth="1"/>
    <col min="1564" max="1565" width="9" style="322" customWidth="1"/>
    <col min="1566" max="1570" width="10.33203125" style="322" customWidth="1"/>
    <col min="1571" max="1792" width="9" style="322" customWidth="1"/>
    <col min="1793" max="1793" width="60.33203125" style="322" customWidth="1"/>
    <col min="1794" max="1794" width="2.77734375" style="322" customWidth="1"/>
    <col min="1795" max="1795" width="14.77734375" style="322" customWidth="1"/>
    <col min="1796" max="1796" width="13.77734375" style="322" bestFit="1" customWidth="1"/>
    <col min="1797" max="1797" width="15.33203125" style="322" customWidth="1"/>
    <col min="1798" max="1798" width="14.21875" style="322" customWidth="1"/>
    <col min="1799" max="1799" width="15.21875" style="322" customWidth="1"/>
    <col min="1800" max="1800" width="13.33203125" style="322" customWidth="1"/>
    <col min="1801" max="1801" width="17.33203125" style="322" customWidth="1"/>
    <col min="1802" max="1802" width="15.21875" style="322" customWidth="1"/>
    <col min="1803" max="1803" width="19.6640625" style="322" customWidth="1"/>
    <col min="1804" max="1806" width="16" style="322" customWidth="1"/>
    <col min="1807" max="1807" width="14.77734375" style="322" customWidth="1"/>
    <col min="1808" max="1808" width="17.33203125" style="322" customWidth="1"/>
    <col min="1809" max="1809" width="14.77734375" style="322" customWidth="1"/>
    <col min="1810" max="1818" width="9" style="322" customWidth="1"/>
    <col min="1819" max="1819" width="7.21875" style="322" bestFit="1" customWidth="1"/>
    <col min="1820" max="1821" width="9" style="322" customWidth="1"/>
    <col min="1822" max="1826" width="10.33203125" style="322" customWidth="1"/>
    <col min="1827" max="2048" width="9" style="322" customWidth="1"/>
    <col min="2049" max="2049" width="60.33203125" style="322" customWidth="1"/>
    <col min="2050" max="2050" width="2.77734375" style="322" customWidth="1"/>
    <col min="2051" max="2051" width="14.77734375" style="322" customWidth="1"/>
    <col min="2052" max="2052" width="13.77734375" style="322" bestFit="1" customWidth="1"/>
    <col min="2053" max="2053" width="15.33203125" style="322" customWidth="1"/>
    <col min="2054" max="2054" width="14.21875" style="322" customWidth="1"/>
    <col min="2055" max="2055" width="15.21875" style="322" customWidth="1"/>
    <col min="2056" max="2056" width="13.33203125" style="322" customWidth="1"/>
    <col min="2057" max="2057" width="17.33203125" style="322" customWidth="1"/>
    <col min="2058" max="2058" width="15.21875" style="322" customWidth="1"/>
    <col min="2059" max="2059" width="19.6640625" style="322" customWidth="1"/>
    <col min="2060" max="2062" width="16" style="322" customWidth="1"/>
    <col min="2063" max="2063" width="14.77734375" style="322" customWidth="1"/>
    <col min="2064" max="2064" width="17.33203125" style="322" customWidth="1"/>
    <col min="2065" max="2065" width="14.77734375" style="322" customWidth="1"/>
    <col min="2066" max="2074" width="9" style="322" customWidth="1"/>
    <col min="2075" max="2075" width="7.21875" style="322" bestFit="1" customWidth="1"/>
    <col min="2076" max="2077" width="9" style="322" customWidth="1"/>
    <col min="2078" max="2082" width="10.33203125" style="322" customWidth="1"/>
    <col min="2083" max="2304" width="9" style="322" customWidth="1"/>
    <col min="2305" max="2305" width="60.33203125" style="322" customWidth="1"/>
    <col min="2306" max="2306" width="2.77734375" style="322" customWidth="1"/>
    <col min="2307" max="2307" width="14.77734375" style="322" customWidth="1"/>
    <col min="2308" max="2308" width="13.77734375" style="322" bestFit="1" customWidth="1"/>
    <col min="2309" max="2309" width="15.33203125" style="322" customWidth="1"/>
    <col min="2310" max="2310" width="14.21875" style="322" customWidth="1"/>
    <col min="2311" max="2311" width="15.21875" style="322" customWidth="1"/>
    <col min="2312" max="2312" width="13.33203125" style="322" customWidth="1"/>
    <col min="2313" max="2313" width="17.33203125" style="322" customWidth="1"/>
    <col min="2314" max="2314" width="15.21875" style="322" customWidth="1"/>
    <col min="2315" max="2315" width="19.6640625" style="322" customWidth="1"/>
    <col min="2316" max="2318" width="16" style="322" customWidth="1"/>
    <col min="2319" max="2319" width="14.77734375" style="322" customWidth="1"/>
    <col min="2320" max="2320" width="17.33203125" style="322" customWidth="1"/>
    <col min="2321" max="2321" width="14.77734375" style="322" customWidth="1"/>
    <col min="2322" max="2330" width="9" style="322" customWidth="1"/>
    <col min="2331" max="2331" width="7.21875" style="322" bestFit="1" customWidth="1"/>
    <col min="2332" max="2333" width="9" style="322" customWidth="1"/>
    <col min="2334" max="2338" width="10.33203125" style="322" customWidth="1"/>
    <col min="2339" max="2560" width="9" style="322" customWidth="1"/>
    <col min="2561" max="2561" width="60.33203125" style="322" customWidth="1"/>
    <col min="2562" max="2562" width="2.77734375" style="322" customWidth="1"/>
    <col min="2563" max="2563" width="14.77734375" style="322" customWidth="1"/>
    <col min="2564" max="2564" width="13.77734375" style="322" bestFit="1" customWidth="1"/>
    <col min="2565" max="2565" width="15.33203125" style="322" customWidth="1"/>
    <col min="2566" max="2566" width="14.21875" style="322" customWidth="1"/>
    <col min="2567" max="2567" width="15.21875" style="322" customWidth="1"/>
    <col min="2568" max="2568" width="13.33203125" style="322" customWidth="1"/>
    <col min="2569" max="2569" width="17.33203125" style="322" customWidth="1"/>
    <col min="2570" max="2570" width="15.21875" style="322" customWidth="1"/>
    <col min="2571" max="2571" width="19.6640625" style="322" customWidth="1"/>
    <col min="2572" max="2574" width="16" style="322" customWidth="1"/>
    <col min="2575" max="2575" width="14.77734375" style="322" customWidth="1"/>
    <col min="2576" max="2576" width="17.33203125" style="322" customWidth="1"/>
    <col min="2577" max="2577" width="14.77734375" style="322" customWidth="1"/>
    <col min="2578" max="2586" width="9" style="322" customWidth="1"/>
    <col min="2587" max="2587" width="7.21875" style="322" bestFit="1" customWidth="1"/>
    <col min="2588" max="2589" width="9" style="322" customWidth="1"/>
    <col min="2590" max="2594" width="10.33203125" style="322" customWidth="1"/>
    <col min="2595" max="2816" width="9" style="322" customWidth="1"/>
    <col min="2817" max="2817" width="60.33203125" style="322" customWidth="1"/>
    <col min="2818" max="2818" width="2.77734375" style="322" customWidth="1"/>
    <col min="2819" max="2819" width="14.77734375" style="322" customWidth="1"/>
    <col min="2820" max="2820" width="13.77734375" style="322" bestFit="1" customWidth="1"/>
    <col min="2821" max="2821" width="15.33203125" style="322" customWidth="1"/>
    <col min="2822" max="2822" width="14.21875" style="322" customWidth="1"/>
    <col min="2823" max="2823" width="15.21875" style="322" customWidth="1"/>
    <col min="2824" max="2824" width="13.33203125" style="322" customWidth="1"/>
    <col min="2825" max="2825" width="17.33203125" style="322" customWidth="1"/>
    <col min="2826" max="2826" width="15.21875" style="322" customWidth="1"/>
    <col min="2827" max="2827" width="19.6640625" style="322" customWidth="1"/>
    <col min="2828" max="2830" width="16" style="322" customWidth="1"/>
    <col min="2831" max="2831" width="14.77734375" style="322" customWidth="1"/>
    <col min="2832" max="2832" width="17.33203125" style="322" customWidth="1"/>
    <col min="2833" max="2833" width="14.77734375" style="322" customWidth="1"/>
    <col min="2834" max="2842" width="9" style="322" customWidth="1"/>
    <col min="2843" max="2843" width="7.21875" style="322" bestFit="1" customWidth="1"/>
    <col min="2844" max="2845" width="9" style="322" customWidth="1"/>
    <col min="2846" max="2850" width="10.33203125" style="322" customWidth="1"/>
    <col min="2851" max="3072" width="9" style="322" customWidth="1"/>
    <col min="3073" max="3073" width="60.33203125" style="322" customWidth="1"/>
    <col min="3074" max="3074" width="2.77734375" style="322" customWidth="1"/>
    <col min="3075" max="3075" width="14.77734375" style="322" customWidth="1"/>
    <col min="3076" max="3076" width="13.77734375" style="322" bestFit="1" customWidth="1"/>
    <col min="3077" max="3077" width="15.33203125" style="322" customWidth="1"/>
    <col min="3078" max="3078" width="14.21875" style="322" customWidth="1"/>
    <col min="3079" max="3079" width="15.21875" style="322" customWidth="1"/>
    <col min="3080" max="3080" width="13.33203125" style="322" customWidth="1"/>
    <col min="3081" max="3081" width="17.33203125" style="322" customWidth="1"/>
    <col min="3082" max="3082" width="15.21875" style="322" customWidth="1"/>
    <col min="3083" max="3083" width="19.6640625" style="322" customWidth="1"/>
    <col min="3084" max="3086" width="16" style="322" customWidth="1"/>
    <col min="3087" max="3087" width="14.77734375" style="322" customWidth="1"/>
    <col min="3088" max="3088" width="17.33203125" style="322" customWidth="1"/>
    <col min="3089" max="3089" width="14.77734375" style="322" customWidth="1"/>
    <col min="3090" max="3098" width="9" style="322" customWidth="1"/>
    <col min="3099" max="3099" width="7.21875" style="322" bestFit="1" customWidth="1"/>
    <col min="3100" max="3101" width="9" style="322" customWidth="1"/>
    <col min="3102" max="3106" width="10.33203125" style="322" customWidth="1"/>
    <col min="3107" max="3328" width="9" style="322" customWidth="1"/>
    <col min="3329" max="3329" width="60.33203125" style="322" customWidth="1"/>
    <col min="3330" max="3330" width="2.77734375" style="322" customWidth="1"/>
    <col min="3331" max="3331" width="14.77734375" style="322" customWidth="1"/>
    <col min="3332" max="3332" width="13.77734375" style="322" bestFit="1" customWidth="1"/>
    <col min="3333" max="3333" width="15.33203125" style="322" customWidth="1"/>
    <col min="3334" max="3334" width="14.21875" style="322" customWidth="1"/>
    <col min="3335" max="3335" width="15.21875" style="322" customWidth="1"/>
    <col min="3336" max="3336" width="13.33203125" style="322" customWidth="1"/>
    <col min="3337" max="3337" width="17.33203125" style="322" customWidth="1"/>
    <col min="3338" max="3338" width="15.21875" style="322" customWidth="1"/>
    <col min="3339" max="3339" width="19.6640625" style="322" customWidth="1"/>
    <col min="3340" max="3342" width="16" style="322" customWidth="1"/>
    <col min="3343" max="3343" width="14.77734375" style="322" customWidth="1"/>
    <col min="3344" max="3344" width="17.33203125" style="322" customWidth="1"/>
    <col min="3345" max="3345" width="14.77734375" style="322" customWidth="1"/>
    <col min="3346" max="3354" width="9" style="322" customWidth="1"/>
    <col min="3355" max="3355" width="7.21875" style="322" bestFit="1" customWidth="1"/>
    <col min="3356" max="3357" width="9" style="322" customWidth="1"/>
    <col min="3358" max="3362" width="10.33203125" style="322" customWidth="1"/>
    <col min="3363" max="3584" width="9" style="322" customWidth="1"/>
    <col min="3585" max="3585" width="60.33203125" style="322" customWidth="1"/>
    <col min="3586" max="3586" width="2.77734375" style="322" customWidth="1"/>
    <col min="3587" max="3587" width="14.77734375" style="322" customWidth="1"/>
    <col min="3588" max="3588" width="13.77734375" style="322" bestFit="1" customWidth="1"/>
    <col min="3589" max="3589" width="15.33203125" style="322" customWidth="1"/>
    <col min="3590" max="3590" width="14.21875" style="322" customWidth="1"/>
    <col min="3591" max="3591" width="15.21875" style="322" customWidth="1"/>
    <col min="3592" max="3592" width="13.33203125" style="322" customWidth="1"/>
    <col min="3593" max="3593" width="17.33203125" style="322" customWidth="1"/>
    <col min="3594" max="3594" width="15.21875" style="322" customWidth="1"/>
    <col min="3595" max="3595" width="19.6640625" style="322" customWidth="1"/>
    <col min="3596" max="3598" width="16" style="322" customWidth="1"/>
    <col min="3599" max="3599" width="14.77734375" style="322" customWidth="1"/>
    <col min="3600" max="3600" width="17.33203125" style="322" customWidth="1"/>
    <col min="3601" max="3601" width="14.77734375" style="322" customWidth="1"/>
    <col min="3602" max="3610" width="9" style="322" customWidth="1"/>
    <col min="3611" max="3611" width="7.21875" style="322" bestFit="1" customWidth="1"/>
    <col min="3612" max="3613" width="9" style="322" customWidth="1"/>
    <col min="3614" max="3618" width="10.33203125" style="322" customWidth="1"/>
    <col min="3619" max="3840" width="9" style="322" customWidth="1"/>
    <col min="3841" max="3841" width="60.33203125" style="322" customWidth="1"/>
    <col min="3842" max="3842" width="2.77734375" style="322" customWidth="1"/>
    <col min="3843" max="3843" width="14.77734375" style="322" customWidth="1"/>
    <col min="3844" max="3844" width="13.77734375" style="322" bestFit="1" customWidth="1"/>
    <col min="3845" max="3845" width="15.33203125" style="322" customWidth="1"/>
    <col min="3846" max="3846" width="14.21875" style="322" customWidth="1"/>
    <col min="3847" max="3847" width="15.21875" style="322" customWidth="1"/>
    <col min="3848" max="3848" width="13.33203125" style="322" customWidth="1"/>
    <col min="3849" max="3849" width="17.33203125" style="322" customWidth="1"/>
    <col min="3850" max="3850" width="15.21875" style="322" customWidth="1"/>
    <col min="3851" max="3851" width="19.6640625" style="322" customWidth="1"/>
    <col min="3852" max="3854" width="16" style="322" customWidth="1"/>
    <col min="3855" max="3855" width="14.77734375" style="322" customWidth="1"/>
    <col min="3856" max="3856" width="17.33203125" style="322" customWidth="1"/>
    <col min="3857" max="3857" width="14.77734375" style="322" customWidth="1"/>
    <col min="3858" max="3866" width="9" style="322" customWidth="1"/>
    <col min="3867" max="3867" width="7.21875" style="322" bestFit="1" customWidth="1"/>
    <col min="3868" max="3869" width="9" style="322" customWidth="1"/>
    <col min="3870" max="3874" width="10.33203125" style="322" customWidth="1"/>
    <col min="3875" max="4096" width="9" style="322" customWidth="1"/>
    <col min="4097" max="4097" width="60.33203125" style="322" customWidth="1"/>
    <col min="4098" max="4098" width="2.77734375" style="322" customWidth="1"/>
    <col min="4099" max="4099" width="14.77734375" style="322" customWidth="1"/>
    <col min="4100" max="4100" width="13.77734375" style="322" bestFit="1" customWidth="1"/>
    <col min="4101" max="4101" width="15.33203125" style="322" customWidth="1"/>
    <col min="4102" max="4102" width="14.21875" style="322" customWidth="1"/>
    <col min="4103" max="4103" width="15.21875" style="322" customWidth="1"/>
    <col min="4104" max="4104" width="13.33203125" style="322" customWidth="1"/>
    <col min="4105" max="4105" width="17.33203125" style="322" customWidth="1"/>
    <col min="4106" max="4106" width="15.21875" style="322" customWidth="1"/>
    <col min="4107" max="4107" width="19.6640625" style="322" customWidth="1"/>
    <col min="4108" max="4110" width="16" style="322" customWidth="1"/>
    <col min="4111" max="4111" width="14.77734375" style="322" customWidth="1"/>
    <col min="4112" max="4112" width="17.33203125" style="322" customWidth="1"/>
    <col min="4113" max="4113" width="14.77734375" style="322" customWidth="1"/>
    <col min="4114" max="4122" width="9" style="322" customWidth="1"/>
    <col min="4123" max="4123" width="7.21875" style="322" bestFit="1" customWidth="1"/>
    <col min="4124" max="4125" width="9" style="322" customWidth="1"/>
    <col min="4126" max="4130" width="10.33203125" style="322" customWidth="1"/>
    <col min="4131" max="4352" width="9" style="322" customWidth="1"/>
    <col min="4353" max="4353" width="60.33203125" style="322" customWidth="1"/>
    <col min="4354" max="4354" width="2.77734375" style="322" customWidth="1"/>
    <col min="4355" max="4355" width="14.77734375" style="322" customWidth="1"/>
    <col min="4356" max="4356" width="13.77734375" style="322" bestFit="1" customWidth="1"/>
    <col min="4357" max="4357" width="15.33203125" style="322" customWidth="1"/>
    <col min="4358" max="4358" width="14.21875" style="322" customWidth="1"/>
    <col min="4359" max="4359" width="15.21875" style="322" customWidth="1"/>
    <col min="4360" max="4360" width="13.33203125" style="322" customWidth="1"/>
    <col min="4361" max="4361" width="17.33203125" style="322" customWidth="1"/>
    <col min="4362" max="4362" width="15.21875" style="322" customWidth="1"/>
    <col min="4363" max="4363" width="19.6640625" style="322" customWidth="1"/>
    <col min="4364" max="4366" width="16" style="322" customWidth="1"/>
    <col min="4367" max="4367" width="14.77734375" style="322" customWidth="1"/>
    <col min="4368" max="4368" width="17.33203125" style="322" customWidth="1"/>
    <col min="4369" max="4369" width="14.77734375" style="322" customWidth="1"/>
    <col min="4370" max="4378" width="9" style="322" customWidth="1"/>
    <col min="4379" max="4379" width="7.21875" style="322" bestFit="1" customWidth="1"/>
    <col min="4380" max="4381" width="9" style="322" customWidth="1"/>
    <col min="4382" max="4386" width="10.33203125" style="322" customWidth="1"/>
    <col min="4387" max="4608" width="9" style="322" customWidth="1"/>
    <col min="4609" max="4609" width="60.33203125" style="322" customWidth="1"/>
    <col min="4610" max="4610" width="2.77734375" style="322" customWidth="1"/>
    <col min="4611" max="4611" width="14.77734375" style="322" customWidth="1"/>
    <col min="4612" max="4612" width="13.77734375" style="322" bestFit="1" customWidth="1"/>
    <col min="4613" max="4613" width="15.33203125" style="322" customWidth="1"/>
    <col min="4614" max="4614" width="14.21875" style="322" customWidth="1"/>
    <col min="4615" max="4615" width="15.21875" style="322" customWidth="1"/>
    <col min="4616" max="4616" width="13.33203125" style="322" customWidth="1"/>
    <col min="4617" max="4617" width="17.33203125" style="322" customWidth="1"/>
    <col min="4618" max="4618" width="15.21875" style="322" customWidth="1"/>
    <col min="4619" max="4619" width="19.6640625" style="322" customWidth="1"/>
    <col min="4620" max="4622" width="16" style="322" customWidth="1"/>
    <col min="4623" max="4623" width="14.77734375" style="322" customWidth="1"/>
    <col min="4624" max="4624" width="17.33203125" style="322" customWidth="1"/>
    <col min="4625" max="4625" width="14.77734375" style="322" customWidth="1"/>
    <col min="4626" max="4634" width="9" style="322" customWidth="1"/>
    <col min="4635" max="4635" width="7.21875" style="322" bestFit="1" customWidth="1"/>
    <col min="4636" max="4637" width="9" style="322" customWidth="1"/>
    <col min="4638" max="4642" width="10.33203125" style="322" customWidth="1"/>
    <col min="4643" max="4864" width="9" style="322" customWidth="1"/>
    <col min="4865" max="4865" width="60.33203125" style="322" customWidth="1"/>
    <col min="4866" max="4866" width="2.77734375" style="322" customWidth="1"/>
    <col min="4867" max="4867" width="14.77734375" style="322" customWidth="1"/>
    <col min="4868" max="4868" width="13.77734375" style="322" bestFit="1" customWidth="1"/>
    <col min="4869" max="4869" width="15.33203125" style="322" customWidth="1"/>
    <col min="4870" max="4870" width="14.21875" style="322" customWidth="1"/>
    <col min="4871" max="4871" width="15.21875" style="322" customWidth="1"/>
    <col min="4872" max="4872" width="13.33203125" style="322" customWidth="1"/>
    <col min="4873" max="4873" width="17.33203125" style="322" customWidth="1"/>
    <col min="4874" max="4874" width="15.21875" style="322" customWidth="1"/>
    <col min="4875" max="4875" width="19.6640625" style="322" customWidth="1"/>
    <col min="4876" max="4878" width="16" style="322" customWidth="1"/>
    <col min="4879" max="4879" width="14.77734375" style="322" customWidth="1"/>
    <col min="4880" max="4880" width="17.33203125" style="322" customWidth="1"/>
    <col min="4881" max="4881" width="14.77734375" style="322" customWidth="1"/>
    <col min="4882" max="4890" width="9" style="322" customWidth="1"/>
    <col min="4891" max="4891" width="7.21875" style="322" bestFit="1" customWidth="1"/>
    <col min="4892" max="4893" width="9" style="322" customWidth="1"/>
    <col min="4894" max="4898" width="10.33203125" style="322" customWidth="1"/>
    <col min="4899" max="5120" width="9" style="322" customWidth="1"/>
    <col min="5121" max="5121" width="60.33203125" style="322" customWidth="1"/>
    <col min="5122" max="5122" width="2.77734375" style="322" customWidth="1"/>
    <col min="5123" max="5123" width="14.77734375" style="322" customWidth="1"/>
    <col min="5124" max="5124" width="13.77734375" style="322" bestFit="1" customWidth="1"/>
    <col min="5125" max="5125" width="15.33203125" style="322" customWidth="1"/>
    <col min="5126" max="5126" width="14.21875" style="322" customWidth="1"/>
    <col min="5127" max="5127" width="15.21875" style="322" customWidth="1"/>
    <col min="5128" max="5128" width="13.33203125" style="322" customWidth="1"/>
    <col min="5129" max="5129" width="17.33203125" style="322" customWidth="1"/>
    <col min="5130" max="5130" width="15.21875" style="322" customWidth="1"/>
    <col min="5131" max="5131" width="19.6640625" style="322" customWidth="1"/>
    <col min="5132" max="5134" width="16" style="322" customWidth="1"/>
    <col min="5135" max="5135" width="14.77734375" style="322" customWidth="1"/>
    <col min="5136" max="5136" width="17.33203125" style="322" customWidth="1"/>
    <col min="5137" max="5137" width="14.77734375" style="322" customWidth="1"/>
    <col min="5138" max="5146" width="9" style="322" customWidth="1"/>
    <col min="5147" max="5147" width="7.21875" style="322" bestFit="1" customWidth="1"/>
    <col min="5148" max="5149" width="9" style="322" customWidth="1"/>
    <col min="5150" max="5154" width="10.33203125" style="322" customWidth="1"/>
    <col min="5155" max="5376" width="9" style="322" customWidth="1"/>
    <col min="5377" max="5377" width="60.33203125" style="322" customWidth="1"/>
    <col min="5378" max="5378" width="2.77734375" style="322" customWidth="1"/>
    <col min="5379" max="5379" width="14.77734375" style="322" customWidth="1"/>
    <col min="5380" max="5380" width="13.77734375" style="322" bestFit="1" customWidth="1"/>
    <col min="5381" max="5381" width="15.33203125" style="322" customWidth="1"/>
    <col min="5382" max="5382" width="14.21875" style="322" customWidth="1"/>
    <col min="5383" max="5383" width="15.21875" style="322" customWidth="1"/>
    <col min="5384" max="5384" width="13.33203125" style="322" customWidth="1"/>
    <col min="5385" max="5385" width="17.33203125" style="322" customWidth="1"/>
    <col min="5386" max="5386" width="15.21875" style="322" customWidth="1"/>
    <col min="5387" max="5387" width="19.6640625" style="322" customWidth="1"/>
    <col min="5388" max="5390" width="16" style="322" customWidth="1"/>
    <col min="5391" max="5391" width="14.77734375" style="322" customWidth="1"/>
    <col min="5392" max="5392" width="17.33203125" style="322" customWidth="1"/>
    <col min="5393" max="5393" width="14.77734375" style="322" customWidth="1"/>
    <col min="5394" max="5402" width="9" style="322" customWidth="1"/>
    <col min="5403" max="5403" width="7.21875" style="322" bestFit="1" customWidth="1"/>
    <col min="5404" max="5405" width="9" style="322" customWidth="1"/>
    <col min="5406" max="5410" width="10.33203125" style="322" customWidth="1"/>
    <col min="5411" max="5632" width="9" style="322" customWidth="1"/>
    <col min="5633" max="5633" width="60.33203125" style="322" customWidth="1"/>
    <col min="5634" max="5634" width="2.77734375" style="322" customWidth="1"/>
    <col min="5635" max="5635" width="14.77734375" style="322" customWidth="1"/>
    <col min="5636" max="5636" width="13.77734375" style="322" bestFit="1" customWidth="1"/>
    <col min="5637" max="5637" width="15.33203125" style="322" customWidth="1"/>
    <col min="5638" max="5638" width="14.21875" style="322" customWidth="1"/>
    <col min="5639" max="5639" width="15.21875" style="322" customWidth="1"/>
    <col min="5640" max="5640" width="13.33203125" style="322" customWidth="1"/>
    <col min="5641" max="5641" width="17.33203125" style="322" customWidth="1"/>
    <col min="5642" max="5642" width="15.21875" style="322" customWidth="1"/>
    <col min="5643" max="5643" width="19.6640625" style="322" customWidth="1"/>
    <col min="5644" max="5646" width="16" style="322" customWidth="1"/>
    <col min="5647" max="5647" width="14.77734375" style="322" customWidth="1"/>
    <col min="5648" max="5648" width="17.33203125" style="322" customWidth="1"/>
    <col min="5649" max="5649" width="14.77734375" style="322" customWidth="1"/>
    <col min="5650" max="5658" width="9" style="322" customWidth="1"/>
    <col min="5659" max="5659" width="7.21875" style="322" bestFit="1" customWidth="1"/>
    <col min="5660" max="5661" width="9" style="322" customWidth="1"/>
    <col min="5662" max="5666" width="10.33203125" style="322" customWidth="1"/>
    <col min="5667" max="5888" width="9" style="322" customWidth="1"/>
    <col min="5889" max="5889" width="60.33203125" style="322" customWidth="1"/>
    <col min="5890" max="5890" width="2.77734375" style="322" customWidth="1"/>
    <col min="5891" max="5891" width="14.77734375" style="322" customWidth="1"/>
    <col min="5892" max="5892" width="13.77734375" style="322" bestFit="1" customWidth="1"/>
    <col min="5893" max="5893" width="15.33203125" style="322" customWidth="1"/>
    <col min="5894" max="5894" width="14.21875" style="322" customWidth="1"/>
    <col min="5895" max="5895" width="15.21875" style="322" customWidth="1"/>
    <col min="5896" max="5896" width="13.33203125" style="322" customWidth="1"/>
    <col min="5897" max="5897" width="17.33203125" style="322" customWidth="1"/>
    <col min="5898" max="5898" width="15.21875" style="322" customWidth="1"/>
    <col min="5899" max="5899" width="19.6640625" style="322" customWidth="1"/>
    <col min="5900" max="5902" width="16" style="322" customWidth="1"/>
    <col min="5903" max="5903" width="14.77734375" style="322" customWidth="1"/>
    <col min="5904" max="5904" width="17.33203125" style="322" customWidth="1"/>
    <col min="5905" max="5905" width="14.77734375" style="322" customWidth="1"/>
    <col min="5906" max="5914" width="9" style="322" customWidth="1"/>
    <col min="5915" max="5915" width="7.21875" style="322" bestFit="1" customWidth="1"/>
    <col min="5916" max="5917" width="9" style="322" customWidth="1"/>
    <col min="5918" max="5922" width="10.33203125" style="322" customWidth="1"/>
    <col min="5923" max="6144" width="9" style="322" customWidth="1"/>
    <col min="6145" max="6145" width="60.33203125" style="322" customWidth="1"/>
    <col min="6146" max="6146" width="2.77734375" style="322" customWidth="1"/>
    <col min="6147" max="6147" width="14.77734375" style="322" customWidth="1"/>
    <col min="6148" max="6148" width="13.77734375" style="322" bestFit="1" customWidth="1"/>
    <col min="6149" max="6149" width="15.33203125" style="322" customWidth="1"/>
    <col min="6150" max="6150" width="14.21875" style="322" customWidth="1"/>
    <col min="6151" max="6151" width="15.21875" style="322" customWidth="1"/>
    <col min="6152" max="6152" width="13.33203125" style="322" customWidth="1"/>
    <col min="6153" max="6153" width="17.33203125" style="322" customWidth="1"/>
    <col min="6154" max="6154" width="15.21875" style="322" customWidth="1"/>
    <col min="6155" max="6155" width="19.6640625" style="322" customWidth="1"/>
    <col min="6156" max="6158" width="16" style="322" customWidth="1"/>
    <col min="6159" max="6159" width="14.77734375" style="322" customWidth="1"/>
    <col min="6160" max="6160" width="17.33203125" style="322" customWidth="1"/>
    <col min="6161" max="6161" width="14.77734375" style="322" customWidth="1"/>
    <col min="6162" max="6170" width="9" style="322" customWidth="1"/>
    <col min="6171" max="6171" width="7.21875" style="322" bestFit="1" customWidth="1"/>
    <col min="6172" max="6173" width="9" style="322" customWidth="1"/>
    <col min="6174" max="6178" width="10.33203125" style="322" customWidth="1"/>
    <col min="6179" max="6400" width="9" style="322" customWidth="1"/>
    <col min="6401" max="6401" width="60.33203125" style="322" customWidth="1"/>
    <col min="6402" max="6402" width="2.77734375" style="322" customWidth="1"/>
    <col min="6403" max="6403" width="14.77734375" style="322" customWidth="1"/>
    <col min="6404" max="6404" width="13.77734375" style="322" bestFit="1" customWidth="1"/>
    <col min="6405" max="6405" width="15.33203125" style="322" customWidth="1"/>
    <col min="6406" max="6406" width="14.21875" style="322" customWidth="1"/>
    <col min="6407" max="6407" width="15.21875" style="322" customWidth="1"/>
    <col min="6408" max="6408" width="13.33203125" style="322" customWidth="1"/>
    <col min="6409" max="6409" width="17.33203125" style="322" customWidth="1"/>
    <col min="6410" max="6410" width="15.21875" style="322" customWidth="1"/>
    <col min="6411" max="6411" width="19.6640625" style="322" customWidth="1"/>
    <col min="6412" max="6414" width="16" style="322" customWidth="1"/>
    <col min="6415" max="6415" width="14.77734375" style="322" customWidth="1"/>
    <col min="6416" max="6416" width="17.33203125" style="322" customWidth="1"/>
    <col min="6417" max="6417" width="14.77734375" style="322" customWidth="1"/>
    <col min="6418" max="6426" width="9" style="322" customWidth="1"/>
    <col min="6427" max="6427" width="7.21875" style="322" bestFit="1" customWidth="1"/>
    <col min="6428" max="6429" width="9" style="322" customWidth="1"/>
    <col min="6430" max="6434" width="10.33203125" style="322" customWidth="1"/>
    <col min="6435" max="6656" width="9" style="322" customWidth="1"/>
    <col min="6657" max="6657" width="60.33203125" style="322" customWidth="1"/>
    <col min="6658" max="6658" width="2.77734375" style="322" customWidth="1"/>
    <col min="6659" max="6659" width="14.77734375" style="322" customWidth="1"/>
    <col min="6660" max="6660" width="13.77734375" style="322" bestFit="1" customWidth="1"/>
    <col min="6661" max="6661" width="15.33203125" style="322" customWidth="1"/>
    <col min="6662" max="6662" width="14.21875" style="322" customWidth="1"/>
    <col min="6663" max="6663" width="15.21875" style="322" customWidth="1"/>
    <col min="6664" max="6664" width="13.33203125" style="322" customWidth="1"/>
    <col min="6665" max="6665" width="17.33203125" style="322" customWidth="1"/>
    <col min="6666" max="6666" width="15.21875" style="322" customWidth="1"/>
    <col min="6667" max="6667" width="19.6640625" style="322" customWidth="1"/>
    <col min="6668" max="6670" width="16" style="322" customWidth="1"/>
    <col min="6671" max="6671" width="14.77734375" style="322" customWidth="1"/>
    <col min="6672" max="6672" width="17.33203125" style="322" customWidth="1"/>
    <col min="6673" max="6673" width="14.77734375" style="322" customWidth="1"/>
    <col min="6674" max="6682" width="9" style="322" customWidth="1"/>
    <col min="6683" max="6683" width="7.21875" style="322" bestFit="1" customWidth="1"/>
    <col min="6684" max="6685" width="9" style="322" customWidth="1"/>
    <col min="6686" max="6690" width="10.33203125" style="322" customWidth="1"/>
    <col min="6691" max="6912" width="9" style="322" customWidth="1"/>
    <col min="6913" max="6913" width="60.33203125" style="322" customWidth="1"/>
    <col min="6914" max="6914" width="2.77734375" style="322" customWidth="1"/>
    <col min="6915" max="6915" width="14.77734375" style="322" customWidth="1"/>
    <col min="6916" max="6916" width="13.77734375" style="322" bestFit="1" customWidth="1"/>
    <col min="6917" max="6917" width="15.33203125" style="322" customWidth="1"/>
    <col min="6918" max="6918" width="14.21875" style="322" customWidth="1"/>
    <col min="6919" max="6919" width="15.21875" style="322" customWidth="1"/>
    <col min="6920" max="6920" width="13.33203125" style="322" customWidth="1"/>
    <col min="6921" max="6921" width="17.33203125" style="322" customWidth="1"/>
    <col min="6922" max="6922" width="15.21875" style="322" customWidth="1"/>
    <col min="6923" max="6923" width="19.6640625" style="322" customWidth="1"/>
    <col min="6924" max="6926" width="16" style="322" customWidth="1"/>
    <col min="6927" max="6927" width="14.77734375" style="322" customWidth="1"/>
    <col min="6928" max="6928" width="17.33203125" style="322" customWidth="1"/>
    <col min="6929" max="6929" width="14.77734375" style="322" customWidth="1"/>
    <col min="6930" max="6938" width="9" style="322" customWidth="1"/>
    <col min="6939" max="6939" width="7.21875" style="322" bestFit="1" customWidth="1"/>
    <col min="6940" max="6941" width="9" style="322" customWidth="1"/>
    <col min="6942" max="6946" width="10.33203125" style="322" customWidth="1"/>
    <col min="6947" max="7168" width="9" style="322" customWidth="1"/>
    <col min="7169" max="7169" width="60.33203125" style="322" customWidth="1"/>
    <col min="7170" max="7170" width="2.77734375" style="322" customWidth="1"/>
    <col min="7171" max="7171" width="14.77734375" style="322" customWidth="1"/>
    <col min="7172" max="7172" width="13.77734375" style="322" bestFit="1" customWidth="1"/>
    <col min="7173" max="7173" width="15.33203125" style="322" customWidth="1"/>
    <col min="7174" max="7174" width="14.21875" style="322" customWidth="1"/>
    <col min="7175" max="7175" width="15.21875" style="322" customWidth="1"/>
    <col min="7176" max="7176" width="13.33203125" style="322" customWidth="1"/>
    <col min="7177" max="7177" width="17.33203125" style="322" customWidth="1"/>
    <col min="7178" max="7178" width="15.21875" style="322" customWidth="1"/>
    <col min="7179" max="7179" width="19.6640625" style="322" customWidth="1"/>
    <col min="7180" max="7182" width="16" style="322" customWidth="1"/>
    <col min="7183" max="7183" width="14.77734375" style="322" customWidth="1"/>
    <col min="7184" max="7184" width="17.33203125" style="322" customWidth="1"/>
    <col min="7185" max="7185" width="14.77734375" style="322" customWidth="1"/>
    <col min="7186" max="7194" width="9" style="322" customWidth="1"/>
    <col min="7195" max="7195" width="7.21875" style="322" bestFit="1" customWidth="1"/>
    <col min="7196" max="7197" width="9" style="322" customWidth="1"/>
    <col min="7198" max="7202" width="10.33203125" style="322" customWidth="1"/>
    <col min="7203" max="7424" width="9" style="322" customWidth="1"/>
    <col min="7425" max="7425" width="60.33203125" style="322" customWidth="1"/>
    <col min="7426" max="7426" width="2.77734375" style="322" customWidth="1"/>
    <col min="7427" max="7427" width="14.77734375" style="322" customWidth="1"/>
    <col min="7428" max="7428" width="13.77734375" style="322" bestFit="1" customWidth="1"/>
    <col min="7429" max="7429" width="15.33203125" style="322" customWidth="1"/>
    <col min="7430" max="7430" width="14.21875" style="322" customWidth="1"/>
    <col min="7431" max="7431" width="15.21875" style="322" customWidth="1"/>
    <col min="7432" max="7432" width="13.33203125" style="322" customWidth="1"/>
    <col min="7433" max="7433" width="17.33203125" style="322" customWidth="1"/>
    <col min="7434" max="7434" width="15.21875" style="322" customWidth="1"/>
    <col min="7435" max="7435" width="19.6640625" style="322" customWidth="1"/>
    <col min="7436" max="7438" width="16" style="322" customWidth="1"/>
    <col min="7439" max="7439" width="14.77734375" style="322" customWidth="1"/>
    <col min="7440" max="7440" width="17.33203125" style="322" customWidth="1"/>
    <col min="7441" max="7441" width="14.77734375" style="322" customWidth="1"/>
    <col min="7442" max="7450" width="9" style="322" customWidth="1"/>
    <col min="7451" max="7451" width="7.21875" style="322" bestFit="1" customWidth="1"/>
    <col min="7452" max="7453" width="9" style="322" customWidth="1"/>
    <col min="7454" max="7458" width="10.33203125" style="322" customWidth="1"/>
    <col min="7459" max="7680" width="9" style="322" customWidth="1"/>
    <col min="7681" max="7681" width="60.33203125" style="322" customWidth="1"/>
    <col min="7682" max="7682" width="2.77734375" style="322" customWidth="1"/>
    <col min="7683" max="7683" width="14.77734375" style="322" customWidth="1"/>
    <col min="7684" max="7684" width="13.77734375" style="322" bestFit="1" customWidth="1"/>
    <col min="7685" max="7685" width="15.33203125" style="322" customWidth="1"/>
    <col min="7686" max="7686" width="14.21875" style="322" customWidth="1"/>
    <col min="7687" max="7687" width="15.21875" style="322" customWidth="1"/>
    <col min="7688" max="7688" width="13.33203125" style="322" customWidth="1"/>
    <col min="7689" max="7689" width="17.33203125" style="322" customWidth="1"/>
    <col min="7690" max="7690" width="15.21875" style="322" customWidth="1"/>
    <col min="7691" max="7691" width="19.6640625" style="322" customWidth="1"/>
    <col min="7692" max="7694" width="16" style="322" customWidth="1"/>
    <col min="7695" max="7695" width="14.77734375" style="322" customWidth="1"/>
    <col min="7696" max="7696" width="17.33203125" style="322" customWidth="1"/>
    <col min="7697" max="7697" width="14.77734375" style="322" customWidth="1"/>
    <col min="7698" max="7706" width="9" style="322" customWidth="1"/>
    <col min="7707" max="7707" width="7.21875" style="322" bestFit="1" customWidth="1"/>
    <col min="7708" max="7709" width="9" style="322" customWidth="1"/>
    <col min="7710" max="7714" width="10.33203125" style="322" customWidth="1"/>
    <col min="7715" max="7936" width="9" style="322" customWidth="1"/>
    <col min="7937" max="7937" width="60.33203125" style="322" customWidth="1"/>
    <col min="7938" max="7938" width="2.77734375" style="322" customWidth="1"/>
    <col min="7939" max="7939" width="14.77734375" style="322" customWidth="1"/>
    <col min="7940" max="7940" width="13.77734375" style="322" bestFit="1" customWidth="1"/>
    <col min="7941" max="7941" width="15.33203125" style="322" customWidth="1"/>
    <col min="7942" max="7942" width="14.21875" style="322" customWidth="1"/>
    <col min="7943" max="7943" width="15.21875" style="322" customWidth="1"/>
    <col min="7944" max="7944" width="13.33203125" style="322" customWidth="1"/>
    <col min="7945" max="7945" width="17.33203125" style="322" customWidth="1"/>
    <col min="7946" max="7946" width="15.21875" style="322" customWidth="1"/>
    <col min="7947" max="7947" width="19.6640625" style="322" customWidth="1"/>
    <col min="7948" max="7950" width="16" style="322" customWidth="1"/>
    <col min="7951" max="7951" width="14.77734375" style="322" customWidth="1"/>
    <col min="7952" max="7952" width="17.33203125" style="322" customWidth="1"/>
    <col min="7953" max="7953" width="14.77734375" style="322" customWidth="1"/>
    <col min="7954" max="7962" width="9" style="322" customWidth="1"/>
    <col min="7963" max="7963" width="7.21875" style="322" bestFit="1" customWidth="1"/>
    <col min="7964" max="7965" width="9" style="322" customWidth="1"/>
    <col min="7966" max="7970" width="10.33203125" style="322" customWidth="1"/>
    <col min="7971" max="8192" width="9" style="322" customWidth="1"/>
    <col min="8193" max="8193" width="60.33203125" style="322" customWidth="1"/>
    <col min="8194" max="8194" width="2.77734375" style="322" customWidth="1"/>
    <col min="8195" max="8195" width="14.77734375" style="322" customWidth="1"/>
    <col min="8196" max="8196" width="13.77734375" style="322" bestFit="1" customWidth="1"/>
    <col min="8197" max="8197" width="15.33203125" style="322" customWidth="1"/>
    <col min="8198" max="8198" width="14.21875" style="322" customWidth="1"/>
    <col min="8199" max="8199" width="15.21875" style="322" customWidth="1"/>
    <col min="8200" max="8200" width="13.33203125" style="322" customWidth="1"/>
    <col min="8201" max="8201" width="17.33203125" style="322" customWidth="1"/>
    <col min="8202" max="8202" width="15.21875" style="322" customWidth="1"/>
    <col min="8203" max="8203" width="19.6640625" style="322" customWidth="1"/>
    <col min="8204" max="8206" width="16" style="322" customWidth="1"/>
    <col min="8207" max="8207" width="14.77734375" style="322" customWidth="1"/>
    <col min="8208" max="8208" width="17.33203125" style="322" customWidth="1"/>
    <col min="8209" max="8209" width="14.77734375" style="322" customWidth="1"/>
    <col min="8210" max="8218" width="9" style="322" customWidth="1"/>
    <col min="8219" max="8219" width="7.21875" style="322" bestFit="1" customWidth="1"/>
    <col min="8220" max="8221" width="9" style="322" customWidth="1"/>
    <col min="8222" max="8226" width="10.33203125" style="322" customWidth="1"/>
    <col min="8227" max="8448" width="9" style="322" customWidth="1"/>
    <col min="8449" max="8449" width="60.33203125" style="322" customWidth="1"/>
    <col min="8450" max="8450" width="2.77734375" style="322" customWidth="1"/>
    <col min="8451" max="8451" width="14.77734375" style="322" customWidth="1"/>
    <col min="8452" max="8452" width="13.77734375" style="322" bestFit="1" customWidth="1"/>
    <col min="8453" max="8453" width="15.33203125" style="322" customWidth="1"/>
    <col min="8454" max="8454" width="14.21875" style="322" customWidth="1"/>
    <col min="8455" max="8455" width="15.21875" style="322" customWidth="1"/>
    <col min="8456" max="8456" width="13.33203125" style="322" customWidth="1"/>
    <col min="8457" max="8457" width="17.33203125" style="322" customWidth="1"/>
    <col min="8458" max="8458" width="15.21875" style="322" customWidth="1"/>
    <col min="8459" max="8459" width="19.6640625" style="322" customWidth="1"/>
    <col min="8460" max="8462" width="16" style="322" customWidth="1"/>
    <col min="8463" max="8463" width="14.77734375" style="322" customWidth="1"/>
    <col min="8464" max="8464" width="17.33203125" style="322" customWidth="1"/>
    <col min="8465" max="8465" width="14.77734375" style="322" customWidth="1"/>
    <col min="8466" max="8474" width="9" style="322" customWidth="1"/>
    <col min="8475" max="8475" width="7.21875" style="322" bestFit="1" customWidth="1"/>
    <col min="8476" max="8477" width="9" style="322" customWidth="1"/>
    <col min="8478" max="8482" width="10.33203125" style="322" customWidth="1"/>
    <col min="8483" max="8704" width="9" style="322" customWidth="1"/>
    <col min="8705" max="8705" width="60.33203125" style="322" customWidth="1"/>
    <col min="8706" max="8706" width="2.77734375" style="322" customWidth="1"/>
    <col min="8707" max="8707" width="14.77734375" style="322" customWidth="1"/>
    <col min="8708" max="8708" width="13.77734375" style="322" bestFit="1" customWidth="1"/>
    <col min="8709" max="8709" width="15.33203125" style="322" customWidth="1"/>
    <col min="8710" max="8710" width="14.21875" style="322" customWidth="1"/>
    <col min="8711" max="8711" width="15.21875" style="322" customWidth="1"/>
    <col min="8712" max="8712" width="13.33203125" style="322" customWidth="1"/>
    <col min="8713" max="8713" width="17.33203125" style="322" customWidth="1"/>
    <col min="8714" max="8714" width="15.21875" style="322" customWidth="1"/>
    <col min="8715" max="8715" width="19.6640625" style="322" customWidth="1"/>
    <col min="8716" max="8718" width="16" style="322" customWidth="1"/>
    <col min="8719" max="8719" width="14.77734375" style="322" customWidth="1"/>
    <col min="8720" max="8720" width="17.33203125" style="322" customWidth="1"/>
    <col min="8721" max="8721" width="14.77734375" style="322" customWidth="1"/>
    <col min="8722" max="8730" width="9" style="322" customWidth="1"/>
    <col min="8731" max="8731" width="7.21875" style="322" bestFit="1" customWidth="1"/>
    <col min="8732" max="8733" width="9" style="322" customWidth="1"/>
    <col min="8734" max="8738" width="10.33203125" style="322" customWidth="1"/>
    <col min="8739" max="8960" width="9" style="322" customWidth="1"/>
    <col min="8961" max="8961" width="60.33203125" style="322" customWidth="1"/>
    <col min="8962" max="8962" width="2.77734375" style="322" customWidth="1"/>
    <col min="8963" max="8963" width="14.77734375" style="322" customWidth="1"/>
    <col min="8964" max="8964" width="13.77734375" style="322" bestFit="1" customWidth="1"/>
    <col min="8965" max="8965" width="15.33203125" style="322" customWidth="1"/>
    <col min="8966" max="8966" width="14.21875" style="322" customWidth="1"/>
    <col min="8967" max="8967" width="15.21875" style="322" customWidth="1"/>
    <col min="8968" max="8968" width="13.33203125" style="322" customWidth="1"/>
    <col min="8969" max="8969" width="17.33203125" style="322" customWidth="1"/>
    <col min="8970" max="8970" width="15.21875" style="322" customWidth="1"/>
    <col min="8971" max="8971" width="19.6640625" style="322" customWidth="1"/>
    <col min="8972" max="8974" width="16" style="322" customWidth="1"/>
    <col min="8975" max="8975" width="14.77734375" style="322" customWidth="1"/>
    <col min="8976" max="8976" width="17.33203125" style="322" customWidth="1"/>
    <col min="8977" max="8977" width="14.77734375" style="322" customWidth="1"/>
    <col min="8978" max="8986" width="9" style="322" customWidth="1"/>
    <col min="8987" max="8987" width="7.21875" style="322" bestFit="1" customWidth="1"/>
    <col min="8988" max="8989" width="9" style="322" customWidth="1"/>
    <col min="8990" max="8994" width="10.33203125" style="322" customWidth="1"/>
    <col min="8995" max="9216" width="9" style="322" customWidth="1"/>
    <col min="9217" max="9217" width="60.33203125" style="322" customWidth="1"/>
    <col min="9218" max="9218" width="2.77734375" style="322" customWidth="1"/>
    <col min="9219" max="9219" width="14.77734375" style="322" customWidth="1"/>
    <col min="9220" max="9220" width="13.77734375" style="322" bestFit="1" customWidth="1"/>
    <col min="9221" max="9221" width="15.33203125" style="322" customWidth="1"/>
    <col min="9222" max="9222" width="14.21875" style="322" customWidth="1"/>
    <col min="9223" max="9223" width="15.21875" style="322" customWidth="1"/>
    <col min="9224" max="9224" width="13.33203125" style="322" customWidth="1"/>
    <col min="9225" max="9225" width="17.33203125" style="322" customWidth="1"/>
    <col min="9226" max="9226" width="15.21875" style="322" customWidth="1"/>
    <col min="9227" max="9227" width="19.6640625" style="322" customWidth="1"/>
    <col min="9228" max="9230" width="16" style="322" customWidth="1"/>
    <col min="9231" max="9231" width="14.77734375" style="322" customWidth="1"/>
    <col min="9232" max="9232" width="17.33203125" style="322" customWidth="1"/>
    <col min="9233" max="9233" width="14.77734375" style="322" customWidth="1"/>
    <col min="9234" max="9242" width="9" style="322" customWidth="1"/>
    <col min="9243" max="9243" width="7.21875" style="322" bestFit="1" customWidth="1"/>
    <col min="9244" max="9245" width="9" style="322" customWidth="1"/>
    <col min="9246" max="9250" width="10.33203125" style="322" customWidth="1"/>
    <col min="9251" max="9472" width="9" style="322" customWidth="1"/>
    <col min="9473" max="9473" width="60.33203125" style="322" customWidth="1"/>
    <col min="9474" max="9474" width="2.77734375" style="322" customWidth="1"/>
    <col min="9475" max="9475" width="14.77734375" style="322" customWidth="1"/>
    <col min="9476" max="9476" width="13.77734375" style="322" bestFit="1" customWidth="1"/>
    <col min="9477" max="9477" width="15.33203125" style="322" customWidth="1"/>
    <col min="9478" max="9478" width="14.21875" style="322" customWidth="1"/>
    <col min="9479" max="9479" width="15.21875" style="322" customWidth="1"/>
    <col min="9480" max="9480" width="13.33203125" style="322" customWidth="1"/>
    <col min="9481" max="9481" width="17.33203125" style="322" customWidth="1"/>
    <col min="9482" max="9482" width="15.21875" style="322" customWidth="1"/>
    <col min="9483" max="9483" width="19.6640625" style="322" customWidth="1"/>
    <col min="9484" max="9486" width="16" style="322" customWidth="1"/>
    <col min="9487" max="9487" width="14.77734375" style="322" customWidth="1"/>
    <col min="9488" max="9488" width="17.33203125" style="322" customWidth="1"/>
    <col min="9489" max="9489" width="14.77734375" style="322" customWidth="1"/>
    <col min="9490" max="9498" width="9" style="322" customWidth="1"/>
    <col min="9499" max="9499" width="7.21875" style="322" bestFit="1" customWidth="1"/>
    <col min="9500" max="9501" width="9" style="322" customWidth="1"/>
    <col min="9502" max="9506" width="10.33203125" style="322" customWidth="1"/>
    <col min="9507" max="9728" width="9" style="322" customWidth="1"/>
    <col min="9729" max="9729" width="60.33203125" style="322" customWidth="1"/>
    <col min="9730" max="9730" width="2.77734375" style="322" customWidth="1"/>
    <col min="9731" max="9731" width="14.77734375" style="322" customWidth="1"/>
    <col min="9732" max="9732" width="13.77734375" style="322" bestFit="1" customWidth="1"/>
    <col min="9733" max="9733" width="15.33203125" style="322" customWidth="1"/>
    <col min="9734" max="9734" width="14.21875" style="322" customWidth="1"/>
    <col min="9735" max="9735" width="15.21875" style="322" customWidth="1"/>
    <col min="9736" max="9736" width="13.33203125" style="322" customWidth="1"/>
    <col min="9737" max="9737" width="17.33203125" style="322" customWidth="1"/>
    <col min="9738" max="9738" width="15.21875" style="322" customWidth="1"/>
    <col min="9739" max="9739" width="19.6640625" style="322" customWidth="1"/>
    <col min="9740" max="9742" width="16" style="322" customWidth="1"/>
    <col min="9743" max="9743" width="14.77734375" style="322" customWidth="1"/>
    <col min="9744" max="9744" width="17.33203125" style="322" customWidth="1"/>
    <col min="9745" max="9745" width="14.77734375" style="322" customWidth="1"/>
    <col min="9746" max="9754" width="9" style="322" customWidth="1"/>
    <col min="9755" max="9755" width="7.21875" style="322" bestFit="1" customWidth="1"/>
    <col min="9756" max="9757" width="9" style="322" customWidth="1"/>
    <col min="9758" max="9762" width="10.33203125" style="322" customWidth="1"/>
    <col min="9763" max="9984" width="9" style="322" customWidth="1"/>
    <col min="9985" max="9985" width="60.33203125" style="322" customWidth="1"/>
    <col min="9986" max="9986" width="2.77734375" style="322" customWidth="1"/>
    <col min="9987" max="9987" width="14.77734375" style="322" customWidth="1"/>
    <col min="9988" max="9988" width="13.77734375" style="322" bestFit="1" customWidth="1"/>
    <col min="9989" max="9989" width="15.33203125" style="322" customWidth="1"/>
    <col min="9990" max="9990" width="14.21875" style="322" customWidth="1"/>
    <col min="9991" max="9991" width="15.21875" style="322" customWidth="1"/>
    <col min="9992" max="9992" width="13.33203125" style="322" customWidth="1"/>
    <col min="9993" max="9993" width="17.33203125" style="322" customWidth="1"/>
    <col min="9994" max="9994" width="15.21875" style="322" customWidth="1"/>
    <col min="9995" max="9995" width="19.6640625" style="322" customWidth="1"/>
    <col min="9996" max="9998" width="16" style="322" customWidth="1"/>
    <col min="9999" max="9999" width="14.77734375" style="322" customWidth="1"/>
    <col min="10000" max="10000" width="17.33203125" style="322" customWidth="1"/>
    <col min="10001" max="10001" width="14.77734375" style="322" customWidth="1"/>
    <col min="10002" max="10010" width="9" style="322" customWidth="1"/>
    <col min="10011" max="10011" width="7.21875" style="322" bestFit="1" customWidth="1"/>
    <col min="10012" max="10013" width="9" style="322" customWidth="1"/>
    <col min="10014" max="10018" width="10.33203125" style="322" customWidth="1"/>
    <col min="10019" max="10240" width="9" style="322" customWidth="1"/>
    <col min="10241" max="10241" width="60.33203125" style="322" customWidth="1"/>
    <col min="10242" max="10242" width="2.77734375" style="322" customWidth="1"/>
    <col min="10243" max="10243" width="14.77734375" style="322" customWidth="1"/>
    <col min="10244" max="10244" width="13.77734375" style="322" bestFit="1" customWidth="1"/>
    <col min="10245" max="10245" width="15.33203125" style="322" customWidth="1"/>
    <col min="10246" max="10246" width="14.21875" style="322" customWidth="1"/>
    <col min="10247" max="10247" width="15.21875" style="322" customWidth="1"/>
    <col min="10248" max="10248" width="13.33203125" style="322" customWidth="1"/>
    <col min="10249" max="10249" width="17.33203125" style="322" customWidth="1"/>
    <col min="10250" max="10250" width="15.21875" style="322" customWidth="1"/>
    <col min="10251" max="10251" width="19.6640625" style="322" customWidth="1"/>
    <col min="10252" max="10254" width="16" style="322" customWidth="1"/>
    <col min="10255" max="10255" width="14.77734375" style="322" customWidth="1"/>
    <col min="10256" max="10256" width="17.33203125" style="322" customWidth="1"/>
    <col min="10257" max="10257" width="14.77734375" style="322" customWidth="1"/>
    <col min="10258" max="10266" width="9" style="322" customWidth="1"/>
    <col min="10267" max="10267" width="7.21875" style="322" bestFit="1" customWidth="1"/>
    <col min="10268" max="10269" width="9" style="322" customWidth="1"/>
    <col min="10270" max="10274" width="10.33203125" style="322" customWidth="1"/>
    <col min="10275" max="10496" width="9" style="322" customWidth="1"/>
    <col min="10497" max="10497" width="60.33203125" style="322" customWidth="1"/>
    <col min="10498" max="10498" width="2.77734375" style="322" customWidth="1"/>
    <col min="10499" max="10499" width="14.77734375" style="322" customWidth="1"/>
    <col min="10500" max="10500" width="13.77734375" style="322" bestFit="1" customWidth="1"/>
    <col min="10501" max="10501" width="15.33203125" style="322" customWidth="1"/>
    <col min="10502" max="10502" width="14.21875" style="322" customWidth="1"/>
    <col min="10503" max="10503" width="15.21875" style="322" customWidth="1"/>
    <col min="10504" max="10504" width="13.33203125" style="322" customWidth="1"/>
    <col min="10505" max="10505" width="17.33203125" style="322" customWidth="1"/>
    <col min="10506" max="10506" width="15.21875" style="322" customWidth="1"/>
    <col min="10507" max="10507" width="19.6640625" style="322" customWidth="1"/>
    <col min="10508" max="10510" width="16" style="322" customWidth="1"/>
    <col min="10511" max="10511" width="14.77734375" style="322" customWidth="1"/>
    <col min="10512" max="10512" width="17.33203125" style="322" customWidth="1"/>
    <col min="10513" max="10513" width="14.77734375" style="322" customWidth="1"/>
    <col min="10514" max="10522" width="9" style="322" customWidth="1"/>
    <col min="10523" max="10523" width="7.21875" style="322" bestFit="1" customWidth="1"/>
    <col min="10524" max="10525" width="9" style="322" customWidth="1"/>
    <col min="10526" max="10530" width="10.33203125" style="322" customWidth="1"/>
    <col min="10531" max="10752" width="9" style="322" customWidth="1"/>
    <col min="10753" max="10753" width="60.33203125" style="322" customWidth="1"/>
    <col min="10754" max="10754" width="2.77734375" style="322" customWidth="1"/>
    <col min="10755" max="10755" width="14.77734375" style="322" customWidth="1"/>
    <col min="10756" max="10756" width="13.77734375" style="322" bestFit="1" customWidth="1"/>
    <col min="10757" max="10757" width="15.33203125" style="322" customWidth="1"/>
    <col min="10758" max="10758" width="14.21875" style="322" customWidth="1"/>
    <col min="10759" max="10759" width="15.21875" style="322" customWidth="1"/>
    <col min="10760" max="10760" width="13.33203125" style="322" customWidth="1"/>
    <col min="10761" max="10761" width="17.33203125" style="322" customWidth="1"/>
    <col min="10762" max="10762" width="15.21875" style="322" customWidth="1"/>
    <col min="10763" max="10763" width="19.6640625" style="322" customWidth="1"/>
    <col min="10764" max="10766" width="16" style="322" customWidth="1"/>
    <col min="10767" max="10767" width="14.77734375" style="322" customWidth="1"/>
    <col min="10768" max="10768" width="17.33203125" style="322" customWidth="1"/>
    <col min="10769" max="10769" width="14.77734375" style="322" customWidth="1"/>
    <col min="10770" max="10778" width="9" style="322" customWidth="1"/>
    <col min="10779" max="10779" width="7.21875" style="322" bestFit="1" customWidth="1"/>
    <col min="10780" max="10781" width="9" style="322" customWidth="1"/>
    <col min="10782" max="10786" width="10.33203125" style="322" customWidth="1"/>
    <col min="10787" max="11008" width="9" style="322" customWidth="1"/>
    <col min="11009" max="11009" width="60.33203125" style="322" customWidth="1"/>
    <col min="11010" max="11010" width="2.77734375" style="322" customWidth="1"/>
    <col min="11011" max="11011" width="14.77734375" style="322" customWidth="1"/>
    <col min="11012" max="11012" width="13.77734375" style="322" bestFit="1" customWidth="1"/>
    <col min="11013" max="11013" width="15.33203125" style="322" customWidth="1"/>
    <col min="11014" max="11014" width="14.21875" style="322" customWidth="1"/>
    <col min="11015" max="11015" width="15.21875" style="322" customWidth="1"/>
    <col min="11016" max="11016" width="13.33203125" style="322" customWidth="1"/>
    <col min="11017" max="11017" width="17.33203125" style="322" customWidth="1"/>
    <col min="11018" max="11018" width="15.21875" style="322" customWidth="1"/>
    <col min="11019" max="11019" width="19.6640625" style="322" customWidth="1"/>
    <col min="11020" max="11022" width="16" style="322" customWidth="1"/>
    <col min="11023" max="11023" width="14.77734375" style="322" customWidth="1"/>
    <col min="11024" max="11024" width="17.33203125" style="322" customWidth="1"/>
    <col min="11025" max="11025" width="14.77734375" style="322" customWidth="1"/>
    <col min="11026" max="11034" width="9" style="322" customWidth="1"/>
    <col min="11035" max="11035" width="7.21875" style="322" bestFit="1" customWidth="1"/>
    <col min="11036" max="11037" width="9" style="322" customWidth="1"/>
    <col min="11038" max="11042" width="10.33203125" style="322" customWidth="1"/>
    <col min="11043" max="11264" width="9" style="322" customWidth="1"/>
    <col min="11265" max="11265" width="60.33203125" style="322" customWidth="1"/>
    <col min="11266" max="11266" width="2.77734375" style="322" customWidth="1"/>
    <col min="11267" max="11267" width="14.77734375" style="322" customWidth="1"/>
    <col min="11268" max="11268" width="13.77734375" style="322" bestFit="1" customWidth="1"/>
    <col min="11269" max="11269" width="15.33203125" style="322" customWidth="1"/>
    <col min="11270" max="11270" width="14.21875" style="322" customWidth="1"/>
    <col min="11271" max="11271" width="15.21875" style="322" customWidth="1"/>
    <col min="11272" max="11272" width="13.33203125" style="322" customWidth="1"/>
    <col min="11273" max="11273" width="17.33203125" style="322" customWidth="1"/>
    <col min="11274" max="11274" width="15.21875" style="322" customWidth="1"/>
    <col min="11275" max="11275" width="19.6640625" style="322" customWidth="1"/>
    <col min="11276" max="11278" width="16" style="322" customWidth="1"/>
    <col min="11279" max="11279" width="14.77734375" style="322" customWidth="1"/>
    <col min="11280" max="11280" width="17.33203125" style="322" customWidth="1"/>
    <col min="11281" max="11281" width="14.77734375" style="322" customWidth="1"/>
    <col min="11282" max="11290" width="9" style="322" customWidth="1"/>
    <col min="11291" max="11291" width="7.21875" style="322" bestFit="1" customWidth="1"/>
    <col min="11292" max="11293" width="9" style="322" customWidth="1"/>
    <col min="11294" max="11298" width="10.33203125" style="322" customWidth="1"/>
    <col min="11299" max="11520" width="9" style="322" customWidth="1"/>
    <col min="11521" max="11521" width="60.33203125" style="322" customWidth="1"/>
    <col min="11522" max="11522" width="2.77734375" style="322" customWidth="1"/>
    <col min="11523" max="11523" width="14.77734375" style="322" customWidth="1"/>
    <col min="11524" max="11524" width="13.77734375" style="322" bestFit="1" customWidth="1"/>
    <col min="11525" max="11525" width="15.33203125" style="322" customWidth="1"/>
    <col min="11526" max="11526" width="14.21875" style="322" customWidth="1"/>
    <col min="11527" max="11527" width="15.21875" style="322" customWidth="1"/>
    <col min="11528" max="11528" width="13.33203125" style="322" customWidth="1"/>
    <col min="11529" max="11529" width="17.33203125" style="322" customWidth="1"/>
    <col min="11530" max="11530" width="15.21875" style="322" customWidth="1"/>
    <col min="11531" max="11531" width="19.6640625" style="322" customWidth="1"/>
    <col min="11532" max="11534" width="16" style="322" customWidth="1"/>
    <col min="11535" max="11535" width="14.77734375" style="322" customWidth="1"/>
    <col min="11536" max="11536" width="17.33203125" style="322" customWidth="1"/>
    <col min="11537" max="11537" width="14.77734375" style="322" customWidth="1"/>
    <col min="11538" max="11546" width="9" style="322" customWidth="1"/>
    <col min="11547" max="11547" width="7.21875" style="322" bestFit="1" customWidth="1"/>
    <col min="11548" max="11549" width="9" style="322" customWidth="1"/>
    <col min="11550" max="11554" width="10.33203125" style="322" customWidth="1"/>
    <col min="11555" max="11776" width="9" style="322" customWidth="1"/>
    <col min="11777" max="11777" width="60.33203125" style="322" customWidth="1"/>
    <col min="11778" max="11778" width="2.77734375" style="322" customWidth="1"/>
    <col min="11779" max="11779" width="14.77734375" style="322" customWidth="1"/>
    <col min="11780" max="11780" width="13.77734375" style="322" bestFit="1" customWidth="1"/>
    <col min="11781" max="11781" width="15.33203125" style="322" customWidth="1"/>
    <col min="11782" max="11782" width="14.21875" style="322" customWidth="1"/>
    <col min="11783" max="11783" width="15.21875" style="322" customWidth="1"/>
    <col min="11784" max="11784" width="13.33203125" style="322" customWidth="1"/>
    <col min="11785" max="11785" width="17.33203125" style="322" customWidth="1"/>
    <col min="11786" max="11786" width="15.21875" style="322" customWidth="1"/>
    <col min="11787" max="11787" width="19.6640625" style="322" customWidth="1"/>
    <col min="11788" max="11790" width="16" style="322" customWidth="1"/>
    <col min="11791" max="11791" width="14.77734375" style="322" customWidth="1"/>
    <col min="11792" max="11792" width="17.33203125" style="322" customWidth="1"/>
    <col min="11793" max="11793" width="14.77734375" style="322" customWidth="1"/>
    <col min="11794" max="11802" width="9" style="322" customWidth="1"/>
    <col min="11803" max="11803" width="7.21875" style="322" bestFit="1" customWidth="1"/>
    <col min="11804" max="11805" width="9" style="322" customWidth="1"/>
    <col min="11806" max="11810" width="10.33203125" style="322" customWidth="1"/>
    <col min="11811" max="12032" width="9" style="322" customWidth="1"/>
    <col min="12033" max="12033" width="60.33203125" style="322" customWidth="1"/>
    <col min="12034" max="12034" width="2.77734375" style="322" customWidth="1"/>
    <col min="12035" max="12035" width="14.77734375" style="322" customWidth="1"/>
    <col min="12036" max="12036" width="13.77734375" style="322" bestFit="1" customWidth="1"/>
    <col min="12037" max="12037" width="15.33203125" style="322" customWidth="1"/>
    <col min="12038" max="12038" width="14.21875" style="322" customWidth="1"/>
    <col min="12039" max="12039" width="15.21875" style="322" customWidth="1"/>
    <col min="12040" max="12040" width="13.33203125" style="322" customWidth="1"/>
    <col min="12041" max="12041" width="17.33203125" style="322" customWidth="1"/>
    <col min="12042" max="12042" width="15.21875" style="322" customWidth="1"/>
    <col min="12043" max="12043" width="19.6640625" style="322" customWidth="1"/>
    <col min="12044" max="12046" width="16" style="322" customWidth="1"/>
    <col min="12047" max="12047" width="14.77734375" style="322" customWidth="1"/>
    <col min="12048" max="12048" width="17.33203125" style="322" customWidth="1"/>
    <col min="12049" max="12049" width="14.77734375" style="322" customWidth="1"/>
    <col min="12050" max="12058" width="9" style="322" customWidth="1"/>
    <col min="12059" max="12059" width="7.21875" style="322" bestFit="1" customWidth="1"/>
    <col min="12060" max="12061" width="9" style="322" customWidth="1"/>
    <col min="12062" max="12066" width="10.33203125" style="322" customWidth="1"/>
    <col min="12067" max="12288" width="9" style="322" customWidth="1"/>
    <col min="12289" max="12289" width="60.33203125" style="322" customWidth="1"/>
    <col min="12290" max="12290" width="2.77734375" style="322" customWidth="1"/>
    <col min="12291" max="12291" width="14.77734375" style="322" customWidth="1"/>
    <col min="12292" max="12292" width="13.77734375" style="322" bestFit="1" customWidth="1"/>
    <col min="12293" max="12293" width="15.33203125" style="322" customWidth="1"/>
    <col min="12294" max="12294" width="14.21875" style="322" customWidth="1"/>
    <col min="12295" max="12295" width="15.21875" style="322" customWidth="1"/>
    <col min="12296" max="12296" width="13.33203125" style="322" customWidth="1"/>
    <col min="12297" max="12297" width="17.33203125" style="322" customWidth="1"/>
    <col min="12298" max="12298" width="15.21875" style="322" customWidth="1"/>
    <col min="12299" max="12299" width="19.6640625" style="322" customWidth="1"/>
    <col min="12300" max="12302" width="16" style="322" customWidth="1"/>
    <col min="12303" max="12303" width="14.77734375" style="322" customWidth="1"/>
    <col min="12304" max="12304" width="17.33203125" style="322" customWidth="1"/>
    <col min="12305" max="12305" width="14.77734375" style="322" customWidth="1"/>
    <col min="12306" max="12314" width="9" style="322" customWidth="1"/>
    <col min="12315" max="12315" width="7.21875" style="322" bestFit="1" customWidth="1"/>
    <col min="12316" max="12317" width="9" style="322" customWidth="1"/>
    <col min="12318" max="12322" width="10.33203125" style="322" customWidth="1"/>
    <col min="12323" max="12544" width="9" style="322" customWidth="1"/>
    <col min="12545" max="12545" width="60.33203125" style="322" customWidth="1"/>
    <col min="12546" max="12546" width="2.77734375" style="322" customWidth="1"/>
    <col min="12547" max="12547" width="14.77734375" style="322" customWidth="1"/>
    <col min="12548" max="12548" width="13.77734375" style="322" bestFit="1" customWidth="1"/>
    <col min="12549" max="12549" width="15.33203125" style="322" customWidth="1"/>
    <col min="12550" max="12550" width="14.21875" style="322" customWidth="1"/>
    <col min="12551" max="12551" width="15.21875" style="322" customWidth="1"/>
    <col min="12552" max="12552" width="13.33203125" style="322" customWidth="1"/>
    <col min="12553" max="12553" width="17.33203125" style="322" customWidth="1"/>
    <col min="12554" max="12554" width="15.21875" style="322" customWidth="1"/>
    <col min="12555" max="12555" width="19.6640625" style="322" customWidth="1"/>
    <col min="12556" max="12558" width="16" style="322" customWidth="1"/>
    <col min="12559" max="12559" width="14.77734375" style="322" customWidth="1"/>
    <col min="12560" max="12560" width="17.33203125" style="322" customWidth="1"/>
    <col min="12561" max="12561" width="14.77734375" style="322" customWidth="1"/>
    <col min="12562" max="12570" width="9" style="322" customWidth="1"/>
    <col min="12571" max="12571" width="7.21875" style="322" bestFit="1" customWidth="1"/>
    <col min="12572" max="12573" width="9" style="322" customWidth="1"/>
    <col min="12574" max="12578" width="10.33203125" style="322" customWidth="1"/>
    <col min="12579" max="12800" width="9" style="322" customWidth="1"/>
    <col min="12801" max="12801" width="60.33203125" style="322" customWidth="1"/>
    <col min="12802" max="12802" width="2.77734375" style="322" customWidth="1"/>
    <col min="12803" max="12803" width="14.77734375" style="322" customWidth="1"/>
    <col min="12804" max="12804" width="13.77734375" style="322" bestFit="1" customWidth="1"/>
    <col min="12805" max="12805" width="15.33203125" style="322" customWidth="1"/>
    <col min="12806" max="12806" width="14.21875" style="322" customWidth="1"/>
    <col min="12807" max="12807" width="15.21875" style="322" customWidth="1"/>
    <col min="12808" max="12808" width="13.33203125" style="322" customWidth="1"/>
    <col min="12809" max="12809" width="17.33203125" style="322" customWidth="1"/>
    <col min="12810" max="12810" width="15.21875" style="322" customWidth="1"/>
    <col min="12811" max="12811" width="19.6640625" style="322" customWidth="1"/>
    <col min="12812" max="12814" width="16" style="322" customWidth="1"/>
    <col min="12815" max="12815" width="14.77734375" style="322" customWidth="1"/>
    <col min="12816" max="12816" width="17.33203125" style="322" customWidth="1"/>
    <col min="12817" max="12817" width="14.77734375" style="322" customWidth="1"/>
    <col min="12818" max="12826" width="9" style="322" customWidth="1"/>
    <col min="12827" max="12827" width="7.21875" style="322" bestFit="1" customWidth="1"/>
    <col min="12828" max="12829" width="9" style="322" customWidth="1"/>
    <col min="12830" max="12834" width="10.33203125" style="322" customWidth="1"/>
    <col min="12835" max="13056" width="9" style="322" customWidth="1"/>
    <col min="13057" max="13057" width="60.33203125" style="322" customWidth="1"/>
    <col min="13058" max="13058" width="2.77734375" style="322" customWidth="1"/>
    <col min="13059" max="13059" width="14.77734375" style="322" customWidth="1"/>
    <col min="13060" max="13060" width="13.77734375" style="322" bestFit="1" customWidth="1"/>
    <col min="13061" max="13061" width="15.33203125" style="322" customWidth="1"/>
    <col min="13062" max="13062" width="14.21875" style="322" customWidth="1"/>
    <col min="13063" max="13063" width="15.21875" style="322" customWidth="1"/>
    <col min="13064" max="13064" width="13.33203125" style="322" customWidth="1"/>
    <col min="13065" max="13065" width="17.33203125" style="322" customWidth="1"/>
    <col min="13066" max="13066" width="15.21875" style="322" customWidth="1"/>
    <col min="13067" max="13067" width="19.6640625" style="322" customWidth="1"/>
    <col min="13068" max="13070" width="16" style="322" customWidth="1"/>
    <col min="13071" max="13071" width="14.77734375" style="322" customWidth="1"/>
    <col min="13072" max="13072" width="17.33203125" style="322" customWidth="1"/>
    <col min="13073" max="13073" width="14.77734375" style="322" customWidth="1"/>
    <col min="13074" max="13082" width="9" style="322" customWidth="1"/>
    <col min="13083" max="13083" width="7.21875" style="322" bestFit="1" customWidth="1"/>
    <col min="13084" max="13085" width="9" style="322" customWidth="1"/>
    <col min="13086" max="13090" width="10.33203125" style="322" customWidth="1"/>
    <col min="13091" max="13312" width="9" style="322" customWidth="1"/>
    <col min="13313" max="13313" width="60.33203125" style="322" customWidth="1"/>
    <col min="13314" max="13314" width="2.77734375" style="322" customWidth="1"/>
    <col min="13315" max="13315" width="14.77734375" style="322" customWidth="1"/>
    <col min="13316" max="13316" width="13.77734375" style="322" bestFit="1" customWidth="1"/>
    <col min="13317" max="13317" width="15.33203125" style="322" customWidth="1"/>
    <col min="13318" max="13318" width="14.21875" style="322" customWidth="1"/>
    <col min="13319" max="13319" width="15.21875" style="322" customWidth="1"/>
    <col min="13320" max="13320" width="13.33203125" style="322" customWidth="1"/>
    <col min="13321" max="13321" width="17.33203125" style="322" customWidth="1"/>
    <col min="13322" max="13322" width="15.21875" style="322" customWidth="1"/>
    <col min="13323" max="13323" width="19.6640625" style="322" customWidth="1"/>
    <col min="13324" max="13326" width="16" style="322" customWidth="1"/>
    <col min="13327" max="13327" width="14.77734375" style="322" customWidth="1"/>
    <col min="13328" max="13328" width="17.33203125" style="322" customWidth="1"/>
    <col min="13329" max="13329" width="14.77734375" style="322" customWidth="1"/>
    <col min="13330" max="13338" width="9" style="322" customWidth="1"/>
    <col min="13339" max="13339" width="7.21875" style="322" bestFit="1" customWidth="1"/>
    <col min="13340" max="13341" width="9" style="322" customWidth="1"/>
    <col min="13342" max="13346" width="10.33203125" style="322" customWidth="1"/>
    <col min="13347" max="13568" width="9" style="322" customWidth="1"/>
    <col min="13569" max="13569" width="60.33203125" style="322" customWidth="1"/>
    <col min="13570" max="13570" width="2.77734375" style="322" customWidth="1"/>
    <col min="13571" max="13571" width="14.77734375" style="322" customWidth="1"/>
    <col min="13572" max="13572" width="13.77734375" style="322" bestFit="1" customWidth="1"/>
    <col min="13573" max="13573" width="15.33203125" style="322" customWidth="1"/>
    <col min="13574" max="13574" width="14.21875" style="322" customWidth="1"/>
    <col min="13575" max="13575" width="15.21875" style="322" customWidth="1"/>
    <col min="13576" max="13576" width="13.33203125" style="322" customWidth="1"/>
    <col min="13577" max="13577" width="17.33203125" style="322" customWidth="1"/>
    <col min="13578" max="13578" width="15.21875" style="322" customWidth="1"/>
    <col min="13579" max="13579" width="19.6640625" style="322" customWidth="1"/>
    <col min="13580" max="13582" width="16" style="322" customWidth="1"/>
    <col min="13583" max="13583" width="14.77734375" style="322" customWidth="1"/>
    <col min="13584" max="13584" width="17.33203125" style="322" customWidth="1"/>
    <col min="13585" max="13585" width="14.77734375" style="322" customWidth="1"/>
    <col min="13586" max="13594" width="9" style="322" customWidth="1"/>
    <col min="13595" max="13595" width="7.21875" style="322" bestFit="1" customWidth="1"/>
    <col min="13596" max="13597" width="9" style="322" customWidth="1"/>
    <col min="13598" max="13602" width="10.33203125" style="322" customWidth="1"/>
    <col min="13603" max="13824" width="9" style="322" customWidth="1"/>
    <col min="13825" max="13825" width="60.33203125" style="322" customWidth="1"/>
    <col min="13826" max="13826" width="2.77734375" style="322" customWidth="1"/>
    <col min="13827" max="13827" width="14.77734375" style="322" customWidth="1"/>
    <col min="13828" max="13828" width="13.77734375" style="322" bestFit="1" customWidth="1"/>
    <col min="13829" max="13829" width="15.33203125" style="322" customWidth="1"/>
    <col min="13830" max="13830" width="14.21875" style="322" customWidth="1"/>
    <col min="13831" max="13831" width="15.21875" style="322" customWidth="1"/>
    <col min="13832" max="13832" width="13.33203125" style="322" customWidth="1"/>
    <col min="13833" max="13833" width="17.33203125" style="322" customWidth="1"/>
    <col min="13834" max="13834" width="15.21875" style="322" customWidth="1"/>
    <col min="13835" max="13835" width="19.6640625" style="322" customWidth="1"/>
    <col min="13836" max="13838" width="16" style="322" customWidth="1"/>
    <col min="13839" max="13839" width="14.77734375" style="322" customWidth="1"/>
    <col min="13840" max="13840" width="17.33203125" style="322" customWidth="1"/>
    <col min="13841" max="13841" width="14.77734375" style="322" customWidth="1"/>
    <col min="13842" max="13850" width="9" style="322" customWidth="1"/>
    <col min="13851" max="13851" width="7.21875" style="322" bestFit="1" customWidth="1"/>
    <col min="13852" max="13853" width="9" style="322" customWidth="1"/>
    <col min="13854" max="13858" width="10.33203125" style="322" customWidth="1"/>
    <col min="13859" max="14080" width="9" style="322" customWidth="1"/>
    <col min="14081" max="14081" width="60.33203125" style="322" customWidth="1"/>
    <col min="14082" max="14082" width="2.77734375" style="322" customWidth="1"/>
    <col min="14083" max="14083" width="14.77734375" style="322" customWidth="1"/>
    <col min="14084" max="14084" width="13.77734375" style="322" bestFit="1" customWidth="1"/>
    <col min="14085" max="14085" width="15.33203125" style="322" customWidth="1"/>
    <col min="14086" max="14086" width="14.21875" style="322" customWidth="1"/>
    <col min="14087" max="14087" width="15.21875" style="322" customWidth="1"/>
    <col min="14088" max="14088" width="13.33203125" style="322" customWidth="1"/>
    <col min="14089" max="14089" width="17.33203125" style="322" customWidth="1"/>
    <col min="14090" max="14090" width="15.21875" style="322" customWidth="1"/>
    <col min="14091" max="14091" width="19.6640625" style="322" customWidth="1"/>
    <col min="14092" max="14094" width="16" style="322" customWidth="1"/>
    <col min="14095" max="14095" width="14.77734375" style="322" customWidth="1"/>
    <col min="14096" max="14096" width="17.33203125" style="322" customWidth="1"/>
    <col min="14097" max="14097" width="14.77734375" style="322" customWidth="1"/>
    <col min="14098" max="14106" width="9" style="322" customWidth="1"/>
    <col min="14107" max="14107" width="7.21875" style="322" bestFit="1" customWidth="1"/>
    <col min="14108" max="14109" width="9" style="322" customWidth="1"/>
    <col min="14110" max="14114" width="10.33203125" style="322" customWidth="1"/>
    <col min="14115" max="14336" width="9" style="322" customWidth="1"/>
    <col min="14337" max="14337" width="60.33203125" style="322" customWidth="1"/>
    <col min="14338" max="14338" width="2.77734375" style="322" customWidth="1"/>
    <col min="14339" max="14339" width="14.77734375" style="322" customWidth="1"/>
    <col min="14340" max="14340" width="13.77734375" style="322" bestFit="1" customWidth="1"/>
    <col min="14341" max="14341" width="15.33203125" style="322" customWidth="1"/>
    <col min="14342" max="14342" width="14.21875" style="322" customWidth="1"/>
    <col min="14343" max="14343" width="15.21875" style="322" customWidth="1"/>
    <col min="14344" max="14344" width="13.33203125" style="322" customWidth="1"/>
    <col min="14345" max="14345" width="17.33203125" style="322" customWidth="1"/>
    <col min="14346" max="14346" width="15.21875" style="322" customWidth="1"/>
    <col min="14347" max="14347" width="19.6640625" style="322" customWidth="1"/>
    <col min="14348" max="14350" width="16" style="322" customWidth="1"/>
    <col min="14351" max="14351" width="14.77734375" style="322" customWidth="1"/>
    <col min="14352" max="14352" width="17.33203125" style="322" customWidth="1"/>
    <col min="14353" max="14353" width="14.77734375" style="322" customWidth="1"/>
    <col min="14354" max="14362" width="9" style="322" customWidth="1"/>
    <col min="14363" max="14363" width="7.21875" style="322" bestFit="1" customWidth="1"/>
    <col min="14364" max="14365" width="9" style="322" customWidth="1"/>
    <col min="14366" max="14370" width="10.33203125" style="322" customWidth="1"/>
    <col min="14371" max="14592" width="9" style="322" customWidth="1"/>
    <col min="14593" max="14593" width="60.33203125" style="322" customWidth="1"/>
    <col min="14594" max="14594" width="2.77734375" style="322" customWidth="1"/>
    <col min="14595" max="14595" width="14.77734375" style="322" customWidth="1"/>
    <col min="14596" max="14596" width="13.77734375" style="322" bestFit="1" customWidth="1"/>
    <col min="14597" max="14597" width="15.33203125" style="322" customWidth="1"/>
    <col min="14598" max="14598" width="14.21875" style="322" customWidth="1"/>
    <col min="14599" max="14599" width="15.21875" style="322" customWidth="1"/>
    <col min="14600" max="14600" width="13.33203125" style="322" customWidth="1"/>
    <col min="14601" max="14601" width="17.33203125" style="322" customWidth="1"/>
    <col min="14602" max="14602" width="15.21875" style="322" customWidth="1"/>
    <col min="14603" max="14603" width="19.6640625" style="322" customWidth="1"/>
    <col min="14604" max="14606" width="16" style="322" customWidth="1"/>
    <col min="14607" max="14607" width="14.77734375" style="322" customWidth="1"/>
    <col min="14608" max="14608" width="17.33203125" style="322" customWidth="1"/>
    <col min="14609" max="14609" width="14.77734375" style="322" customWidth="1"/>
    <col min="14610" max="14618" width="9" style="322" customWidth="1"/>
    <col min="14619" max="14619" width="7.21875" style="322" bestFit="1" customWidth="1"/>
    <col min="14620" max="14621" width="9" style="322" customWidth="1"/>
    <col min="14622" max="14626" width="10.33203125" style="322" customWidth="1"/>
    <col min="14627" max="14848" width="9" style="322" customWidth="1"/>
    <col min="14849" max="14849" width="60.33203125" style="322" customWidth="1"/>
    <col min="14850" max="14850" width="2.77734375" style="322" customWidth="1"/>
    <col min="14851" max="14851" width="14.77734375" style="322" customWidth="1"/>
    <col min="14852" max="14852" width="13.77734375" style="322" bestFit="1" customWidth="1"/>
    <col min="14853" max="14853" width="15.33203125" style="322" customWidth="1"/>
    <col min="14854" max="14854" width="14.21875" style="322" customWidth="1"/>
    <col min="14855" max="14855" width="15.21875" style="322" customWidth="1"/>
    <col min="14856" max="14856" width="13.33203125" style="322" customWidth="1"/>
    <col min="14857" max="14857" width="17.33203125" style="322" customWidth="1"/>
    <col min="14858" max="14858" width="15.21875" style="322" customWidth="1"/>
    <col min="14859" max="14859" width="19.6640625" style="322" customWidth="1"/>
    <col min="14860" max="14862" width="16" style="322" customWidth="1"/>
    <col min="14863" max="14863" width="14.77734375" style="322" customWidth="1"/>
    <col min="14864" max="14864" width="17.33203125" style="322" customWidth="1"/>
    <col min="14865" max="14865" width="14.77734375" style="322" customWidth="1"/>
    <col min="14866" max="14874" width="9" style="322" customWidth="1"/>
    <col min="14875" max="14875" width="7.21875" style="322" bestFit="1" customWidth="1"/>
    <col min="14876" max="14877" width="9" style="322" customWidth="1"/>
    <col min="14878" max="14882" width="10.33203125" style="322" customWidth="1"/>
    <col min="14883" max="15104" width="9" style="322" customWidth="1"/>
    <col min="15105" max="15105" width="60.33203125" style="322" customWidth="1"/>
    <col min="15106" max="15106" width="2.77734375" style="322" customWidth="1"/>
    <col min="15107" max="15107" width="14.77734375" style="322" customWidth="1"/>
    <col min="15108" max="15108" width="13.77734375" style="322" bestFit="1" customWidth="1"/>
    <col min="15109" max="15109" width="15.33203125" style="322" customWidth="1"/>
    <col min="15110" max="15110" width="14.21875" style="322" customWidth="1"/>
    <col min="15111" max="15111" width="15.21875" style="322" customWidth="1"/>
    <col min="15112" max="15112" width="13.33203125" style="322" customWidth="1"/>
    <col min="15113" max="15113" width="17.33203125" style="322" customWidth="1"/>
    <col min="15114" max="15114" width="15.21875" style="322" customWidth="1"/>
    <col min="15115" max="15115" width="19.6640625" style="322" customWidth="1"/>
    <col min="15116" max="15118" width="16" style="322" customWidth="1"/>
    <col min="15119" max="15119" width="14.77734375" style="322" customWidth="1"/>
    <col min="15120" max="15120" width="17.33203125" style="322" customWidth="1"/>
    <col min="15121" max="15121" width="14.77734375" style="322" customWidth="1"/>
    <col min="15122" max="15130" width="9" style="322" customWidth="1"/>
    <col min="15131" max="15131" width="7.21875" style="322" bestFit="1" customWidth="1"/>
    <col min="15132" max="15133" width="9" style="322" customWidth="1"/>
    <col min="15134" max="15138" width="10.33203125" style="322" customWidth="1"/>
    <col min="15139" max="15360" width="9" style="322" customWidth="1"/>
    <col min="15361" max="15361" width="60.33203125" style="322" customWidth="1"/>
    <col min="15362" max="15362" width="2.77734375" style="322" customWidth="1"/>
    <col min="15363" max="15363" width="14.77734375" style="322" customWidth="1"/>
    <col min="15364" max="15364" width="13.77734375" style="322" bestFit="1" customWidth="1"/>
    <col min="15365" max="15365" width="15.33203125" style="322" customWidth="1"/>
    <col min="15366" max="15366" width="14.21875" style="322" customWidth="1"/>
    <col min="15367" max="15367" width="15.21875" style="322" customWidth="1"/>
    <col min="15368" max="15368" width="13.33203125" style="322" customWidth="1"/>
    <col min="15369" max="15369" width="17.33203125" style="322" customWidth="1"/>
    <col min="15370" max="15370" width="15.21875" style="322" customWidth="1"/>
    <col min="15371" max="15371" width="19.6640625" style="322" customWidth="1"/>
    <col min="15372" max="15374" width="16" style="322" customWidth="1"/>
    <col min="15375" max="15375" width="14.77734375" style="322" customWidth="1"/>
    <col min="15376" max="15376" width="17.33203125" style="322" customWidth="1"/>
    <col min="15377" max="15377" width="14.77734375" style="322" customWidth="1"/>
    <col min="15378" max="15386" width="9" style="322" customWidth="1"/>
    <col min="15387" max="15387" width="7.21875" style="322" bestFit="1" customWidth="1"/>
    <col min="15388" max="15389" width="9" style="322" customWidth="1"/>
    <col min="15390" max="15394" width="10.33203125" style="322" customWidth="1"/>
    <col min="15395" max="15616" width="9" style="322" customWidth="1"/>
    <col min="15617" max="15617" width="60.33203125" style="322" customWidth="1"/>
    <col min="15618" max="15618" width="2.77734375" style="322" customWidth="1"/>
    <col min="15619" max="15619" width="14.77734375" style="322" customWidth="1"/>
    <col min="15620" max="15620" width="13.77734375" style="322" bestFit="1" customWidth="1"/>
    <col min="15621" max="15621" width="15.33203125" style="322" customWidth="1"/>
    <col min="15622" max="15622" width="14.21875" style="322" customWidth="1"/>
    <col min="15623" max="15623" width="15.21875" style="322" customWidth="1"/>
    <col min="15624" max="15624" width="13.33203125" style="322" customWidth="1"/>
    <col min="15625" max="15625" width="17.33203125" style="322" customWidth="1"/>
    <col min="15626" max="15626" width="15.21875" style="322" customWidth="1"/>
    <col min="15627" max="15627" width="19.6640625" style="322" customWidth="1"/>
    <col min="15628" max="15630" width="16" style="322" customWidth="1"/>
    <col min="15631" max="15631" width="14.77734375" style="322" customWidth="1"/>
    <col min="15632" max="15632" width="17.33203125" style="322" customWidth="1"/>
    <col min="15633" max="15633" width="14.77734375" style="322" customWidth="1"/>
    <col min="15634" max="15642" width="9" style="322" customWidth="1"/>
    <col min="15643" max="15643" width="7.21875" style="322" bestFit="1" customWidth="1"/>
    <col min="15644" max="15645" width="9" style="322" customWidth="1"/>
    <col min="15646" max="15650" width="10.33203125" style="322" customWidth="1"/>
    <col min="15651" max="15872" width="9" style="322" customWidth="1"/>
    <col min="15873" max="15873" width="60.33203125" style="322" customWidth="1"/>
    <col min="15874" max="15874" width="2.77734375" style="322" customWidth="1"/>
    <col min="15875" max="15875" width="14.77734375" style="322" customWidth="1"/>
    <col min="15876" max="15876" width="13.77734375" style="322" bestFit="1" customWidth="1"/>
    <col min="15877" max="15877" width="15.33203125" style="322" customWidth="1"/>
    <col min="15878" max="15878" width="14.21875" style="322" customWidth="1"/>
    <col min="15879" max="15879" width="15.21875" style="322" customWidth="1"/>
    <col min="15880" max="15880" width="13.33203125" style="322" customWidth="1"/>
    <col min="15881" max="15881" width="17.33203125" style="322" customWidth="1"/>
    <col min="15882" max="15882" width="15.21875" style="322" customWidth="1"/>
    <col min="15883" max="15883" width="19.6640625" style="322" customWidth="1"/>
    <col min="15884" max="15886" width="16" style="322" customWidth="1"/>
    <col min="15887" max="15887" width="14.77734375" style="322" customWidth="1"/>
    <col min="15888" max="15888" width="17.33203125" style="322" customWidth="1"/>
    <col min="15889" max="15889" width="14.77734375" style="322" customWidth="1"/>
    <col min="15890" max="15898" width="9" style="322" customWidth="1"/>
    <col min="15899" max="15899" width="7.21875" style="322" bestFit="1" customWidth="1"/>
    <col min="15900" max="15901" width="9" style="322" customWidth="1"/>
    <col min="15902" max="15906" width="10.33203125" style="322" customWidth="1"/>
    <col min="15907" max="16128" width="9" style="322" customWidth="1"/>
    <col min="16129" max="16129" width="60.33203125" style="322" customWidth="1"/>
    <col min="16130" max="16130" width="2.77734375" style="322" customWidth="1"/>
    <col min="16131" max="16131" width="14.77734375" style="322" customWidth="1"/>
    <col min="16132" max="16132" width="13.77734375" style="322" bestFit="1" customWidth="1"/>
    <col min="16133" max="16133" width="15.33203125" style="322" customWidth="1"/>
    <col min="16134" max="16134" width="14.21875" style="322" customWidth="1"/>
    <col min="16135" max="16135" width="15.21875" style="322" customWidth="1"/>
    <col min="16136" max="16136" width="13.33203125" style="322" customWidth="1"/>
    <col min="16137" max="16137" width="17.33203125" style="322" customWidth="1"/>
    <col min="16138" max="16138" width="15.21875" style="322" customWidth="1"/>
    <col min="16139" max="16139" width="19.6640625" style="322" customWidth="1"/>
    <col min="16140" max="16142" width="16" style="322" customWidth="1"/>
    <col min="16143" max="16143" width="14.77734375" style="322" customWidth="1"/>
    <col min="16144" max="16144" width="17.33203125" style="322" customWidth="1"/>
    <col min="16145" max="16145" width="14.77734375" style="322" customWidth="1"/>
    <col min="16146" max="16154" width="9" style="322" customWidth="1"/>
    <col min="16155" max="16155" width="7.21875" style="322" bestFit="1" customWidth="1"/>
    <col min="16156" max="16157" width="9" style="322" customWidth="1"/>
    <col min="16158" max="16162" width="10.33203125" style="322" customWidth="1"/>
    <col min="16163" max="16384" width="9" style="322" customWidth="1"/>
  </cols>
  <sheetData>
    <row r="1" spans="1:27" x14ac:dyDescent="0.25">
      <c r="A1" s="321" t="s">
        <v>0</v>
      </c>
      <c r="B1" s="941" t="str">
        <f>'Cover Page'!D1</f>
        <v>The Edge School, Inc</v>
      </c>
      <c r="C1" s="941"/>
      <c r="D1" s="941"/>
      <c r="E1" s="941"/>
      <c r="G1" s="321" t="s">
        <v>1</v>
      </c>
      <c r="H1" s="941" t="str">
        <f>'Cover Page'!M1</f>
        <v>Pima</v>
      </c>
      <c r="I1" s="941"/>
      <c r="K1" s="321" t="s">
        <v>2</v>
      </c>
      <c r="L1" s="324" t="str">
        <f>'Cover Page'!R1</f>
        <v>108653000</v>
      </c>
      <c r="M1" s="325"/>
      <c r="N1" s="325"/>
      <c r="O1" s="326"/>
      <c r="P1" s="327"/>
    </row>
    <row r="2" spans="1:27" x14ac:dyDescent="0.25">
      <c r="A2" s="321"/>
      <c r="B2" s="321"/>
      <c r="C2" s="331"/>
      <c r="D2" s="325"/>
      <c r="E2" s="332"/>
      <c r="F2" s="332"/>
      <c r="G2" s="332"/>
      <c r="H2" s="321"/>
      <c r="I2" s="325"/>
      <c r="J2" s="325"/>
      <c r="K2" s="325"/>
      <c r="L2" s="332"/>
      <c r="M2" s="325"/>
      <c r="N2" s="325"/>
      <c r="O2" s="326"/>
      <c r="P2" s="326"/>
      <c r="Q2" s="333"/>
    </row>
    <row r="3" spans="1:27" x14ac:dyDescent="0.25">
      <c r="A3" s="660" t="s">
        <v>726</v>
      </c>
      <c r="B3"/>
      <c r="C3" t="s">
        <v>416</v>
      </c>
      <c r="D3" s="560"/>
      <c r="E3" s="560"/>
      <c r="F3" s="560"/>
      <c r="G3" s="560"/>
      <c r="H3" s="560"/>
      <c r="I3" s="560"/>
      <c r="J3" s="560"/>
      <c r="K3" s="560"/>
      <c r="L3" s="560"/>
      <c r="M3" s="560"/>
      <c r="N3" s="326"/>
    </row>
    <row r="4" spans="1:27" ht="24" customHeight="1" x14ac:dyDescent="0.25">
      <c r="L4" s="326"/>
      <c r="M4" s="560"/>
      <c r="N4" s="560"/>
    </row>
    <row r="5" spans="1:27" x14ac:dyDescent="0.25">
      <c r="A5" s="928"/>
      <c r="B5" s="33"/>
      <c r="C5" s="334"/>
      <c r="D5" s="930" t="s">
        <v>351</v>
      </c>
      <c r="E5" s="931"/>
      <c r="F5" s="931"/>
      <c r="G5" s="931"/>
      <c r="H5" s="931"/>
      <c r="I5" s="931"/>
      <c r="J5" s="931"/>
      <c r="K5" s="931"/>
      <c r="L5" s="932"/>
      <c r="M5" s="335" t="s">
        <v>417</v>
      </c>
      <c r="N5" s="933" t="s">
        <v>283</v>
      </c>
    </row>
    <row r="6" spans="1:27" x14ac:dyDescent="0.25">
      <c r="A6" s="929"/>
      <c r="D6" s="336"/>
      <c r="E6" s="337"/>
      <c r="F6" s="337" t="s">
        <v>150</v>
      </c>
      <c r="G6" s="337"/>
      <c r="H6" s="337"/>
      <c r="I6" s="337"/>
      <c r="J6" s="337"/>
      <c r="K6" s="337" t="s">
        <v>94</v>
      </c>
      <c r="L6" s="338"/>
      <c r="N6" s="934"/>
    </row>
    <row r="7" spans="1:27" x14ac:dyDescent="0.25">
      <c r="D7" s="339"/>
      <c r="E7" s="340" t="s">
        <v>85</v>
      </c>
      <c r="F7" s="340" t="s">
        <v>92</v>
      </c>
      <c r="G7" s="340"/>
      <c r="H7" s="340" t="s">
        <v>352</v>
      </c>
      <c r="I7" s="340" t="s">
        <v>418</v>
      </c>
      <c r="J7" s="340"/>
      <c r="K7" s="341" t="s">
        <v>353</v>
      </c>
      <c r="L7" s="342"/>
      <c r="M7" s="343" t="s">
        <v>419</v>
      </c>
      <c r="N7" s="934"/>
    </row>
    <row r="8" spans="1:27" ht="12" customHeight="1" x14ac:dyDescent="0.25">
      <c r="A8" s="936" t="s">
        <v>420</v>
      </c>
      <c r="B8" s="936"/>
      <c r="C8" s="937"/>
      <c r="D8" s="340" t="s">
        <v>90</v>
      </c>
      <c r="E8" s="344" t="s">
        <v>91</v>
      </c>
      <c r="F8" s="344" t="s">
        <v>354</v>
      </c>
      <c r="G8" s="344" t="s">
        <v>93</v>
      </c>
      <c r="H8" s="344" t="s">
        <v>355</v>
      </c>
      <c r="I8" s="344" t="s">
        <v>421</v>
      </c>
      <c r="J8" s="344" t="s">
        <v>356</v>
      </c>
      <c r="K8" s="341" t="s">
        <v>422</v>
      </c>
      <c r="L8" s="345" t="s">
        <v>358</v>
      </c>
      <c r="M8" s="343" t="s">
        <v>423</v>
      </c>
      <c r="N8" s="934"/>
    </row>
    <row r="9" spans="1:27" x14ac:dyDescent="0.25">
      <c r="A9" s="938"/>
      <c r="B9" s="938"/>
      <c r="C9" s="939"/>
      <c r="D9" s="346">
        <v>6100</v>
      </c>
      <c r="E9" s="346">
        <v>6200</v>
      </c>
      <c r="F9" s="346">
        <v>6500</v>
      </c>
      <c r="G9" s="346">
        <v>6600</v>
      </c>
      <c r="H9" s="346">
        <v>6810</v>
      </c>
      <c r="I9" s="346">
        <v>6820</v>
      </c>
      <c r="J9" s="346">
        <v>6890</v>
      </c>
      <c r="K9" s="346" t="s">
        <v>424</v>
      </c>
      <c r="L9" s="345" t="s">
        <v>361</v>
      </c>
      <c r="M9" s="347" t="s">
        <v>425</v>
      </c>
      <c r="N9" s="935"/>
    </row>
    <row r="10" spans="1:27" ht="12.75" customHeight="1" x14ac:dyDescent="0.25">
      <c r="A10" s="348" t="s">
        <v>197</v>
      </c>
      <c r="B10" s="349"/>
      <c r="C10" s="350" t="s">
        <v>24</v>
      </c>
      <c r="D10" s="351">
        <f t="array" ref="D10">SUM(SUMIFS('Accounting data'!G2:G65536,'Accounting data'!H2:H65536,"1310-1399-C*",'Accounting data'!I2:I65536,{"1*","2*","3*","4*","5*","6*"},'Accounting data'!J2:J65536,"1*",'Accounting data'!K2:K65536,"61*"))+SUM(SUMIFS('Accounting data'!G2:G65536,'Accounting data'!H2:H65536,"1227*",'Accounting data'!I2:I65536,{"1*","2*","3*","4*","5*","6*"},'Accounting data'!J2:J65536,"1*",'Accounting data'!K2:K65536,"61*"))+SUM(SUMIFS('Accounting data'!G2:G65536,'Accounting data'!H2:H65536,"1228*",'Accounting data'!I2:I65536,{"1*","2*","3*","4*","5*","6*"},'Accounting data'!J2:J65536,"1*",'Accounting data'!K2:K65536,"61*"))</f>
        <v>0</v>
      </c>
      <c r="E10" s="351">
        <f t="array" ref="E10">SUM(SUMIFS('Accounting data'!G2:G65536,'Accounting data'!H2:H65536,"1310-1399-C*",'Accounting data'!I2:I65536,{"1*","2*","3*","4*","5*","6*"},'Accounting data'!J2:J65536,"1*",'Accounting data'!K2:K65536,"62*"))+SUM(SUMIFS('Accounting data'!G2:G65536,'Accounting data'!H2:H65536,"1227*",'Accounting data'!I2:I65536,{"1*","2*","3*","4*","5*","6*"},'Accounting data'!J2:J65536,"1*",'Accounting data'!K2:K65536,"62*"))+SUM(SUMIFS('Accounting data'!G2:G65536,'Accounting data'!H2:H65536,"1228*",'Accounting data'!I2:I65536,{"1*","2*","3*","4*","5*","6*"},'Accounting data'!J2:J65536,"1*",'Accounting data'!K2:K65536,"62*"))</f>
        <v>0</v>
      </c>
      <c r="F10" s="351">
        <f t="array" ref="F10">SUM(SUMIFS('Accounting data'!G2:G65536,'Accounting data'!H2:H65536,"1310-1399-C*",'Accounting data'!I2:I65536,{"1*","2*","3*","4*","5*","6*"},'Accounting data'!J2:J65536,"1*",'Accounting data'!K2:K65536,"63*"))+SUM(SUMIFS('Accounting data'!G2:G65536,'Accounting data'!H2:H65536,"1227*",'Accounting data'!I2:I65536,{"1*","2*","3*","4*","5*","6*"},'Accounting data'!J2:J65536,"1*",'Accounting data'!K2:K65536,"63*"))+SUM(SUMIFS('Accounting data'!G2:G65536,'Accounting data'!H2:H65536,"1228*",'Accounting data'!I2:I65536,{"1*","2*","3*","4*","5*","6*"},'Accounting data'!J2:J65536,"1*",'Accounting data'!K2:K65536,"63*"))</f>
        <v>0</v>
      </c>
      <c r="G10" s="351">
        <f t="array" ref="G10">SUM(SUMIFS('Accounting data'!G2:G65536,'Accounting data'!H2:H65536,"1310-1399-C*",'Accounting data'!I2:I65536,{"1*","2*","3*","4*","5*","6*"},'Accounting data'!J2:J65536,"1*",'Accounting data'!K2:K65536,"66*"))+SUM(SUMIFS('Accounting data'!G2:G65536,'Accounting data'!H2:H65536,"1227*",'Accounting data'!I2:I65536,{"1*","2*","3*","4*","5*","6*"},'Accounting data'!J2:J65536,"1*",'Accounting data'!K2:K65536,"66*"))+SUM(SUMIFS('Accounting data'!G2:G65536,'Accounting data'!H2:H65536,"1228*",'Accounting data'!I2:I65536,{"1*","2*","3*","4*","5*","6*"},'Accounting data'!J2:J65536,"1*",'Accounting data'!K2:K65536,"66*"))</f>
        <v>0</v>
      </c>
      <c r="H10" s="351">
        <f t="array" ref="H10">SUM(SUMIFS('Accounting data'!G2:G65536,'Accounting data'!H2:H65536,"1310-1399-C*",'Accounting data'!I2:I65536,{"1*","2*","3*","4*","5*","6*"},'Accounting data'!J2:J65536,"1*",'Accounting data'!K2:K65536,"681*"))+SUM(SUMIFS('Accounting data'!G2:G65536,'Accounting data'!H2:H65536,"1227*",'Accounting data'!I2:I65536,{"1*","2*","3*","4*","5*","6*"},'Accounting data'!J2:J65536,"1*",'Accounting data'!K2:K65536,"681*"))+SUM(SUMIFS('Accounting data'!G2:G65536,'Accounting data'!H2:H65536,"1228*",'Accounting data'!I2:I65536,{"1*","2*","3*","4*","5*","6*"},'Accounting data'!J2:J65536,"1*",'Accounting data'!K2:K65536,"681*"))</f>
        <v>0</v>
      </c>
      <c r="I10" s="352"/>
      <c r="J10" s="351">
        <f t="array" ref="J10">SUM(SUMIFS('Accounting data'!G2:G65536,'Accounting data'!H2:H65536,"1310-1399-C*",'Accounting data'!I2:I65536,{"1*","2*","3*","4*","5*","6*"},'Accounting data'!J2:J65536,"1*",'Accounting data'!K2:K65536,"689*"))+SUM(SUMIFS('Accounting data'!G2:G65536,'Accounting data'!H2:H65536,"1227*",'Accounting data'!I2:I65536,{"1*","2*","3*","4*","5*","6*"},'Accounting data'!J2:J65536,"1*",'Accounting data'!K2:K65536,"689*"))+SUM(SUMIFS('Accounting data'!G2:G65536,'Accounting data'!H2:H65536,"1228*",'Accounting data'!I2:I65536,{"1*","2*","3*","4*","5*","6*"},'Accounting data'!J2:J65536,"1*",'Accounting data'!K2:K65536,"689*"))</f>
        <v>0</v>
      </c>
      <c r="K10" s="351">
        <f t="array" ref="K10">SUM(SUMIFS('Accounting data'!G2:G65536,'Accounting data'!H2:H65536,"1310-1399-C*",'Accounting data'!I2:I65536,{"1*","2*","3*","4*","5*","6*"},'Accounting data'!J2:J65536,"1*",'Accounting data'!K2:K65536,"683*"))+SUM(SUMIFS('Accounting data'!G2:G65536,'Accounting data'!H2:H65536,"1227*",'Accounting data'!I2:I65536,{"1*","2*","3*","4*","5*","6*"},'Accounting data'!J2:J65536,"1*",'Accounting data'!K2:K65536,"683*"))+SUM(SUMIFS('Accounting data'!G2:G65536,'Accounting data'!H2:H65536,"1228*",'Accounting data'!I2:I65536,{"1*","2*","3*","4*","5*","6*"},'Accounting data'!J2:J65536,"1*",'Accounting data'!K2:K65536,"683*"))</f>
        <v>0</v>
      </c>
      <c r="L10" s="34">
        <v>0</v>
      </c>
      <c r="M10" s="351">
        <f t="array" ref="M10">SUM(SUMIFS('Accounting data'!G2:G65536,'Accounting data'!H2:H65536,"1310-1399-C*",'Accounting data'!I2:I65536,{"7*","8*","9*"},'Accounting data'!J2:J65536,"1*",'Accounting data'!K2:K65536,"6*"))-SUM(SUMIFS('Accounting data'!G2:G65536,'Accounting data'!H2:H65536,"1310-1399-C*",'Accounting data'!I2:I65536,{"7*","8*","9*"},'Accounting data'!J2:J65536,"1*",'Accounting data'!K2:K65536,"69*"))+SUM(SUMIFS('Accounting data'!G2:G65536,'Accounting data'!H2:H65536,"1227*",'Accounting data'!I2:I65536,{"7*","8*","9*"},'Accounting data'!J2:J65536,"1*",'Accounting data'!K2:K65536,"6*"))-SUM(SUMIFS('Accounting data'!G2:G65536,'Accounting data'!H2:H65536,"1227*",'Accounting data'!I2:I65536,{"7*","8*","9*"},'Accounting data'!J2:J65536,"1*",'Accounting data'!K2:K65536,"69*"))+SUM(SUMIFS('Accounting data'!G2:G65536,'Accounting data'!H2:H65536,"1228*",'Accounting data'!I2:I65536,{"7*","8*","9*"},'Accounting data'!J2:J65536,"1*",'Accounting data'!K2:K65536,"6*"))-SUM(SUMIFS('Accounting data'!G2:G65536,'Accounting data'!H2:H65536,"1228*",'Accounting data'!I2:I65536,{"7*","8*","9*"},'Accounting data'!J2:J65536,"1*",'Accounting data'!K2:K65536,"69*"))</f>
        <v>0</v>
      </c>
      <c r="N10" s="353">
        <f t="shared" ref="N10:N19" si="0">ROUND(SUM(D10:M10),0)</f>
        <v>0</v>
      </c>
      <c r="O10" s="354"/>
    </row>
    <row r="11" spans="1:27" x14ac:dyDescent="0.25">
      <c r="A11" s="355" t="s">
        <v>426</v>
      </c>
      <c r="B11" s="583"/>
      <c r="C11" s="356" t="s">
        <v>26</v>
      </c>
      <c r="D11" s="351">
        <f t="array" ref="D11">SUM(SUMIFS('Accounting data'!G2:G65536,'Accounting data'!H2:H65536,"1310-1399-C*",'Accounting data'!I2:I65536,{"1*","2*","3*","4*","5*","6*"},'Accounting data'!J2:J65536,"21*",'Accounting data'!K2:K65536,"61*"))+SUM(SUMIFS('Accounting data'!G2:G65536,'Accounting data'!H2:H65536,"1310-1399-C*",'Accounting data'!I2:I65536,{"1*","2*","3*","4*","5*","6*"},'Accounting data'!J2:J65536,"22*",'Accounting data'!K2:K65536,"61*"))+SUM(SUMIFS('Accounting data'!G2:G65536,'Accounting data'!H2:H65536,"1227*",'Accounting data'!I2:I65536,{"1*","2*","3*","4*","5*","6*"},'Accounting data'!J2:J65536,"21*",'Accounting data'!K2:K65536,"61*"))+SUM(SUMIFS('Accounting data'!G2:G65536,'Accounting data'!H2:H65536,"1227*",'Accounting data'!I2:I65536,{"1*","2*","3*","4*","5*","6*"},'Accounting data'!J2:J65536,"22*",'Accounting data'!K2:K65536,"61*"))+SUM(SUMIFS('Accounting data'!G2:G65536,'Accounting data'!H2:H65536,"1228*",'Accounting data'!I2:I65536,{"1*","2*","3*","4*","5*","6*"},'Accounting data'!J2:J65536,"21*",'Accounting data'!K2:K65536,"61*"))+SUM(SUMIFS('Accounting data'!G2:G65536,'Accounting data'!H2:H65536,"1228*",'Accounting data'!I2:I65536,{"1*","2*","3*","4*","5*","6*"},'Accounting data'!J2:J65536,"22*",'Accounting data'!K2:K65536,"61*"))</f>
        <v>1099</v>
      </c>
      <c r="E11" s="351">
        <f t="array" ref="E11">SUM(SUMIFS('Accounting data'!G2:G65536,'Accounting data'!H2:H65536,"1310-1399-C*",'Accounting data'!I2:I65536,{"1*","2*","3*","4*","5*","6*"},'Accounting data'!J2:J65536,"21*",'Accounting data'!K2:K65536,"62*"))+SUM(SUMIFS('Accounting data'!G2:G65536,'Accounting data'!H2:H65536,"1310-1399-C*",'Accounting data'!I2:I65536,{"1*","2*","3*","4*","5*","6*"},'Accounting data'!J2:J65536,"22*",'Accounting data'!K2:K65536,"62*"))+SUM(SUMIFS('Accounting data'!G2:G65536,'Accounting data'!H2:H65536,"1227*",'Accounting data'!I2:I65536,{"1*","2*","3*","4*","5*","6*"},'Accounting data'!J2:J65536,"21*",'Accounting data'!K2:K65536,"62*"))+SUM(SUMIFS('Accounting data'!G2:G65536,'Accounting data'!H2:H65536,"1227*",'Accounting data'!I2:I65536,{"1*","2*","3*","4*","5*","6*"},'Accounting data'!J2:J65536,"22*",'Accounting data'!K2:K65536,"62*"))+SUM(SUMIFS('Accounting data'!G2:G65536,'Accounting data'!H2:H65536,"1228*",'Accounting data'!I2:I65536,{"1*","2*","3*","4*","5*","6*"},'Accounting data'!J2:J65536,"21*",'Accounting data'!K2:K65536,"62*"))+SUM(SUMIFS('Accounting data'!G2:G65536,'Accounting data'!H2:H65536,"1228*",'Accounting data'!I2:I65536,{"1*","2*","3*","4*","5*","6*"},'Accounting data'!J2:J65536,"22*",'Accounting data'!K2:K65536,"62*"))</f>
        <v>329</v>
      </c>
      <c r="F11" s="351">
        <f t="array" ref="F11">SUM(SUMIFS('Accounting data'!G2:G65536,'Accounting data'!H2:H65536,"1310-1399-C*",'Accounting data'!I2:I65536,{"1*","2*","3*","4*","5*","6*"},'Accounting data'!J2:J65536,"21*",'Accounting data'!K2:K65536,"63*"))+SUM(SUMIFS('Accounting data'!G2:G65536,'Accounting data'!H2:H65536,"1310-1399-C*",'Accounting data'!I2:I65536,{"1*","2*","3*","4*","5*","6*"},'Accounting data'!J2:J65536,"22*",'Accounting data'!K2:K65536,"63*"))+SUM(SUMIFS('Accounting data'!G2:G65536,'Accounting data'!H2:H65536,"1227*",'Accounting data'!I2:I65536,{"1*","2*","3*","4*","5*","6*"},'Accounting data'!J2:J65536,"21*",'Accounting data'!K2:K65536,"63*"))+SUM(SUMIFS('Accounting data'!G2:G65536,'Accounting data'!H2:H65536,"1227*",'Accounting data'!I2:I65536,{"1*","2*","3*","4*","5*","6*"},'Accounting data'!J2:J65536,"22*",'Accounting data'!K2:K65536,"63*"))+SUM(SUMIFS('Accounting data'!G2:G65536,'Accounting data'!H2:H65536,"1228*",'Accounting data'!I2:I65536,{"1*","2*","3*","4*","5*","6*"},'Accounting data'!J2:J65536,"21*",'Accounting data'!K2:K65536,"63*"))+SUM(SUMIFS('Accounting data'!G2:G65536,'Accounting data'!H2:H65536,"1228*",'Accounting data'!I2:I65536,{"1*","2*","3*","4*","5*","6*"},'Accounting data'!J2:J65536,"22*",'Accounting data'!K2:K65536,"63*"))</f>
        <v>0</v>
      </c>
      <c r="G11" s="351">
        <f t="array" ref="G11">SUM(SUMIFS('Accounting data'!G2:G65536,'Accounting data'!H2:H65536,"1310-1399-C*",'Accounting data'!I2:I65536,{"1*","2*","3*","4*","5*","6*"},'Accounting data'!J2:J65536,"21*",'Accounting data'!K2:K65536,"66*"))+SUM(SUMIFS('Accounting data'!G2:G65536,'Accounting data'!H2:H65536,"1310-1399-C*",'Accounting data'!I2:I65536,{"1*","2*","3*","4*","5*","6*"},'Accounting data'!J2:J65536,"22*",'Accounting data'!K2:K65536,"66*"))+SUM(SUMIFS('Accounting data'!G2:G65536,'Accounting data'!H2:H65536,"1227*",'Accounting data'!I2:I65536,{"1*","2*","3*","4*","5*","6*"},'Accounting data'!J2:J65536,"21*",'Accounting data'!K2:K65536,"66*"))+SUM(SUMIFS('Accounting data'!G2:G65536,'Accounting data'!H2:H65536,"1227*",'Accounting data'!I2:I65536,{"1*","2*","3*","4*","5*","6*"},'Accounting data'!J2:J65536,"22*",'Accounting data'!K2:K65536,"66*"))+SUM(SUMIFS('Accounting data'!G2:G65536,'Accounting data'!H2:H65536,"1228*",'Accounting data'!I2:I65536,{"1*","2*","3*","4*","5*","6*"},'Accounting data'!J2:J65536,"21*",'Accounting data'!K2:K65536,"66*"))+SUM(SUMIFS('Accounting data'!G2:G65536,'Accounting data'!H2:H65536,"1228*",'Accounting data'!I2:I65536,{"1*","2*","3*","4*","5*","6*"},'Accounting data'!J2:J65536,"22*",'Accounting data'!K2:K65536,"66*"))</f>
        <v>0</v>
      </c>
      <c r="H11" s="351">
        <f t="array" ref="H11">SUM(SUMIFS('Accounting data'!G2:G65536,'Accounting data'!H2:H65536,"1310-1399-C*",'Accounting data'!I2:I65536,{"1*","2*","3*","4*","5*","6*"},'Accounting data'!J2:J65536,"21*",'Accounting data'!K2:K65536,"681*"))+SUM(SUMIFS('Accounting data'!G2:G65536,'Accounting data'!H2:H65536,"1310-1399-C*",'Accounting data'!I2:I65536,{"1*","2*","3*","4*","5*","6*"},'Accounting data'!J2:J65536,"22*",'Accounting data'!K2:K65536,"681*"))+SUM(SUMIFS('Accounting data'!G2:G65536,'Accounting data'!H2:H65536,"1227*",'Accounting data'!I2:I65536,{"1*","2*","3*","4*","5*","6*"},'Accounting data'!J2:J65536,"21*",'Accounting data'!K2:K65536,"681*"))+SUM(SUMIFS('Accounting data'!G2:G65536,'Accounting data'!H2:H65536,"1227*",'Accounting data'!I2:I65536,{"1*","2*","3*","4*","5*","6*"},'Accounting data'!J2:J65536,"22*",'Accounting data'!K2:K65536,"681*"))+SUM(SUMIFS('Accounting data'!G2:G65536,'Accounting data'!H2:H65536,"1228*",'Accounting data'!I2:I65536,{"1*","2*","3*","4*","5*","6*"},'Accounting data'!J2:J65536,"21*",'Accounting data'!K2:K65536,"681*"))+SUM(SUMIFS('Accounting data'!G2:G65536,'Accounting data'!H2:H65536,"1228*",'Accounting data'!I2:I65536,{"1*","2*","3*","4*","5*","6*"},'Accounting data'!J2:J65536,"22*",'Accounting data'!K2:K65536,"681*"))</f>
        <v>0</v>
      </c>
      <c r="I11" s="352"/>
      <c r="J11" s="351">
        <f t="array" ref="J11">SUM(SUMIFS('Accounting data'!G2:G65536,'Accounting data'!H2:H65536,"1310-1399-C*",'Accounting data'!I2:I65536,{"1*","2*","3*","4*","5*","6*"},'Accounting data'!J2:J65536,"21*",'Accounting data'!K2:K65536,"689*"))+SUM(SUMIFS('Accounting data'!G2:G65536,'Accounting data'!H2:H65536,"1310-1399-C*",'Accounting data'!I2:I65536,{"1*","2*","3*","4*","5*","6*"},'Accounting data'!J2:J65536,"22*",'Accounting data'!K2:K65536,"689*"))+SUM(SUMIFS('Accounting data'!G2:G65536,'Accounting data'!H2:H65536,"1227*",'Accounting data'!I2:I65536,{"1*","2*","3*","4*","5*","6*"},'Accounting data'!J2:J65536,"21*",'Accounting data'!K2:K65536,"689*"))+SUM(SUMIFS('Accounting data'!G2:G65536,'Accounting data'!H2:H65536,"1227*",'Accounting data'!I2:I65536,{"1*","2*","3*","4*","5*","6*"},'Accounting data'!J2:J65536,"22*",'Accounting data'!K2:K65536,"689*"))+SUM(SUMIFS('Accounting data'!G2:G65536,'Accounting data'!H2:H65536,"1228*",'Accounting data'!I2:I65536,{"1*","2*","3*","4*","5*","6*"},'Accounting data'!J2:J65536,"21*",'Accounting data'!K2:K65536,"689*"))+SUM(SUMIFS('Accounting data'!G2:G65536,'Accounting data'!H2:H65536,"1228*",'Accounting data'!I2:I65536,{"1*","2*","3*","4*","5*","6*"},'Accounting data'!J2:J65536,"22*",'Accounting data'!K2:K65536,"689*"))</f>
        <v>0</v>
      </c>
      <c r="K11" s="351">
        <f t="array" ref="K11">SUM(SUMIFS('Accounting data'!G2:G65536,'Accounting data'!H2:H65536,"1310-1399-C*",'Accounting data'!I2:I65536,{"1*","2*","3*","4*","5*","6*"},'Accounting data'!J2:J65536,"21*",'Accounting data'!K2:K65536,"683*"))+SUM(SUMIFS('Accounting data'!G2:G65536,'Accounting data'!H2:H65536,"1310-1399-C*",'Accounting data'!I2:I65536,{"1*","2*","3*","4*","5*","6*"},'Accounting data'!J2:J65536,"22*",'Accounting data'!K2:K65536,"683*"))+SUM(SUMIFS('Accounting data'!G2:G65536,'Accounting data'!H2:H65536,"1227*",'Accounting data'!I2:I65536,{"1*","2*","3*","4*","5*","6*"},'Accounting data'!J2:J65536,"21*",'Accounting data'!K2:K65536,"683*"))+SUM(SUMIFS('Accounting data'!G2:G65536,'Accounting data'!H2:H65536,"1227*",'Accounting data'!I2:I65536,{"1*","2*","3*","4*","5*","6*"},'Accounting data'!J2:J65536,"22*",'Accounting data'!K2:K65536,"683*"))+SUM(SUMIFS('Accounting data'!G2:G65536,'Accounting data'!H2:H65536,"1228*",'Accounting data'!I2:I65536,{"1*","2*","3*","4*","5*","6*"},'Accounting data'!J2:J65536,"21*",'Accounting data'!K2:K65536,"683*"))+SUM(SUMIFS('Accounting data'!G2:G65536,'Accounting data'!H2:H65536,"1228*",'Accounting data'!I2:I65536,{"1*","2*","3*","4*","5*","6*"},'Accounting data'!J2:J65536,"22*",'Accounting data'!K2:K65536,"683*"))</f>
        <v>0</v>
      </c>
      <c r="L11" s="34">
        <v>0</v>
      </c>
      <c r="M11" s="351">
        <f t="array" ref="M11">(SUM(SUMIFS('Accounting data'!G2:G65536,'Accounting data'!H2:H65536,"1310-1399-C*",'Accounting data'!I2:I65536,{"7*","8*","9*"},'Accounting data'!J2:J65536,"21*",'Accounting data'!K2:K65536,"6*"))+SUM(SUMIFS('Accounting data'!G2:G65536,'Accounting data'!H2:H65536,"1310-1399-C*",'Accounting data'!I2:I65536,{"7*","8*","9*"},'Accounting data'!J2:J65536,"22*",'Accounting data'!K2:K65536,"6*")))-(SUM(SUMIFS('Accounting data'!G2:G65536,'Accounting data'!H2:H65536,"1310-1399-C*",'Accounting data'!I2:I65536,{"7*","8*","9*"},'Accounting data'!J2:J65536,"21*",'Accounting data'!K2:K65536,"69*"))+SUM(SUMIFS('Accounting data'!G2:G65536,'Accounting data'!H2:H65536,"1310-1399-C*",'Accounting data'!I2:I65536,{"7*","8*","9*"},'Accounting data'!J2:J65536,"22*",'Accounting data'!K2:K65536,"69*")))+(SUM(SUMIFS('Accounting data'!G2:G65536,'Accounting data'!H2:H65536,"1227*",'Accounting data'!I2:I65536,{"7*","8*","9*"},'Accounting data'!J2:J65536,"21*",'Accounting data'!K2:K65536,"6*"))+SUM(SUMIFS('Accounting data'!G2:G65536,'Accounting data'!H2:H65536,"1227*",'Accounting data'!I2:I65536,{"7*","8*","9*"},'Accounting data'!J2:J65536,"22*",'Accounting data'!K2:K65536,"6*")))-(SUM(SUMIFS('Accounting data'!G2:G65536,'Accounting data'!H2:H65536,"1227*",'Accounting data'!I2:I65536,{"7*","8*","9*"},'Accounting data'!J2:J65536,"21*",'Accounting data'!K2:K65536,"69*"))+SUM(SUMIFS('Accounting data'!G2:G65536,'Accounting data'!H2:H65536,"1227*",'Accounting data'!I2:I65536,{"7*","8*","9*"},'Accounting data'!J2:J65536,"22*",'Accounting data'!K2:K65536,"69*")))+(SUM(SUMIFS('Accounting data'!G2:G65536,'Accounting data'!H2:H65536,"1228*",'Accounting data'!I2:I65536,{"7*","8*","9*"},'Accounting data'!J2:J65536,"21*",'Accounting data'!K2:K65536,"6*"))+SUM(SUMIFS('Accounting data'!G2:G65536,'Accounting data'!H2:H65536,"1228*",'Accounting data'!I2:I65536,{"7*","8*","9*"},'Accounting data'!J2:J65536,"22*",'Accounting data'!K2:K65536,"6*")))-(SUM(SUMIFS('Accounting data'!G2:G65536,'Accounting data'!H2:H65536,"1228*",'Accounting data'!I2:I65536,{"7*","8*","9*"},'Accounting data'!J2:J65536,"21*",'Accounting data'!K2:K65536,"69*"))+SUM(SUMIFS('Accounting data'!G2:G65536,'Accounting data'!H2:H65536,"1228*",'Accounting data'!I2:I65536,{"7*","8*","9*"},'Accounting data'!J2:J65536,"22*",'Accounting data'!K2:K65536,"69*")))</f>
        <v>0</v>
      </c>
      <c r="N11" s="353">
        <f t="shared" si="0"/>
        <v>1428</v>
      </c>
      <c r="O11" s="354"/>
    </row>
    <row r="12" spans="1:27" x14ac:dyDescent="0.25">
      <c r="A12" s="355" t="s">
        <v>427</v>
      </c>
      <c r="B12" s="583"/>
      <c r="C12" s="356" t="s">
        <v>28</v>
      </c>
      <c r="D12" s="351">
        <f t="array" ref="D12">SUM(SUMIFS('Accounting data'!G2:G65536,'Accounting data'!H2:H65536,"1310-1399-C*",'Accounting data'!I2:I65536,{"1*","2*","3*","4*","5*","6*"},'Accounting data'!J2:J65536,"23*",'Accounting data'!K2:K65536,"61*"))+SUM(SUMIFS('Accounting data'!G2:G65536,'Accounting data'!H2:H65536,"1310-1399-C*",'Accounting data'!I2:I65536,{"1*","2*","3*","4*","5*","6*"},'Accounting data'!J2:J65536,"25*",'Accounting data'!K2:K65536,"61*"))+SUM(SUMIFS('Accounting data'!G2:G65536,'Accounting data'!H2:H65536,"1310-1399-C*",'Accounting data'!I2:I65536,{"1*","2*","3*","4*","5*","6*"},'Accounting data'!J2:J65536,"29*",'Accounting data'!K2:K65536,"61*"))+SUM(SUMIFS('Accounting data'!G2:G65536,'Accounting data'!H2:H65536,"1227*",'Accounting data'!I2:I65536,{"1*","2*","3*","4*","5*","6*"},'Accounting data'!J2:J65536,"23*",'Accounting data'!K2:K65536,"61*"))+SUM(SUMIFS('Accounting data'!G2:G65536,'Accounting data'!H2:H65536,"1227*",'Accounting data'!I2:I65536,{"1*","2*","3*","4*","5*","6*"},'Accounting data'!J2:J65536,"25*",'Accounting data'!K2:K65536,"61*"))+SUM(SUMIFS('Accounting data'!G2:G65536,'Accounting data'!H2:H65536,"1227*",'Accounting data'!I2:I65536,{"1*","2*","3*","4*","5*","6*"},'Accounting data'!J2:J65536,"29*",'Accounting data'!K2:K65536,"61*"))+SUM(SUMIFS('Accounting data'!G2:G65536,'Accounting data'!H2:H65536,"1228*",'Accounting data'!I2:I65536,{"1*","2*","3*","4*","5*","6*"},'Accounting data'!J2:J65536,"23*",'Accounting data'!K2:K65536,"61*"))+SUM(SUMIFS('Accounting data'!G2:G65536,'Accounting data'!H2:H65536,"1228*",'Accounting data'!I2:I65536,{"1*","2*","3*","4*","5*","6*"},'Accounting data'!J2:J65536,"25*",'Accounting data'!K2:K65536,"61*"))+SUM(SUMIFS('Accounting data'!G2:G65536,'Accounting data'!H2:H65536,"1228*",'Accounting data'!I2:I65536,{"1*","2*","3*","4*","5*","6*"},'Accounting data'!J2:J65536,"29*",'Accounting data'!K2:K65536,"61*"))</f>
        <v>0</v>
      </c>
      <c r="E12" s="351">
        <f t="array" ref="E12">SUM(SUMIFS('Accounting data'!G2:G65536,'Accounting data'!H2:H65536,"1310-1399-C*",'Accounting data'!I2:I65536,{"1*","2*","3*","4*","5*","6*"},'Accounting data'!J2:J65536,"23*",'Accounting data'!K2:K65536,"62*"))+SUM(SUMIFS('Accounting data'!G2:G65536,'Accounting data'!H2:H65536,"1310-1399-C*",'Accounting data'!I2:I65536,{"1*","2*","3*","4*","5*","6*"},'Accounting data'!J2:J65536,"25*",'Accounting data'!K2:K65536,"62*"))+SUM(SUMIFS('Accounting data'!G2:G65536,'Accounting data'!H2:H65536,"1310-1399-C*",'Accounting data'!I2:I65536,{"1*","2*","3*","4*","5*","6*"},'Accounting data'!J2:J65536,"29*",'Accounting data'!K2:K65536,"62*"))+SUM(SUMIFS('Accounting data'!G2:G65536,'Accounting data'!H2:H65536,"1227*",'Accounting data'!I2:I65536,{"1*","2*","3*","4*","5*","6*"},'Accounting data'!J2:J65536,"23*",'Accounting data'!K2:K65536,"62*"))+SUM(SUMIFS('Accounting data'!G2:G65536,'Accounting data'!H2:H65536,"1227*",'Accounting data'!I2:I65536,{"1*","2*","3*","4*","5*","6*"},'Accounting data'!J2:J65536,"25*",'Accounting data'!K2:K65536,"62*"))+SUM(SUMIFS('Accounting data'!G2:G65536,'Accounting data'!H2:H65536,"1227*",'Accounting data'!I2:I65536,{"1*","2*","3*","4*","5*","6*"},'Accounting data'!J2:J65536,"29*",'Accounting data'!K2:K65536,"62*"))+SUM(SUMIFS('Accounting data'!G2:G65536,'Accounting data'!H2:H65536,"1228*",'Accounting data'!I2:I65536,{"1*","2*","3*","4*","5*","6*"},'Accounting data'!J2:J65536,"23*",'Accounting data'!K2:K65536,"62*"))+SUM(SUMIFS('Accounting data'!G2:G65536,'Accounting data'!H2:H65536,"1228*",'Accounting data'!I2:I65536,{"1*","2*","3*","4*","5*","6*"},'Accounting data'!J2:J65536,"25*",'Accounting data'!K2:K65536,"62*"))+SUM(SUMIFS('Accounting data'!G2:G65536,'Accounting data'!H2:H65536,"1228*",'Accounting data'!I2:I65536,{"1*","2*","3*","4*","5*","6*"},'Accounting data'!J2:J65536,"29*",'Accounting data'!K2:K65536,"62*"))</f>
        <v>0</v>
      </c>
      <c r="F12" s="351">
        <f t="array" ref="F12">SUM(SUMIFS('Accounting data'!G2:G65536,'Accounting data'!H2:H65536,"1310-1399-C*",'Accounting data'!I2:I65536,{"1*","2*","3*","4*","5*","6*"},'Accounting data'!J2:J65536,"23*",'Accounting data'!K2:K65536,"63*"))+SUM(SUMIFS('Accounting data'!G2:G65536,'Accounting data'!H2:H65536,"1310-1399-C*",'Accounting data'!I2:I65536,{"1*","2*","3*","4*","5*","6*"},'Accounting data'!J2:J65536,"25*",'Accounting data'!K2:K65536,"63*"))+SUM(SUMIFS('Accounting data'!G2:G65536,'Accounting data'!H2:H65536,"1310-1399-C*",'Accounting data'!I2:I65536,{"1*","2*","3*","4*","5*","6*"},'Accounting data'!J2:J65536,"29*",'Accounting data'!K2:K65536,"63*"))+SUM(SUMIFS('Accounting data'!G2:G65536,'Accounting data'!H2:H65536,"1227*",'Accounting data'!I2:I65536,{"1*","2*","3*","4*","5*","6*"},'Accounting data'!J2:J65536,"23*",'Accounting data'!K2:K65536,"63*"))+SUM(SUMIFS('Accounting data'!G2:G65536,'Accounting data'!H2:H65536,"1227*",'Accounting data'!I2:I65536,{"1*","2*","3*","4*","5*","6*"},'Accounting data'!J2:J65536,"25*",'Accounting data'!K2:K65536,"63*"))+SUM(SUMIFS('Accounting data'!G2:G65536,'Accounting data'!H2:H65536,"1227*",'Accounting data'!I2:I65536,{"1*","2*","3*","4*","5*","6*"},'Accounting data'!J2:J65536,"29*",'Accounting data'!K2:K65536,"63*"))+SUM(SUMIFS('Accounting data'!G2:G65536,'Accounting data'!H2:H65536,"1228*",'Accounting data'!I2:I65536,{"1*","2*","3*","4*","5*","6*"},'Accounting data'!J2:J65536,"23*",'Accounting data'!K2:K65536,"63*"))+SUM(SUMIFS('Accounting data'!G2:G65536,'Accounting data'!H2:H65536,"1228*",'Accounting data'!I2:I65536,{"1*","2*","3*","4*","5*","6*"},'Accounting data'!J2:J65536,"25*",'Accounting data'!K2:K65536,"63*"))+SUM(SUMIFS('Accounting data'!G2:G65536,'Accounting data'!H2:H65536,"1228*",'Accounting data'!I2:I65536,{"1*","2*","3*","4*","5*","6*"},'Accounting data'!J2:J65536,"29*",'Accounting data'!K2:K65536,"63*"))</f>
        <v>0</v>
      </c>
      <c r="G12" s="351">
        <f t="array" ref="G12">SUM(SUMIFS('Accounting data'!G2:G65536,'Accounting data'!H2:H65536,"1310-1399-C*",'Accounting data'!I2:I65536,{"1*","2*","3*","4*","5*","6*"},'Accounting data'!J2:J65536,"23*",'Accounting data'!K2:K65536,"66*"))+SUM(SUMIFS('Accounting data'!G2:G65536,'Accounting data'!H2:H65536,"1310-1399-C*",'Accounting data'!I2:I65536,{"1*","2*","3*","4*","5*","6*"},'Accounting data'!J2:J65536,"25*",'Accounting data'!K2:K65536,"66*"))+SUM(SUMIFS('Accounting data'!G2:G65536,'Accounting data'!H2:H65536,"1310-1399-C*",'Accounting data'!I2:I65536,{"1*","2*","3*","4*","5*","6*"},'Accounting data'!J2:J65536,"29*",'Accounting data'!K2:K65536,"66*"))+SUM(SUMIFS('Accounting data'!G2:G65536,'Accounting data'!H2:H65536,"1227*",'Accounting data'!I2:I65536,{"1*","2*","3*","4*","5*","6*"},'Accounting data'!J2:J65536,"23*",'Accounting data'!K2:K65536,"66*"))+SUM(SUMIFS('Accounting data'!G2:G65536,'Accounting data'!H2:H65536,"1227*",'Accounting data'!I2:I65536,{"1*","2*","3*","4*","5*","6*"},'Accounting data'!J2:J65536,"25*",'Accounting data'!K2:K65536,"66*"))+SUM(SUMIFS('Accounting data'!G2:G65536,'Accounting data'!H2:H65536,"1227*",'Accounting data'!I2:I65536,{"1*","2*","3*","4*","5*","6*"},'Accounting data'!J2:J65536,"29*",'Accounting data'!K2:K65536,"66*"))+SUM(SUMIFS('Accounting data'!G2:G65536,'Accounting data'!H2:H65536,"1228*",'Accounting data'!I2:I65536,{"1*","2*","3*","4*","5*","6*"},'Accounting data'!J2:J65536,"23*",'Accounting data'!K2:K65536,"66*"))+SUM(SUMIFS('Accounting data'!G2:G65536,'Accounting data'!H2:H65536,"1228*",'Accounting data'!I2:I65536,{"1*","2*","3*","4*","5*","6*"},'Accounting data'!J2:J65536,"25*",'Accounting data'!K2:K65536,"66*"))+SUM(SUMIFS('Accounting data'!G2:G65536,'Accounting data'!H2:H65536,"1228*",'Accounting data'!I2:I65536,{"1*","2*","3*","4*","5*","6*"},'Accounting data'!J2:J65536,"29*",'Accounting data'!K2:K65536,"66*"))</f>
        <v>0</v>
      </c>
      <c r="H12" s="351">
        <f t="array" ref="H12">SUM(SUMIFS('Accounting data'!G2:G65536,'Accounting data'!H2:H65536,"1310-1399-C*",'Accounting data'!I2:I65536,{"1*","2*","3*","4*","5*","6*"},'Accounting data'!J2:J65536,"23*",'Accounting data'!K2:K65536,"681*"))+SUM(SUMIFS('Accounting data'!G2:G65536,'Accounting data'!H2:H65536,"1310-1399-C*",'Accounting data'!I2:I65536,{"1*","2*","3*","4*","5*","6*"},'Accounting data'!J2:J65536,"25*",'Accounting data'!K2:K65536,"681*"))+SUM(SUMIFS('Accounting data'!G2:G65536,'Accounting data'!H2:H65536,"1310-1399-C*",'Accounting data'!I2:I65536,{"1*","2*","3*","4*","5*","6*"},'Accounting data'!J2:J65536,"29*",'Accounting data'!K2:K65536,"681*"))+SUM(SUMIFS('Accounting data'!G2:G65536,'Accounting data'!H2:H65536,"1227*",'Accounting data'!I2:I65536,{"1*","2*","3*","4*","5*","6*"},'Accounting data'!J2:J65536,"23*",'Accounting data'!K2:K65536,"681*"))+SUM(SUMIFS('Accounting data'!G2:G65536,'Accounting data'!H2:H65536,"1227*",'Accounting data'!I2:I65536,{"1*","2*","3*","4*","5*","6*"},'Accounting data'!J2:J65536,"25*",'Accounting data'!K2:K65536,"681*"))+SUM(SUMIFS('Accounting data'!G2:G65536,'Accounting data'!H2:H65536,"1227*",'Accounting data'!I2:I65536,{"1*","2*","3*","4*","5*","6*"},'Accounting data'!J2:J65536,"29*",'Accounting data'!K2:K65536,"681*"))+SUM(SUMIFS('Accounting data'!G2:G65536,'Accounting data'!H2:H65536,"1228*",'Accounting data'!I2:I65536,{"1*","2*","3*","4*","5*","6*"},'Accounting data'!J2:J65536,"23*",'Accounting data'!K2:K65536,"681*"))+SUM(SUMIFS('Accounting data'!G2:G65536,'Accounting data'!H2:H65536,"1228*",'Accounting data'!I2:I65536,{"1*","2*","3*","4*","5*","6*"},'Accounting data'!J2:J65536,"25*",'Accounting data'!K2:K65536,"681*"))+SUM(SUMIFS('Accounting data'!G2:G65536,'Accounting data'!H2:H65536,"1228*",'Accounting data'!I2:I65536,{"1*","2*","3*","4*","5*","6*"},'Accounting data'!J2:J65536,"29*",'Accounting data'!K2:K65536,"681*"))</f>
        <v>0</v>
      </c>
      <c r="I12" s="351">
        <f t="array" ref="I12">SUM(SUMIFS('Accounting data'!G2:G65536,'Accounting data'!H2:H65536,"1310-1399-C*",'Accounting data'!I2:I65536,{"1*","2*","3*","4*","5*","6*"},'Accounting data'!J2:J65536,"23*",'Accounting data'!K2:K65536,"682*"))+SUM(SUMIFS('Accounting data'!G2:G65536,'Accounting data'!H2:H65536,"1310-1399-C*",'Accounting data'!I2:I65536,{"1*","2*","3*","4*","5*","6*"},'Accounting data'!J2:J65536,"25*",'Accounting data'!K2:K65536,"682*"))+SUM(SUMIFS('Accounting data'!G2:G65536,'Accounting data'!H2:H65536,"1310-1399-C*",'Accounting data'!I2:I65536,{"1*","2*","3*","4*","5*","6*"},'Accounting data'!J2:J65536,"29*",'Accounting data'!K2:K65536,"682*"))+SUM(SUMIFS('Accounting data'!G2:G65536,'Accounting data'!H2:H65536,"1227*",'Accounting data'!I2:I65536,{"1*","2*","3*","4*","5*","6*"},'Accounting data'!J2:J65536,"23*",'Accounting data'!K2:K65536,"682*"))+SUM(SUMIFS('Accounting data'!G2:G65536,'Accounting data'!H2:H65536,"1227*",'Accounting data'!I2:I65536,{"1*","2*","3*","4*","5*","6*"},'Accounting data'!J2:J65536,"25*",'Accounting data'!K2:K65536,"682*"))+SUM(SUMIFS('Accounting data'!G2:G65536,'Accounting data'!H2:H65536,"1227*",'Accounting data'!I2:I65536,{"1*","2*","3*","4*","5*","6*"},'Accounting data'!J2:J65536,"29*",'Accounting data'!K2:K65536,"682*"))+SUM(SUMIFS('Accounting data'!G2:G65536,'Accounting data'!H2:H65536,"1228*",'Accounting data'!I2:I65536,{"1*","2*","3*","4*","5*","6*"},'Accounting data'!J2:J65536,"23*",'Accounting data'!K2:K65536,"682*"))+SUM(SUMIFS('Accounting data'!G2:G65536,'Accounting data'!H2:H65536,"1228*",'Accounting data'!I2:I65536,{"1*","2*","3*","4*","5*","6*"},'Accounting data'!J2:J65536,"25*",'Accounting data'!K2:K65536,"682*"))+SUM(SUMIFS('Accounting data'!G2:G65536,'Accounting data'!H2:H65536,"1228*",'Accounting data'!I2:I65536,{"1*","2*","3*","4*","5*","6*"},'Accounting data'!J2:J65536,"29*",'Accounting data'!K2:K65536,"682*"))</f>
        <v>0</v>
      </c>
      <c r="J12" s="351">
        <f t="array" ref="J12">SUM(SUMIFS('Accounting data'!G2:G65536,'Accounting data'!H2:H65536,"1310-1399-C*",'Accounting data'!I2:I65536,{"1*","2*","3*","4*","5*","6*"},'Accounting data'!J2:J65536,"23*",'Accounting data'!K2:K65536,"689*"))+SUM(SUMIFS('Accounting data'!G2:G65536,'Accounting data'!H2:H65536,"1310-1399-C*",'Accounting data'!I2:I65536,{"1*","2*","3*","4*","5*","6*"},'Accounting data'!J2:J65536,"25*",'Accounting data'!K2:K65536,"689*"))+SUM(SUMIFS('Accounting data'!G2:G65536,'Accounting data'!H2:H65536,"1310-1399-C*",'Accounting data'!I2:I65536,{"1*","2*","3*","4*","5*","6*"},'Accounting data'!J2:J65536,"29*",'Accounting data'!K2:K65536,"689*"))+SUM(SUMIFS('Accounting data'!G2:G65536,'Accounting data'!H2:H65536,"1227*",'Accounting data'!I2:I65536,{"1*","2*","3*","4*","5*","6*"},'Accounting data'!J2:J65536,"23*",'Accounting data'!K2:K65536,"689*"))+SUM(SUMIFS('Accounting data'!G2:G65536,'Accounting data'!H2:H65536,"1227*",'Accounting data'!I2:I65536,{"1*","2*","3*","4*","5*","6*"},'Accounting data'!J2:J65536,"25*",'Accounting data'!K2:K65536,"689*"))+SUM(SUMIFS('Accounting data'!G2:G65536,'Accounting data'!H2:H65536,"1227*",'Accounting data'!I2:I65536,{"1*","2*","3*","4*","5*","6*"},'Accounting data'!J2:J65536,"29*",'Accounting data'!K2:K65536,"689*"))+SUM(SUMIFS('Accounting data'!G2:G65536,'Accounting data'!H2:H65536,"1228*",'Accounting data'!I2:I65536,{"1*","2*","3*","4*","5*","6*"},'Accounting data'!J2:J65536,"23*",'Accounting data'!K2:K65536,"689*"))+SUM(SUMIFS('Accounting data'!G2:G65536,'Accounting data'!H2:H65536,"1228*",'Accounting data'!I2:I65536,{"1*","2*","3*","4*","5*","6*"},'Accounting data'!J2:J65536,"25*",'Accounting data'!K2:K65536,"689*"))+SUM(SUMIFS('Accounting data'!G2:G65536,'Accounting data'!H2:H65536,"1228*",'Accounting data'!I2:I65536,{"1*","2*","3*","4*","5*","6*"},'Accounting data'!J2:J65536,"29*",'Accounting data'!K2:K65536,"689*"))</f>
        <v>0</v>
      </c>
      <c r="K12" s="351">
        <f t="array" ref="K12">SUM(SUMIFS('Accounting data'!G2:G65536,'Accounting data'!H2:H65536,"1310-1399-C*",'Accounting data'!I2:I65536,{"1*","2*","3*","4*","5*","6*"},'Accounting data'!J2:J65536,"23*",'Accounting data'!K2:K65536,"683*"))+SUM(SUMIFS('Accounting data'!G2:G65536,'Accounting data'!H2:H65536,"1310-1399-C*",'Accounting data'!I2:I65536,{"1*","2*","3*","4*","5*","6*"},'Accounting data'!J2:J65536,"25*",'Accounting data'!K2:K65536,"683*"))+SUM(SUMIFS('Accounting data'!G2:G65536,'Accounting data'!H2:H65536,"1310-1399-C*",'Accounting data'!I2:I65536,{"1*","2*","3*","4*","5*","6*"},'Accounting data'!J2:J65536,"29*",'Accounting data'!K2:K65536,"683*"))+SUM(SUMIFS('Accounting data'!G2:G65536,'Accounting data'!H2:H65536,"1227*",'Accounting data'!I2:I65536,{"1*","2*","3*","4*","5*","6*"},'Accounting data'!J2:J65536,"23*",'Accounting data'!K2:K65536,"683*"))+SUM(SUMIFS('Accounting data'!G2:G65536,'Accounting data'!H2:H65536,"1227*",'Accounting data'!I2:I65536,{"1*","2*","3*","4*","5*","6*"},'Accounting data'!J2:J65536,"25*",'Accounting data'!K2:K65536,"683*"))+SUM(SUMIFS('Accounting data'!G2:G65536,'Accounting data'!H2:H65536,"1227*",'Accounting data'!I2:I65536,{"1*","2*","3*","4*","5*","6*"},'Accounting data'!J2:J65536,"29*",'Accounting data'!K2:K65536,"683*"))+SUM(SUMIFS('Accounting data'!G2:G65536,'Accounting data'!H2:H65536,"1228*",'Accounting data'!I2:I65536,{"1*","2*","3*","4*","5*","6*"},'Accounting data'!J2:J65536,"23*",'Accounting data'!K2:K65536,"683*"))+SUM(SUMIFS('Accounting data'!G2:G65536,'Accounting data'!H2:H65536,"1228*",'Accounting data'!I2:I65536,{"1*","2*","3*","4*","5*","6*"},'Accounting data'!J2:J65536,"25*",'Accounting data'!K2:K65536,"683*"))+SUM(SUMIFS('Accounting data'!G2:G65536,'Accounting data'!H2:H65536,"1228*",'Accounting data'!I2:I65536,{"1*","2*","3*","4*","5*","6*"},'Accounting data'!J2:J65536,"29*",'Accounting data'!K2:K65536,"683*"))</f>
        <v>0</v>
      </c>
      <c r="L12" s="34">
        <v>0</v>
      </c>
      <c r="M12" s="357" cm="1">
        <f t="array" ref="M12">(SUM(SUMIFS('Accounting data'!G2:G65536,'Accounting data'!H2:H65536,"1310-1399-C*",'Accounting data'!I2:I65536,{"7*","8*","9*"},'Accounting data'!J2:J65536,"23*",'Accounting data'!K2:K65536,"6*"))+SUM(SUMIFS('Accounting data'!G2:G65536,'Accounting data'!H2:H65536,"1310-1399-C*",'Accounting data'!I2:I65536,{"7*","8*","9*"},'Accounting data'!J2:J65536,"25*",'Accounting data'!K2:K65536,"6*"))+SUM(SUMIFS('Accounting data'!G2:G65536,'Accounting data'!H2:H65536,"1310-1399-C*",'Accounting data'!I2:I65536,{"7*","8*","9*"},'Accounting data'!J2:J65536,"29*",'Accounting data'!K2:K65536,"6*")))-(SUM(SUMIFS('Accounting data'!G2:G65536,'Accounting data'!H2:H65536,"1310-1399-C*",'Accounting data'!I2:I65536,{"7*","8*","9*"},'Accounting data'!J2:J65536,"23*",'Accounting data'!K2:K65536,"69*"))+SUM(SUMIFS('Accounting data'!G2:G65536,'Accounting data'!H2:H65536,"1310-1399-C*",'Accounting data'!I2:I65536,{"7*","8*","9*"},'Accounting data'!J2:J65536,"25*",'Accounting data'!K2:K65536,"69*"))+SUM(SUMIFS('Accounting data'!G2:G65536,'Accounting data'!H2:H65536,"1310-1399-C*",'Accounting data'!I2:I65536,{"7*","8*","9*"},'Accounting data'!J2:J65536,"29*",'Accounting data'!K2:K65536,"69*")))+(SUM(SUMIFS('Accounting data'!G2:G65536,'Accounting data'!H2:H65536,"1227*",'Accounting data'!I2:I65536,{"7*","8*","9*"},'Accounting data'!J2:J65536,"23*",'Accounting data'!K2:K65536,"6*"))+SUM(SUMIFS('Accounting data'!G2:G65536,'Accounting data'!H2:H65536,"1227*",'Accounting data'!I2:I65536,{"7*","8*","9*"},'Accounting data'!J2:J65536,"25*",'Accounting data'!K2:K65536,"6*"))+SUM(SUMIFS('Accounting data'!G2:G65536,'Accounting data'!H2:H65536,"1227*",'Accounting data'!I2:I65536,{"7*","8*","9*"},'Accounting data'!J2:J65536,"29*",'Accounting data'!K2:K65536,"6*")))-(SUM(SUMIFS('Accounting data'!G2:G65536,'Accounting data'!H2:H65536,"1227*",'Accounting data'!I2:I65536,{"7*","8*","9*"},'Accounting data'!J2:J65536,"23*",'Accounting data'!K2:K65536,"69*"))+SUM(SUMIFS('Accounting data'!G2:G65536,'Accounting data'!H2:H65536,"1227*",'Accounting data'!I2:I65536,{"7*","8*","9*"},'Accounting data'!J2:J65536,"25*",'Accounting data'!K2:K65536,"69*"))+SUM(SUMIFS('Accounting data'!G2:G65536,'Accounting data'!H2:H65536,"1227*",'Accounting data'!I2:I65536,{"7*","8*","9*"},'Accounting data'!J2:J65536,"29*",'Accounting data'!K2:K65536,"69*")))+AA12</f>
        <v>0</v>
      </c>
      <c r="N12" s="353">
        <f t="shared" si="0"/>
        <v>0</v>
      </c>
      <c r="O12" s="354"/>
      <c r="AA12" s="358">
        <f t="array" ref="AA12">(SUM(SUMIFS('Accounting data'!G2:G65536,'Accounting data'!H2:H65536,"1228*",'Accounting data'!I2:I65536,{"7*","8*","9*"},'Accounting data'!J2:J65536,"23*",'Accounting data'!K2:K65536,"6*"))+SUM(SUMIFS('Accounting data'!G2:G65536,'Accounting data'!H2:H65536,"1228*",'Accounting data'!I2:I65536,{"7*","8*","9*"},'Accounting data'!J2:J65536,"25*",'Accounting data'!K2:K65536,"6*"))+SUM(SUMIFS('Accounting data'!G2:G65536,'Accounting data'!H2:H65536,"1228*",'Accounting data'!I2:I65536,{"7*","8*","9*"},'Accounting data'!J2:J65536,"29*",'Accounting data'!K2:K65536,"6*")))-(SUM(SUMIFS('Accounting data'!G2:G65536,'Accounting data'!H2:H65536,"1228*",'Accounting data'!I2:I65536,{"7*","8*","9*"},'Accounting data'!J2:J65536,"23*",'Accounting data'!K2:K65536,"69*"))+SUM(SUMIFS('Accounting data'!G2:G65536,'Accounting data'!H2:H65536,"1228*",'Accounting data'!I2:I65536,{"7*","8*","9*"},'Accounting data'!J2:J65536,"25*",'Accounting data'!K2:K65536,"69*"))+SUM(SUMIFS('Accounting data'!G2:G65536,'Accounting data'!H2:H65536,"1228*",'Accounting data'!I2:I65536,{"7*","8*","9*"},'Accounting data'!J2:J65536,"29*",'Accounting data'!K2:K65536,"69*")))</f>
        <v>0</v>
      </c>
    </row>
    <row r="13" spans="1:27" x14ac:dyDescent="0.25">
      <c r="A13" s="359" t="s">
        <v>202</v>
      </c>
      <c r="B13" s="360"/>
      <c r="C13" s="361" t="s">
        <v>31</v>
      </c>
      <c r="D13" s="351">
        <f t="array" ref="D13">SUM(SUMIFS('Accounting data'!G2:G65536,'Accounting data'!H2:H65536,"1310-1399-C*",'Accounting data'!I2:I65536,{"1*","2*","3*","4*","5*","6*"},'Accounting data'!J2:J65536,"24*",'Accounting data'!K2:K65536,"61*"))+SUM(SUMIFS('Accounting data'!G2:G65536,'Accounting data'!H2:H65536,"1227*",'Accounting data'!I2:I65536,{"1*","2*","3*","4*","5*","6*"},'Accounting data'!J2:J65536,"24*",'Accounting data'!K2:K65536,"61*"))+SUM(SUMIFS('Accounting data'!G2:G65536,'Accounting data'!H2:H65536,"1228*",'Accounting data'!I2:I65536,{"1*","2*","3*","4*","5*","6*"},'Accounting data'!J2:J65536,"24*",'Accounting data'!K2:K65536,"61*"))</f>
        <v>0</v>
      </c>
      <c r="E13" s="351">
        <f t="array" ref="E13">SUM(SUMIFS('Accounting data'!G2:G65536,'Accounting data'!H2:H65536,"1310-1399-C*",'Accounting data'!I2:I65536,{"1*","2*","3*","4*","5*","6*"},'Accounting data'!J2:J65536,"24*",'Accounting data'!K2:K65536,"62*"))+SUM(SUMIFS('Accounting data'!G2:G65536,'Accounting data'!H2:H65536,"1227*",'Accounting data'!I2:I65536,{"1*","2*","3*","4*","5*","6*"},'Accounting data'!J2:J65536,"24*",'Accounting data'!K2:K65536,"62*"))+SUM(SUMIFS('Accounting data'!G2:G65536,'Accounting data'!H2:H65536,"1228*",'Accounting data'!I2:I65536,{"1*","2*","3*","4*","5*","6*"},'Accounting data'!J2:J65536,"24*",'Accounting data'!K2:K65536,"62*"))</f>
        <v>0</v>
      </c>
      <c r="F13" s="351">
        <f t="array" ref="F13">SUM(SUMIFS('Accounting data'!G2:G65536,'Accounting data'!H2:H65536,"1310-1399-C*",'Accounting data'!I2:I65536,{"1*","2*","3*","4*","5*","6*"},'Accounting data'!J2:J65536,"24*",'Accounting data'!K2:K65536,"63*"))+SUM(SUMIFS('Accounting data'!G2:G65536,'Accounting data'!H2:H65536,"1227*",'Accounting data'!I2:I65536,{"1*","2*","3*","4*","5*","6*"},'Accounting data'!J2:J65536,"24*",'Accounting data'!K2:K65536,"63*"))+SUM(SUMIFS('Accounting data'!G2:G65536,'Accounting data'!H2:H65536,"1228*",'Accounting data'!I2:I65536,{"1*","2*","3*","4*","5*","6*"},'Accounting data'!J2:J65536,"24*",'Accounting data'!K2:K65536,"63*"))</f>
        <v>0</v>
      </c>
      <c r="G13" s="351">
        <f t="array" ref="G13">SUM(SUMIFS('Accounting data'!G2:G65536,'Accounting data'!H2:H65536,"1310-1399-C*",'Accounting data'!I2:I65536,{"1*","2*","3*","4*","5*","6*"},'Accounting data'!J2:J65536,"24*",'Accounting data'!K2:K65536,"66*"))+SUM(SUMIFS('Accounting data'!G2:G65536,'Accounting data'!H2:H65536,"1227*",'Accounting data'!I2:I65536,{"1*","2*","3*","4*","5*","6*"},'Accounting data'!J2:J65536,"24*",'Accounting data'!K2:K65536,"66*"))+SUM(SUMIFS('Accounting data'!G2:G65536,'Accounting data'!H2:H65536,"1228*",'Accounting data'!I2:I65536,{"1*","2*","3*","4*","5*","6*"},'Accounting data'!J2:J65536,"24*",'Accounting data'!K2:K65536,"66*"))</f>
        <v>0</v>
      </c>
      <c r="H13" s="351">
        <f t="array" ref="H13">SUM(SUMIFS('Accounting data'!G2:G65536,'Accounting data'!H2:H65536,"1310-1399-C*",'Accounting data'!I2:I65536,{"1*","2*","3*","4*","5*","6*"},'Accounting data'!J2:J65536,"24*",'Accounting data'!K2:K65536,"681*"))+SUM(SUMIFS('Accounting data'!G2:G65536,'Accounting data'!H2:H65536,"1227*",'Accounting data'!I2:I65536,{"1*","2*","3*","4*","5*","6*"},'Accounting data'!J2:J65536,"24*",'Accounting data'!K2:K65536,"681*"))+SUM(SUMIFS('Accounting data'!G2:G65536,'Accounting data'!H2:H65536,"1228*",'Accounting data'!I2:I65536,{"1*","2*","3*","4*","5*","6*"},'Accounting data'!J2:J65536,"24*",'Accounting data'!K2:K65536,"681*"))</f>
        <v>0</v>
      </c>
      <c r="I13" s="352"/>
      <c r="J13" s="351">
        <f t="array" ref="J13">SUM(SUMIFS('Accounting data'!G2:G65536,'Accounting data'!H2:H65536,"1310-1399-C*",'Accounting data'!I2:I65536,{"1*","2*","3*","4*","5*","6*"},'Accounting data'!J2:J65536,"24*",'Accounting data'!K2:K65536,"689*"))+SUM(SUMIFS('Accounting data'!G2:G65536,'Accounting data'!H2:H65536,"1227*",'Accounting data'!I2:I65536,{"1*","2*","3*","4*","5*","6*"},'Accounting data'!J2:J65536,"24*",'Accounting data'!K2:K65536,"689*"))+SUM(SUMIFS('Accounting data'!G2:G65536,'Accounting data'!H2:H65536,"1228*",'Accounting data'!I2:I65536,{"1*","2*","3*","4*","5*","6*"},'Accounting data'!J2:J65536,"24*",'Accounting data'!K2:K65536,"689*"))</f>
        <v>0</v>
      </c>
      <c r="K13" s="351">
        <f t="array" ref="K13">SUM(SUMIFS('Accounting data'!G2:G65536,'Accounting data'!H2:H65536,"1310-1399-C*",'Accounting data'!I2:I65536,{"1*","2*","3*","4*","5*","6*"},'Accounting data'!J2:J65536,"24*",'Accounting data'!K2:K65536,"683*"))+SUM(SUMIFS('Accounting data'!G2:G65536,'Accounting data'!H2:H65536,"1227*",'Accounting data'!I2:I65536,{"1*","2*","3*","4*","5*","6*"},'Accounting data'!J2:J65536,"24*",'Accounting data'!K2:K65536,"683*"))+SUM(SUMIFS('Accounting data'!G2:G65536,'Accounting data'!H2:H65536,"1228*",'Accounting data'!I2:I65536,{"1*","2*","3*","4*","5*","6*"},'Accounting data'!J2:J65536,"24*",'Accounting data'!K2:K65536,"683*"))</f>
        <v>0</v>
      </c>
      <c r="L13" s="34">
        <v>0</v>
      </c>
      <c r="M13" s="351" cm="1">
        <f t="array" ref="M13">SUM(SUMIFS('Accounting data'!G2:G65536,'Accounting data'!H2:H65536,"1310-1399-C*",'Accounting data'!I2:I65536,{"7*","8*","9*"},'Accounting data'!J2:J65536,"24*",'Accounting data'!K2:K65536,"6*"))-SUM(SUMIFS('Accounting data'!G2:G65536,'Accounting data'!H2:H65536,"1310-1399-C*",'Accounting data'!I2:I65536,{"7*","8*","9*"},'Accounting data'!J2:J65536,"24*",'Accounting data'!K2:K65536,"69*"))+SUM(SUMIFS('Accounting data'!G2:G65536,'Accounting data'!H2:H65536,"1227*",'Accounting data'!I2:I65536,{"7*","8*","9*"},'Accounting data'!J2:J65536,"24*",'Accounting data'!K2:K65536,"6*"))-SUM(SUMIFS('Accounting data'!G2:G65536,'Accounting data'!H2:H65536,"1227*",'Accounting data'!I2:I65536,{"7*","8*","9*"},'Accounting data'!J2:J65536,"24*",'Accounting data'!K2:K65536,"69*"))+SUM(SUMIFS('Accounting data'!G2:G65536,'Accounting data'!H2:H65536,"1228*",'Accounting data'!I2:I65536,{"7*","8*","9*"},'Accounting data'!J2:J65536,"24*",'Accounting data'!K2:K65536,"6*"))-SUM(SUMIFS('Accounting data'!G2:G65536,'Accounting data'!H2:H65536,"1228*",'Accounting data'!I2:I65536,{"7*","8*","9*"},'Accounting data'!J2:J65536,"24*",'Accounting data'!K2:K65536,"69*"))+(SUM(SUMIFS('Accounting data'!G2:G65536,'Accounting data'!H2:H65536,"1227*",'Accounting data'!I2:I65536,{"7*","8*","9*"},'Accounting data'!J2:J65536,"23*",'Accounting data'!K2:K65536,"6*"))+SUM(SUMIFS('Accounting data'!G2:G65536,'Accounting data'!H2:H65536,"1227*",'Accounting data'!I2:I65536,{"7*","8*","9*"},'Accounting data'!J2:J65536,"25*",'Accounting data'!K2:K65536,"6*"))+SUM(SUMIFS('Accounting data'!G2:G65536,'Accounting data'!H2:H65536,"1227*",'Accounting data'!I2:I65536,{"7*","8*","9*"},'Accounting data'!J2:J65536,"29*",'Accounting data'!K2:K65536,"6*")))-(SUM(SUMIFS('Accounting data'!G2:G65536,'Accounting data'!H2:H65536,"1227*",'Accounting data'!I2:I65536,{"7*","8*","9*"},'Accounting data'!J2:J65536,"23*",'Accounting data'!K2:K65536,"69*"))+SUM(SUMIFS('Accounting data'!G2:G65536,'Accounting data'!H2:H65536,"1227*",'Accounting data'!I2:I65536,{"7*","8*","9*"},'Accounting data'!J2:J65536,"25*",'Accounting data'!K2:K65536,"69*"))+SUM(SUMIFS('Accounting data'!G2:G65536,'Accounting data'!H2:H65536,"1227*",'Accounting data'!I2:I65536,{"7*","8*","9*"},'Accounting data'!J2:J65536,"29*",'Accounting data'!K2:K65536,"69*")))</f>
        <v>0</v>
      </c>
      <c r="N13" s="353">
        <f t="shared" si="0"/>
        <v>0</v>
      </c>
      <c r="O13" s="362"/>
    </row>
    <row r="14" spans="1:27" x14ac:dyDescent="0.25">
      <c r="A14" s="355" t="s">
        <v>428</v>
      </c>
      <c r="B14" s="583"/>
      <c r="C14" s="361" t="s">
        <v>33</v>
      </c>
      <c r="D14" s="351">
        <f t="array" ref="D14">SUM(SUMIFS('Accounting data'!G2:G65536,'Accounting data'!H2:H65536,"1310-1399-C*",'Accounting data'!I2:I65536,{"1*","2*","3*","4*","5*","6*"},'Accounting data'!J2:J65536,"26*",'Accounting data'!K2:K65536,"61*"))+SUM(SUMIFS('Accounting data'!G2:G65536,'Accounting data'!H2:H65536,"1227*",'Accounting data'!I2:I65536,{"1*","2*","3*","4*","5*","6*"},'Accounting data'!J2:J65536,"26*",'Accounting data'!K2:K65536,"61*"))+SUM(SUMIFS('Accounting data'!G2:G65536,'Accounting data'!H2:H65536,"1228*",'Accounting data'!I2:I65536,{"1*","2*","3*","4*","5*","6*"},'Accounting data'!J2:J65536,"26*",'Accounting data'!K2:K65536,"61*"))</f>
        <v>0</v>
      </c>
      <c r="E14" s="351">
        <f t="array" ref="E14">SUM(SUMIFS('Accounting data'!G2:G65536,'Accounting data'!H2:H65536,"1310-1399-C*",'Accounting data'!I2:I65536,{"1*","2*","3*","4*","5*","6*"},'Accounting data'!J2:J65536,"26*",'Accounting data'!K2:K65536,"62*"))+SUM(SUMIFS('Accounting data'!G2:G65536,'Accounting data'!H2:H65536,"1227*",'Accounting data'!I2:I65536,{"1*","2*","3*","4*","5*","6*"},'Accounting data'!J2:J65536,"26*",'Accounting data'!K2:K65536,"62*"))+SUM(SUMIFS('Accounting data'!G2:G65536,'Accounting data'!H2:H65536,"1228*",'Accounting data'!I2:I65536,{"1*","2*","3*","4*","5*","6*"},'Accounting data'!J2:J65536,"26*",'Accounting data'!K2:K65536,"62*"))</f>
        <v>0</v>
      </c>
      <c r="F14" s="351">
        <f t="array" ref="F14">SUM(SUMIFS('Accounting data'!G2:G65536,'Accounting data'!H2:H65536,"1310-1399-C*",'Accounting data'!I2:I65536,{"1*","2*","3*","4*","5*","6*"},'Accounting data'!J2:J65536,"26*",'Accounting data'!K2:K65536,"63*"))+SUM(SUMIFS('Accounting data'!G2:G65536,'Accounting data'!H2:H65536,"1227*",'Accounting data'!I2:I65536,{"1*","2*","3*","4*","5*","6*"},'Accounting data'!J2:J65536,"26*",'Accounting data'!K2:K65536,"63*"))+SUM(SUMIFS('Accounting data'!G2:G65536,'Accounting data'!H2:H65536,"1228*",'Accounting data'!I2:I65536,{"1*","2*","3*","4*","5*","6*"},'Accounting data'!J2:J65536,"26*",'Accounting data'!K2:K65536,"63*"))</f>
        <v>0</v>
      </c>
      <c r="G14" s="351">
        <f t="array" ref="G14">SUM(SUMIFS('Accounting data'!G2:G65536,'Accounting data'!H2:H65536,"1310-1399-C*",'Accounting data'!I2:I65536,{"1*","2*","3*","4*","5*","6*"},'Accounting data'!J2:J65536,"26*",'Accounting data'!K2:K65536,"66*"))+SUM(SUMIFS('Accounting data'!G2:G65536,'Accounting data'!H2:H65536,"1227*",'Accounting data'!I2:I65536,{"1*","2*","3*","4*","5*","6*"},'Accounting data'!J2:J65536,"26*",'Accounting data'!K2:K65536,"66*"))+SUM(SUMIFS('Accounting data'!G2:G65536,'Accounting data'!H2:H65536,"1228*",'Accounting data'!I2:I65536,{"1*","2*","3*","4*","5*","6*"},'Accounting data'!J2:J65536,"26*",'Accounting data'!K2:K65536,"66*"))</f>
        <v>0</v>
      </c>
      <c r="H14" s="351">
        <f t="array" ref="H14">SUM(SUMIFS('Accounting data'!G2:G65536,'Accounting data'!H2:H65536,"1310-1399-C*",'Accounting data'!I2:I65536,{"1*","2*","3*","4*","5*","6*"},'Accounting data'!J2:J65536,"26*",'Accounting data'!K2:K65536,"681*"))+SUM(SUMIFS('Accounting data'!G2:G65536,'Accounting data'!H2:H65536,"1227*",'Accounting data'!I2:I65536,{"1*","2*","3*","4*","5*","6*"},'Accounting data'!J2:J65536,"26*",'Accounting data'!K2:K65536,"681*"))+SUM(SUMIFS('Accounting data'!G2:G65536,'Accounting data'!H2:H65536,"1228*",'Accounting data'!I2:I65536,{"1*","2*","3*","4*","5*","6*"},'Accounting data'!J2:J65536,"26*",'Accounting data'!K2:K65536,"681*"))</f>
        <v>0</v>
      </c>
      <c r="I14" s="352"/>
      <c r="J14" s="351">
        <f t="array" ref="J14">SUM(SUMIFS('Accounting data'!G2:G65536,'Accounting data'!H2:H65536,"1310-1399-C*",'Accounting data'!I2:I65536,{"1*","2*","3*","4*","5*","6*"},'Accounting data'!J2:J65536,"26*",'Accounting data'!K2:K65536,"689*"))+SUM(SUMIFS('Accounting data'!G2:G65536,'Accounting data'!H2:H65536,"1227*",'Accounting data'!I2:I65536,{"1*","2*","3*","4*","5*","6*"},'Accounting data'!J2:J65536,"26*",'Accounting data'!K2:K65536,"689*"))+SUM(SUMIFS('Accounting data'!G2:G65536,'Accounting data'!H2:H65536,"1228*",'Accounting data'!I2:I65536,{"1*","2*","3*","4*","5*","6*"},'Accounting data'!J2:J65536,"26*",'Accounting data'!K2:K65536,"689*"))</f>
        <v>0</v>
      </c>
      <c r="K14" s="351">
        <f t="array" ref="K14">SUM(SUMIFS('Accounting data'!G2:G65536,'Accounting data'!H2:H65536,"1310-1399-C*",'Accounting data'!I2:I65536,{"1*","2*","3*","4*","5*","6*"},'Accounting data'!J2:J65536,"26*",'Accounting data'!K2:K65536,"683*"))+SUM(SUMIFS('Accounting data'!G2:G65536,'Accounting data'!H2:H65536,"1227*",'Accounting data'!I2:I65536,{"1*","2*","3*","4*","5*","6*"},'Accounting data'!J2:J65536,"26*",'Accounting data'!K2:K65536,"683*"))+SUM(SUMIFS('Accounting data'!G2:G65536,'Accounting data'!H2:H65536,"1228*",'Accounting data'!I2:I65536,{"1*","2*","3*","4*","5*","6*"},'Accounting data'!J2:J65536,"26*",'Accounting data'!K2:K65536,"683*"))</f>
        <v>0</v>
      </c>
      <c r="L14" s="34">
        <v>0</v>
      </c>
      <c r="M14" s="351" cm="1">
        <f t="array" ref="M14">SUM(SUMIFS('Accounting data'!G2:G65536,'Accounting data'!H2:H65536,"1310-1399-C*",'Accounting data'!I2:I65536,{"7*","8*","9*"},'Accounting data'!J2:J65536,"26*",'Accounting data'!K2:K65536,"6*"))-SUM(SUMIFS('Accounting data'!G2:G65536,'Accounting data'!H2:H65536,"1310-1399-C*",'Accounting data'!I2:I65536,{"7*","8*","9*"},'Accounting data'!J2:J65536,"26*",'Accounting data'!K2:K65536,"69*"))+SUM(SUMIFS('Accounting data'!G2:G65536,'Accounting data'!H2:H65536,"1227*",'Accounting data'!I2:I65536,{"7*","8*","9*"},'Accounting data'!J2:J65536,"26*",'Accounting data'!K2:K65536,"6*"))-SUM(SUMIFS('Accounting data'!G2:G65536,'Accounting data'!H2:H65536,"1227*",'Accounting data'!I2:I65536,{"7*","8*","9*"},'Accounting data'!J2:J65536,"26*",'Accounting data'!K2:K65536,"69*"))+SUM(SUMIFS('Accounting data'!G2:G65536,'Accounting data'!H2:H65536,"1228*",'Accounting data'!I2:I65536,{"7*","8*","9*"},'Accounting data'!J2:J65536,"26*",'Accounting data'!K2:K65536,"6*"))-SUM(SUMIFS('Accounting data'!G2:G65536,'Accounting data'!H2:H65536,"1228*",'Accounting data'!I2:I65536,{"7*","8*","9*"},'Accounting data'!J2:J65536,"26*",'Accounting data'!K2:K65536,"69*"))</f>
        <v>0</v>
      </c>
      <c r="N14" s="353">
        <f t="shared" si="0"/>
        <v>0</v>
      </c>
      <c r="O14" s="362"/>
    </row>
    <row r="15" spans="1:27" x14ac:dyDescent="0.25">
      <c r="A15" s="363" t="s">
        <v>208</v>
      </c>
      <c r="B15" s="364"/>
      <c r="C15" s="361" t="s">
        <v>35</v>
      </c>
      <c r="D15" s="351">
        <f t="array" ref="D15">SUM(SUMIFS('Accounting data'!G2:G65536,'Accounting data'!H2:H65536,"1310-1399-C*",'Accounting data'!I2:I65536,{"1*","2*","3*","4*","5*","6*"},'Accounting data'!J2:J65536,"27*",'Accounting data'!K2:K65536,"61*"))+SUM(SUMIFS('Accounting data'!G2:G65536,'Accounting data'!H2:H65536,"1227*",'Accounting data'!I2:I65536,{"1*","2*","3*","4*","5*","6*"},'Accounting data'!J2:J65536,"27*",'Accounting data'!K2:K65536,"61*"))+SUM(SUMIFS('Accounting data'!G2:G65536,'Accounting data'!H2:H65536,"1228*",'Accounting data'!I2:I65536,{"1*","2*","3*","4*","5*","6*"},'Accounting data'!J2:J65536,"27*",'Accounting data'!K2:K65536,"61*"))</f>
        <v>0</v>
      </c>
      <c r="E15" s="351">
        <f t="array" ref="E15">SUM(SUMIFS('Accounting data'!G2:G65536,'Accounting data'!H2:H65536,"1310-1399-C*",'Accounting data'!I2:I65536,{"1*","2*","3*","4*","5*","6*"},'Accounting data'!J2:J65536,"27*",'Accounting data'!K2:K65536,"62*"))+SUM(SUMIFS('Accounting data'!G2:G65536,'Accounting data'!H2:H65536,"1227*",'Accounting data'!I2:I65536,{"1*","2*","3*","4*","5*","6*"},'Accounting data'!J2:J65536,"27*",'Accounting data'!K2:K65536,"62*"))+SUM(SUMIFS('Accounting data'!G2:G65536,'Accounting data'!H2:H65536,"1228*",'Accounting data'!I2:I65536,{"1*","2*","3*","4*","5*","6*"},'Accounting data'!J2:J65536,"27*",'Accounting data'!K2:K65536,"62*"))</f>
        <v>0</v>
      </c>
      <c r="F15" s="351">
        <f t="array" ref="F15">SUM(SUMIFS('Accounting data'!G2:G65536,'Accounting data'!H2:H65536,"1310-1399-C*",'Accounting data'!I2:I65536,{"1*","2*","3*","4*","5*","6*"},'Accounting data'!J2:J65536,"27*",'Accounting data'!K2:K65536,"63*"))+SUM(SUMIFS('Accounting data'!G2:G65536,'Accounting data'!H2:H65536,"1227*",'Accounting data'!I2:I65536,{"1*","2*","3*","4*","5*","6*"},'Accounting data'!J2:J65536,"27*",'Accounting data'!K2:K65536,"63*"))+SUM(SUMIFS('Accounting data'!G2:G65536,'Accounting data'!H2:H65536,"1228*",'Accounting data'!I2:I65536,{"1*","2*","3*","4*","5*","6*"},'Accounting data'!J2:J65536,"27*",'Accounting data'!K2:K65536,"63*"))</f>
        <v>0</v>
      </c>
      <c r="G15" s="351">
        <f t="array" ref="G15">SUM(SUMIFS('Accounting data'!G2:G65536,'Accounting data'!H2:H65536,"1310-1399-C*",'Accounting data'!I2:I65536,{"1*","2*","3*","4*","5*","6*"},'Accounting data'!J2:J65536,"27*",'Accounting data'!K2:K65536,"66*"))+SUM(SUMIFS('Accounting data'!G2:G65536,'Accounting data'!H2:H65536,"1227*",'Accounting data'!I2:I65536,{"1*","2*","3*","4*","5*","6*"},'Accounting data'!J2:J65536,"27*",'Accounting data'!K2:K65536,"66*"))+SUM(SUMIFS('Accounting data'!G2:G65536,'Accounting data'!H2:H65536,"1228*",'Accounting data'!I2:I65536,{"1*","2*","3*","4*","5*","6*"},'Accounting data'!J2:J65536,"27*",'Accounting data'!K2:K65536,"66*"))</f>
        <v>0</v>
      </c>
      <c r="H15" s="351">
        <f t="array" ref="H15">SUM(SUMIFS('Accounting data'!G2:G65536,'Accounting data'!H2:H65536,"1310-1399-C*",'Accounting data'!I2:I65536,{"1*","2*","3*","4*","5*","6*"},'Accounting data'!J2:J65536,"27*",'Accounting data'!K2:K65536,"681*"))+SUM(SUMIFS('Accounting data'!G2:G65536,'Accounting data'!H2:H65536,"1227*",'Accounting data'!I2:I65536,{"1*","2*","3*","4*","5*","6*"},'Accounting data'!J2:J65536,"27*",'Accounting data'!K2:K65536,"681*"))+SUM(SUMIFS('Accounting data'!G2:G65536,'Accounting data'!H2:H65536,"1228*",'Accounting data'!I2:I65536,{"1*","2*","3*","4*","5*","6*"},'Accounting data'!J2:J65536,"27*",'Accounting data'!K2:K65536,"681*"))</f>
        <v>0</v>
      </c>
      <c r="I15" s="352"/>
      <c r="J15" s="351">
        <f t="array" ref="J15">SUM(SUMIFS('Accounting data'!G2:G65536,'Accounting data'!H2:H65536,"1310-1399-C*",'Accounting data'!I2:I65536,{"1*","2*","3*","4*","5*","6*"},'Accounting data'!J2:J65536,"27*",'Accounting data'!K2:K65536,"689*"))+SUM(SUMIFS('Accounting data'!G2:G65536,'Accounting data'!H2:H65536,"1227*",'Accounting data'!I2:I65536,{"1*","2*","3*","4*","5*","6*"},'Accounting data'!J2:J65536,"27*",'Accounting data'!K2:K65536,"689*"))+SUM(SUMIFS('Accounting data'!G2:G65536,'Accounting data'!H2:H65536,"1228*",'Accounting data'!I2:I65536,{"1*","2*","3*","4*","5*","6*"},'Accounting data'!J2:J65536,"27*",'Accounting data'!K2:K65536,"689*"))</f>
        <v>0</v>
      </c>
      <c r="K15" s="351">
        <f t="array" ref="K15">SUM(SUMIFS('Accounting data'!G2:G65536,'Accounting data'!H2:H65536,"1310-1399-C*",'Accounting data'!I2:I65536,{"1*","2*","3*","4*","5*","6*"},'Accounting data'!J2:J65536,"27*",'Accounting data'!K2:K65536,"683*"))+SUM(SUMIFS('Accounting data'!G2:G65536,'Accounting data'!H2:H65536,"1227*",'Accounting data'!I2:I65536,{"1*","2*","3*","4*","5*","6*"},'Accounting data'!J2:J65536,"27*",'Accounting data'!K2:K65536,"683*"))+SUM(SUMIFS('Accounting data'!G2:G65536,'Accounting data'!H2:H65536,"1228*",'Accounting data'!I2:I65536,{"1*","2*","3*","4*","5*","6*"},'Accounting data'!J2:J65536,"27*",'Accounting data'!K2:K65536,"683*"))</f>
        <v>0</v>
      </c>
      <c r="L15" s="34">
        <v>0</v>
      </c>
      <c r="M15" s="351" cm="1">
        <f t="array" ref="M15">SUM(SUMIFS('Accounting data'!G2:G65536,'Accounting data'!H2:H65536,"1310-1399-C*",'Accounting data'!I2:I65536,{"7*","8*","9*"},'Accounting data'!J2:J65536,"27*",'Accounting data'!K2:K65536,"6*"))-SUM(SUMIFS('Accounting data'!G2:G65536,'Accounting data'!H2:H65536,"1310-1399-C*",'Accounting data'!I2:I65536,{"7*","8*","9*"},'Accounting data'!J2:J65536,"27*",'Accounting data'!K2:K65536,"69*"))+SUM(SUMIFS('Accounting data'!G2:G65536,'Accounting data'!H2:H65536,"1227*",'Accounting data'!I2:I65536,{"7*","8*","9*"},'Accounting data'!J2:J65536,"27*",'Accounting data'!K2:K65536,"6*"))-SUM(SUMIFS('Accounting data'!G2:G65536,'Accounting data'!H2:H65536,"1227*",'Accounting data'!I2:I65536,{"7*","8*","9*"},'Accounting data'!J2:J65536,"27*",'Accounting data'!K2:K65536,"69*"))+SUM(SUMIFS('Accounting data'!G2:G65536,'Accounting data'!H2:H65536,"1228*",'Accounting data'!I2:I65536,{"7*","8*","9*"},'Accounting data'!J2:J65536,"27*",'Accounting data'!K2:K65536,"6*"))-SUM(SUMIFS('Accounting data'!G2:G65536,'Accounting data'!H2:H65536,"1228*",'Accounting data'!I2:I65536,{"7*","8*","9*"},'Accounting data'!J2:J65536,"27*",'Accounting data'!K2:K65536,"69*"))</f>
        <v>0</v>
      </c>
      <c r="N15" s="353">
        <f t="shared" si="0"/>
        <v>0</v>
      </c>
      <c r="O15" s="362"/>
    </row>
    <row r="16" spans="1:27" x14ac:dyDescent="0.25">
      <c r="A16" s="363" t="s">
        <v>429</v>
      </c>
      <c r="B16" s="364"/>
      <c r="C16" s="361" t="s">
        <v>36</v>
      </c>
      <c r="D16" s="351">
        <f t="array" ref="D16">SUM(SUMIFS('Accounting data'!G2:G65536,'Accounting data'!H2:H65536,"1310-1399-C*",'Accounting data'!I2:I65536,{"1*","2*","3*","4*","5*","6*"},'Accounting data'!J2:J65536,"31*",'Accounting data'!K2:K65536,"61*"))+SUM(SUMIFS('Accounting data'!G2:G65536,'Accounting data'!H2:H65536,"1227*",'Accounting data'!I2:I65536,{"1*","2*","3*","4*","5*","6*"},'Accounting data'!J2:J65536,"31*",'Accounting data'!K2:K65536,"61*"))+SUM(SUMIFS('Accounting data'!G2:G65536,'Accounting data'!H2:H65536,"1228*",'Accounting data'!I2:I65536,{"1*","2*","3*","4*","5*","6*"},'Accounting data'!J2:J65536,"31*",'Accounting data'!K2:K65536,"61*"))</f>
        <v>0</v>
      </c>
      <c r="E16" s="351">
        <f t="array" ref="E16">SUM(SUMIFS('Accounting data'!G2:G65536,'Accounting data'!H2:H65536,"1310-1399-C*",'Accounting data'!I2:I65536,{"1*","2*","3*","4*","5*","6*"},'Accounting data'!J2:J65536,"31*",'Accounting data'!K2:K65536,"62*"))+SUM(SUMIFS('Accounting data'!G2:G65536,'Accounting data'!H2:H65536,"1227*",'Accounting data'!I2:I65536,{"1*","2*","3*","4*","5*","6*"},'Accounting data'!J2:J65536,"31*",'Accounting data'!K2:K65536,"62*"))+SUM(SUMIFS('Accounting data'!G2:G65536,'Accounting data'!H2:H65536,"1228*",'Accounting data'!I2:I65536,{"1*","2*","3*","4*","5*","6*"},'Accounting data'!J2:J65536,"31*",'Accounting data'!K2:K65536,"62*"))</f>
        <v>0</v>
      </c>
      <c r="F16" s="351">
        <f t="array" ref="F16">SUM(SUMIFS('Accounting data'!G2:G65536,'Accounting data'!H2:H65536,"1310-1399-C*",'Accounting data'!I2:I65536,{"1*","2*","3*","4*","5*","6*"},'Accounting data'!J2:J65536,"31*",'Accounting data'!K2:K65536,"63*"))+SUM(SUMIFS('Accounting data'!G2:G65536,'Accounting data'!H2:H65536,"1227*",'Accounting data'!I2:I65536,{"1*","2*","3*","4*","5*","6*"},'Accounting data'!J2:J65536,"31*",'Accounting data'!K2:K65536,"63*"))+SUM(SUMIFS('Accounting data'!G2:G65536,'Accounting data'!H2:H65536,"1228*",'Accounting data'!I2:I65536,{"1*","2*","3*","4*","5*","6*"},'Accounting data'!J2:J65536,"31*",'Accounting data'!K2:K65536,"63*"))</f>
        <v>0</v>
      </c>
      <c r="G16" s="351">
        <f t="array" ref="G16">SUM(SUMIFS('Accounting data'!G2:G65536,'Accounting data'!H2:H65536,"1310-1399-C*",'Accounting data'!I2:I65536,{"1*","2*","3*","4*","5*","6*"},'Accounting data'!J2:J65536,"31*",'Accounting data'!K2:K65536,"66*"))+SUM(SUMIFS('Accounting data'!G2:G65536,'Accounting data'!H2:H65536,"1227*",'Accounting data'!I2:I65536,{"1*","2*","3*","4*","5*","6*"},'Accounting data'!J2:J65536,"31*",'Accounting data'!K2:K65536,"66*"))+SUM(SUMIFS('Accounting data'!G2:G65536,'Accounting data'!H2:H65536,"1228*",'Accounting data'!I2:I65536,{"1*","2*","3*","4*","5*","6*"},'Accounting data'!J2:J65536,"31*",'Accounting data'!K2:K65536,"66*"))</f>
        <v>0</v>
      </c>
      <c r="H16" s="351">
        <f t="array" ref="H16">SUM(SUMIFS('Accounting data'!G2:G65536,'Accounting data'!H2:H65536,"1310-1399-C*",'Accounting data'!I2:I65536,{"1*","2*","3*","4*","5*","6*"},'Accounting data'!J2:J65536,"31*",'Accounting data'!K2:K65536,"681*"))+SUM(SUMIFS('Accounting data'!G2:G65536,'Accounting data'!H2:H65536,"1227*",'Accounting data'!I2:I65536,{"1*","2*","3*","4*","5*","6*"},'Accounting data'!J2:J65536,"31*",'Accounting data'!K2:K65536,"681*"))+SUM(SUMIFS('Accounting data'!G2:G65536,'Accounting data'!H2:H65536,"1228*",'Accounting data'!I2:I65536,{"1*","2*","3*","4*","5*","6*"},'Accounting data'!J2:J65536,"31*",'Accounting data'!K2:K65536,"681*"))</f>
        <v>0</v>
      </c>
      <c r="I16" s="352"/>
      <c r="J16" s="351">
        <f t="array" ref="J16">SUM(SUMIFS('Accounting data'!G2:G65536,'Accounting data'!H2:H65536,"1310-1399-C*",'Accounting data'!I2:I65536,{"1*","2*","3*","4*","5*","6*"},'Accounting data'!J2:J65536,"31*",'Accounting data'!K2:K65536,"689*"))+SUM(SUMIFS('Accounting data'!G2:G65536,'Accounting data'!H2:H65536,"1227*",'Accounting data'!I2:I65536,{"1*","2*","3*","4*","5*","6*"},'Accounting data'!J2:J65536,"31*",'Accounting data'!K2:K65536,"689*"))+SUM(SUMIFS('Accounting data'!G2:G65536,'Accounting data'!H2:H65536,"1228*",'Accounting data'!I2:I65536,{"1*","2*","3*","4*","5*","6*"},'Accounting data'!J2:J65536,"31*",'Accounting data'!K2:K65536,"689*"))</f>
        <v>0</v>
      </c>
      <c r="K16" s="351">
        <f t="array" ref="K16">SUM(SUMIFS('Accounting data'!G2:G65536,'Accounting data'!H2:H65536,"1310-1399-C*",'Accounting data'!I2:I65536,{"1*","2*","3*","4*","5*","6*"},'Accounting data'!J2:J65536,"31*",'Accounting data'!K2:K65536,"683*"))+SUM(SUMIFS('Accounting data'!G2:G65536,'Accounting data'!H2:H65536,"1227*",'Accounting data'!I2:I65536,{"1*","2*","3*","4*","5*","6*"},'Accounting data'!J2:J65536,"31*",'Accounting data'!K2:K65536,"683*"))+SUM(SUMIFS('Accounting data'!G2:G65536,'Accounting data'!H2:H65536,"1228*",'Accounting data'!I2:I65536,{"1*","2*","3*","4*","5*","6*"},'Accounting data'!J2:J65536,"31*",'Accounting data'!K2:K65536,"683*"))</f>
        <v>0</v>
      </c>
      <c r="L16" s="34">
        <v>0</v>
      </c>
      <c r="M16" s="351">
        <f t="array" ref="M16">SUM(SUMIFS('Accounting data'!G2:G65536,'Accounting data'!H2:H65536,"1310-1399-C*",'Accounting data'!I2:I65536,{"7*","8*","9*"},'Accounting data'!J2:J65536,"31*",'Accounting data'!K2:K65536,"6*"))-SUM(SUMIFS('Accounting data'!G2:G65536,'Accounting data'!H2:H65536,"1310-1399-C*",'Accounting data'!I2:I65536,{"7*","8*","9*"},'Accounting data'!J2:J65536,"31*",'Accounting data'!K2:K65536,"69*"))+SUM(SUMIFS('Accounting data'!G2:G65536,'Accounting data'!H2:H65536,"1227*",'Accounting data'!I2:I65536,{"7*","8*","9*"},'Accounting data'!J2:J65536,"31*",'Accounting data'!K2:K65536,"6*"))-SUM(SUMIFS('Accounting data'!G2:G65536,'Accounting data'!H2:H65536,"1227*",'Accounting data'!I2:I65536,{"7*","8*","9*"},'Accounting data'!J2:J65536,"31*",'Accounting data'!K2:K65536,"69*"))+SUM(SUMIFS('Accounting data'!G2:G65536,'Accounting data'!H2:H65536,"1228*",'Accounting data'!I2:I65536,{"7*","8*","9*"},'Accounting data'!J2:J65536,"31*",'Accounting data'!K2:K65536,"6*"))-SUM(SUMIFS('Accounting data'!G2:G65536,'Accounting data'!H2:H65536,"1228*",'Accounting data'!I2:I65536,{"7*","8*","9*"},'Accounting data'!J2:J65536,"31*",'Accounting data'!K2:K65536,"69*"))</f>
        <v>0</v>
      </c>
      <c r="N16" s="353">
        <f t="shared" si="0"/>
        <v>0</v>
      </c>
      <c r="O16" s="362"/>
    </row>
    <row r="17" spans="1:16" x14ac:dyDescent="0.25">
      <c r="A17" s="363" t="s">
        <v>430</v>
      </c>
      <c r="B17" s="364"/>
      <c r="C17" s="361" t="s">
        <v>38</v>
      </c>
      <c r="D17" s="351">
        <f t="array" ref="D17">SUM(SUMIFS('Accounting data'!G2:G65536,'Accounting data'!H2:H65536,"1310-1399-C*",'Accounting data'!I2:I65536,{"1*","2*","3*","4*","5*","6*"},'Accounting data'!J2:J65536,"34*",'Accounting data'!K2:K65536,"61*"))+SUM(SUMIFS('Accounting data'!G2:G65536,'Accounting data'!H2:H65536,"1227*",'Accounting data'!I2:I65536,{"1*","2*","3*","4*","5*","6*"},'Accounting data'!J2:J65536,"34*",'Accounting data'!K2:K65536,"61*"))+SUM(SUMIFS('Accounting data'!G2:G65536,'Accounting data'!H2:H65536,"1228*",'Accounting data'!I2:I65536,{"1*","2*","3*","4*","5*","6*"},'Accounting data'!J2:J65536,"34*",'Accounting data'!K2:K65536,"61*"))</f>
        <v>0</v>
      </c>
      <c r="E17" s="351">
        <f t="array" ref="E17">SUM(SUMIFS('Accounting data'!G2:G65536,'Accounting data'!H2:H65536,"1310-1399-C*",'Accounting data'!I2:I65536,{"1*","2*","3*","4*","5*","6*"},'Accounting data'!J2:J65536,"34*",'Accounting data'!K2:K65536,"62*"))+SUM(SUMIFS('Accounting data'!G2:G65536,'Accounting data'!H2:H65536,"1227*",'Accounting data'!I2:I65536,{"1*","2*","3*","4*","5*","6*"},'Accounting data'!J2:J65536,"34*",'Accounting data'!K2:K65536,"62*"))+SUM(SUMIFS('Accounting data'!G2:G65536,'Accounting data'!H2:H65536,"1228*",'Accounting data'!I2:I65536,{"1*","2*","3*","4*","5*","6*"},'Accounting data'!J2:J65536,"34*",'Accounting data'!K2:K65536,"62*"))</f>
        <v>0</v>
      </c>
      <c r="F17" s="351">
        <f t="array" ref="F17">SUM(SUMIFS('Accounting data'!G2:G65536,'Accounting data'!H2:H65536,"1310-1399-C*",'Accounting data'!I2:I65536,{"1*","2*","3*","4*","5*","6*"},'Accounting data'!J2:J65536,"34*",'Accounting data'!K2:K65536,"63*"))+SUM(SUMIFS('Accounting data'!G2:G65536,'Accounting data'!H2:H65536,"1227*",'Accounting data'!I2:I65536,{"1*","2*","3*","4*","5*","6*"},'Accounting data'!J2:J65536,"34*",'Accounting data'!K2:K65536,"63*"))+SUM(SUMIFS('Accounting data'!G2:G65536,'Accounting data'!H2:H65536,"1228*",'Accounting data'!I2:I65536,{"1*","2*","3*","4*","5*","6*"},'Accounting data'!J2:J65536,"34*",'Accounting data'!K2:K65536,"63*"))</f>
        <v>0</v>
      </c>
      <c r="G17" s="351">
        <f t="array" ref="G17">SUM(SUMIFS('Accounting data'!G2:G65536,'Accounting data'!H2:H65536,"1310-1399-C*",'Accounting data'!I2:I65536,{"1*","2*","3*","4*","5*","6*"},'Accounting data'!J2:J65536,"34*",'Accounting data'!K2:K65536,"66*"))+SUM(SUMIFS('Accounting data'!G2:G65536,'Accounting data'!H2:H65536,"1227*",'Accounting data'!I2:I65536,{"1*","2*","3*","4*","5*","6*"},'Accounting data'!J2:J65536,"34*",'Accounting data'!K2:K65536,"66*"))+SUM(SUMIFS('Accounting data'!G2:G65536,'Accounting data'!H2:H65536,"1228*",'Accounting data'!I2:I65536,{"1*","2*","3*","4*","5*","6*"},'Accounting data'!J2:J65536,"34*",'Accounting data'!K2:K65536,"66*"))</f>
        <v>0</v>
      </c>
      <c r="H17" s="351">
        <f t="array" ref="H17">SUM(SUMIFS('Accounting data'!G2:G65536,'Accounting data'!H2:H65536,"1310-1399-C*",'Accounting data'!I2:I65536,{"1*","2*","3*","4*","5*","6*"},'Accounting data'!J2:J65536,"34*",'Accounting data'!K2:K65536,"681*"))+SUM(SUMIFS('Accounting data'!G2:G65536,'Accounting data'!H2:H65536,"1227*",'Accounting data'!I2:I65536,{"1*","2*","3*","4*","5*","6*"},'Accounting data'!J2:J65536,"34*",'Accounting data'!K2:K65536,"681*"))+SUM(SUMIFS('Accounting data'!G2:G65536,'Accounting data'!H2:H65536,"1228*",'Accounting data'!I2:I65536,{"1*","2*","3*","4*","5*","6*"},'Accounting data'!J2:J65536,"34*",'Accounting data'!K2:K65536,"681*"))</f>
        <v>0</v>
      </c>
      <c r="I17" s="352"/>
      <c r="J17" s="351">
        <f t="array" ref="J17">SUM(SUMIFS('Accounting data'!G2:G65536,'Accounting data'!H2:H65536,"1310-1399-C*",'Accounting data'!I2:I65536,{"1*","2*","3*","4*","5*","6*"},'Accounting data'!J2:J65536,"34*",'Accounting data'!K2:K65536,"689*"))+SUM(SUMIFS('Accounting data'!G2:G65536,'Accounting data'!H2:H65536,"1227*",'Accounting data'!I2:I65536,{"1*","2*","3*","4*","5*","6*"},'Accounting data'!J2:J65536,"34*",'Accounting data'!K2:K65536,"689*"))+SUM(SUMIFS('Accounting data'!G2:G65536,'Accounting data'!H2:H65536,"1228*",'Accounting data'!I2:I65536,{"1*","2*","3*","4*","5*","6*"},'Accounting data'!J2:J65536,"34*",'Accounting data'!K2:K65536,"689*"))</f>
        <v>0</v>
      </c>
      <c r="K17" s="351">
        <f t="array" ref="K17">SUM(SUMIFS('Accounting data'!G2:G65536,'Accounting data'!H2:H65536,"1310-1399-C*",'Accounting data'!I2:I65536,{"1*","2*","3*","4*","5*","6*"},'Accounting data'!J2:J65536,"34*",'Accounting data'!K2:K65536,"683*"))+SUM(SUMIFS('Accounting data'!G2:G65536,'Accounting data'!H2:H65536,"1227*",'Accounting data'!I2:I65536,{"1*","2*","3*","4*","5*","6*"},'Accounting data'!J2:J65536,"34*",'Accounting data'!K2:K65536,"683*"))+SUM(SUMIFS('Accounting data'!G2:G65536,'Accounting data'!H2:H65536,"1228*",'Accounting data'!I2:I65536,{"1*","2*","3*","4*","5*","6*"},'Accounting data'!J2:J65536,"34*",'Accounting data'!K2:K65536,"683*"))</f>
        <v>0</v>
      </c>
      <c r="L17" s="34">
        <v>0</v>
      </c>
      <c r="M17" s="351">
        <f t="array" ref="M17">SUM(SUMIFS('Accounting data'!G2:G65536,'Accounting data'!H2:H65536,"1310-1399-C*",'Accounting data'!I2:I65536,{"7*","8*","9*"},'Accounting data'!J2:J65536,"34*",'Accounting data'!K2:K65536,"6*"))-SUM(SUMIFS('Accounting data'!G2:G65536,'Accounting data'!H2:H65536,"1310-1399-C*",'Accounting data'!I2:I65536,{"7*","8*","9*"},'Accounting data'!J2:J65536,"34*",'Accounting data'!K2:K65536,"69*"))+SUM(SUMIFS('Accounting data'!G2:G65536,'Accounting data'!H2:H65536,"1227*",'Accounting data'!I2:I65536,{"7*","8*","9*"},'Accounting data'!J2:J65536,"34*",'Accounting data'!K2:K65536,"6*"))-SUM(SUMIFS('Accounting data'!G2:G65536,'Accounting data'!H2:H65536,"1227*",'Accounting data'!I2:I65536,{"7*","8*","9*"},'Accounting data'!J2:J65536,"34*",'Accounting data'!K2:K65536,"69*"))+SUM(SUMIFS('Accounting data'!G2:G65536,'Accounting data'!H2:H65536,"1228*",'Accounting data'!I2:I65536,{"7*","8*","9*"},'Accounting data'!J2:J65536,"34*",'Accounting data'!K2:K65536,"6*"))-SUM(SUMIFS('Accounting data'!G2:G65536,'Accounting data'!H2:H65536,"1228*",'Accounting data'!I2:I65536,{"7*","8*","9*"},'Accounting data'!J2:J65536,"34*",'Accounting data'!K2:K65536,"69*"))</f>
        <v>0</v>
      </c>
      <c r="N17" s="353">
        <f t="shared" si="0"/>
        <v>0</v>
      </c>
      <c r="O17" s="362"/>
    </row>
    <row r="18" spans="1:16" x14ac:dyDescent="0.25">
      <c r="A18" s="365" t="s">
        <v>94</v>
      </c>
      <c r="B18" s="366"/>
      <c r="C18" s="367" t="s">
        <v>40</v>
      </c>
      <c r="D18" s="351">
        <f t="array" ref="D18">SUM(SUMIFS('Accounting data'!G2:G65536,'Accounting data'!H2:H65536,"1310-1399-C*",'Accounting data'!I2:I65536,{"1*","2*","3*","4*","5*","6*"},'Accounting data'!K2:K65536,"61*"))+SUM(SUMIFS('Accounting data'!G2:G65536,'Accounting data'!H2:H65536,"1227*",'Accounting data'!I2:I65536,{"1*","2*","3*","4*","5*","6*"},'Accounting data'!K2:K65536,"61*"))+SUM(SUMIFS('Accounting data'!G2:G65536,'Accounting data'!H2:H65536,"1228*",'Accounting data'!I2:I65536,{"1*","2*","3*","4*","5*","6*"},'Accounting data'!K2:K65536,"61*"))-SUM(D10:D17)</f>
        <v>0</v>
      </c>
      <c r="E18" s="351">
        <f t="array" ref="E18">SUM(SUMIFS('Accounting data'!G2:G65536,'Accounting data'!H2:H65536,"1310-1399-C*",'Accounting data'!I2:I65536,{"1*","2*","3*","4*","5*","6*"},'Accounting data'!K2:K65536,"62*"))+SUM(SUMIFS('Accounting data'!G2:G65536,'Accounting data'!H2:H65536,"1227*",'Accounting data'!I2:I65536,{"1*","2*","3*","4*","5*","6*"},'Accounting data'!K2:K65536,"62*"))+SUM(SUMIFS('Accounting data'!G2:G65536,'Accounting data'!H2:H65536,"1228*",'Accounting data'!I2:I65536,{"1*","2*","3*","4*","5*","6*"},'Accounting data'!K2:K65536,"62*"))-SUM(E10:E17)</f>
        <v>0</v>
      </c>
      <c r="F18" s="351">
        <f t="array" ref="F18">SUM(SUMIFS('Accounting data'!G2:G65536,'Accounting data'!H2:H65536,"1310-1399-C*",'Accounting data'!I2:I65536,{"1*","2*","3*","4*","5*","6*"},'Accounting data'!K2:K65536,"63*"))+SUM(SUMIFS('Accounting data'!G2:G65536,'Accounting data'!H2:H65536,"1227*",'Accounting data'!I2:I65536,{"1*","2*","3*","4*","5*","6*"},'Accounting data'!K2:K65536,"63*"))+SUM(SUMIFS('Accounting data'!G2:G65536,'Accounting data'!H2:H65536,"1228*",'Accounting data'!I2:I65536,{"1*","2*","3*","4*","5*","6*"},'Accounting data'!K2:K65536,"63*"))-SUM(F10:F17)</f>
        <v>0</v>
      </c>
      <c r="G18" s="351">
        <f t="array" ref="G18">SUM(SUMIFS('Accounting data'!G2:G65536,'Accounting data'!H2:H65536,"1310-1399-C*",'Accounting data'!I2:I65536,{"1*","2*","3*","4*","5*","6*"},'Accounting data'!K2:K65536,"66*"))+SUM(SUMIFS('Accounting data'!G2:G65536,'Accounting data'!H2:H65536,"1227*",'Accounting data'!I2:I65536,{"1*","2*","3*","4*","5*","6*"},'Accounting data'!K2:K65536,"66*"))+SUM(SUMIFS('Accounting data'!G2:G65536,'Accounting data'!H2:H65536,"1228*",'Accounting data'!I2:I65536,{"1*","2*","3*","4*","5*","6*"},'Accounting data'!K2:K65536,"66*"))-SUM(G10:G17)</f>
        <v>0</v>
      </c>
      <c r="H18" s="351">
        <f t="array" ref="H18">SUM(SUMIFS('Accounting data'!G2:G65536,'Accounting data'!H2:H65536,"1310-1399-C*",'Accounting data'!I2:I65536,{"1*","2*","3*","4*","5*","6*"},'Accounting data'!K2:K65536,"681*"))+SUM(SUMIFS('Accounting data'!G2:G65536,'Accounting data'!H2:H65536,"1227*",'Accounting data'!I2:I65536,{"1*","2*","3*","4*","5*","6*"},'Accounting data'!K2:K65536,"681*"))+SUM(SUMIFS('Accounting data'!G2:G65536,'Accounting data'!H2:H65536,"1228*",'Accounting data'!I2:I65536,{"1*","2*","3*","4*","5*","6*"},'Accounting data'!K2:K65536,"681*"))-SUM(H10:H17)</f>
        <v>0</v>
      </c>
      <c r="I18" s="352"/>
      <c r="J18" s="351">
        <f t="array" ref="J18">SUM(SUMIFS('Accounting data'!G2:G65536,'Accounting data'!H2:H65536,"1310-1399-C*",'Accounting data'!I2:I65536,{"1*","2*","3*","4*","5*","6*"},'Accounting data'!K2:K65536,"689*"))+SUM(SUMIFS('Accounting data'!G2:G65536,'Accounting data'!H2:H65536,"1227*",'Accounting data'!I2:I65536,{"1*","2*","3*","4*","5*","6*"},'Accounting data'!K2:K65536,"689*"))+SUM(SUMIFS('Accounting data'!G2:G65536,'Accounting data'!H2:H65536,"1228*",'Accounting data'!I2:I65536,{"1*","2*","3*","4*","5*","6*"},'Accounting data'!K2:K65536,"689*"))-SUM(J10:J17)</f>
        <v>0</v>
      </c>
      <c r="K18" s="351">
        <f t="array" ref="K18">SUM(SUMIFS('Accounting data'!G2:G65536,'Accounting data'!H2:H65536,"1310-1399-C*",'Accounting data'!I2:I65536,{"1*","2*","3*","4*","5*","6*"},'Accounting data'!K2:K65536,"683*"))+SUM(SUMIFS('Accounting data'!G2:G65536,'Accounting data'!H2:H65536,"1227*",'Accounting data'!I2:I65536,{"1*","2*","3*","4*","5*","6*"},'Accounting data'!K2:K65536,"683*"))+SUM(SUMIFS('Accounting data'!G2:G65536,'Accounting data'!H2:H65536,"1228*",'Accounting data'!I2:I65536,{"1*","2*","3*","4*","5*","6*"},'Accounting data'!K2:K65536,"683*"))-SUM(K10:K17)</f>
        <v>0</v>
      </c>
      <c r="L18" s="34">
        <v>0</v>
      </c>
      <c r="M18" s="351">
        <f t="array" ref="M18">SUM(SUMIFS('Accounting data'!G2:G65536,'Accounting data'!H2:H65536,"1310-1399-C*",'Accounting data'!I2:I65536,{"7*","8*","9*"},'Accounting data'!K2:K65536,"6*"))-SUM(SUMIFS('Accounting data'!G2:G65536,'Accounting data'!H2:H65536,"1310-1399-C*",'Accounting data'!I2:I65536,{"7*","8*","9*"},'Accounting data'!K2:K65536,"69*"))+SUM(SUMIFS('Accounting data'!G2:G65536,'Accounting data'!H2:H65536,"1227*",'Accounting data'!I2:I65536,{"7*","8*","9*"},'Accounting data'!K2:K65536,"6*"))-SUM(SUMIFS('Accounting data'!G2:G65536,'Accounting data'!H2:H65536,"1227*",'Accounting data'!I2:I65536,{"7*","8*","9*"},'Accounting data'!K2:K65536,"69*"))+SUM(SUMIFS('Accounting data'!G2:G65536,'Accounting data'!H2:H65536,"1228*",'Accounting data'!I2:I65536,{"7*","8*","9*"},'Accounting data'!K2:K65536,"6*"))-SUM(SUMIFS('Accounting data'!G2:G65536,'Accounting data'!H2:H65536,"1228*",'Accounting data'!I2:I65536,{"7*","8*","9*"},'Accounting data'!K2:K65536,"69*"))-SUM(M10:M17)</f>
        <v>0</v>
      </c>
      <c r="N18" s="353">
        <f t="shared" si="0"/>
        <v>0</v>
      </c>
      <c r="O18" s="362"/>
    </row>
    <row r="19" spans="1:16" x14ac:dyDescent="0.25">
      <c r="A19" s="368" t="s">
        <v>431</v>
      </c>
      <c r="B19" s="369"/>
      <c r="C19" s="370" t="s">
        <v>42</v>
      </c>
      <c r="D19" s="371">
        <f>SUM(D10:D18)</f>
        <v>1099</v>
      </c>
      <c r="E19" s="371">
        <f t="shared" ref="E19:M19" si="1">SUM(E10:E18)</f>
        <v>329</v>
      </c>
      <c r="F19" s="371">
        <f t="shared" si="1"/>
        <v>0</v>
      </c>
      <c r="G19" s="371">
        <f t="shared" si="1"/>
        <v>0</v>
      </c>
      <c r="H19" s="371">
        <f t="shared" si="1"/>
        <v>0</v>
      </c>
      <c r="I19" s="371">
        <f t="shared" si="1"/>
        <v>0</v>
      </c>
      <c r="J19" s="371">
        <f t="shared" si="1"/>
        <v>0</v>
      </c>
      <c r="K19" s="371">
        <f t="shared" si="1"/>
        <v>0</v>
      </c>
      <c r="L19" s="371">
        <f t="shared" si="1"/>
        <v>0</v>
      </c>
      <c r="M19" s="371">
        <f t="shared" si="1"/>
        <v>0</v>
      </c>
      <c r="N19" s="353">
        <f t="shared" si="0"/>
        <v>1428</v>
      </c>
      <c r="O19" s="362"/>
    </row>
    <row r="20" spans="1:16" x14ac:dyDescent="0.25">
      <c r="H20" s="322"/>
      <c r="I20" s="322"/>
      <c r="J20" s="322"/>
      <c r="K20" s="322"/>
      <c r="L20" s="372"/>
    </row>
    <row r="21" spans="1:16" ht="34.5" customHeight="1" x14ac:dyDescent="0.25">
      <c r="A21" s="913" t="s">
        <v>432</v>
      </c>
      <c r="B21" s="914"/>
      <c r="C21" s="915"/>
      <c r="D21" s="609" t="s">
        <v>433</v>
      </c>
      <c r="E21" s="35" t="s">
        <v>434</v>
      </c>
      <c r="G21" s="373" t="s">
        <v>435</v>
      </c>
      <c r="H21" s="374"/>
      <c r="I21" s="374"/>
      <c r="J21" s="375"/>
      <c r="L21" s="376" t="s">
        <v>436</v>
      </c>
      <c r="M21" s="377"/>
      <c r="N21" s="377"/>
      <c r="O21" s="378"/>
    </row>
    <row r="22" spans="1:16" x14ac:dyDescent="0.25">
      <c r="A22" s="379" t="s">
        <v>437</v>
      </c>
      <c r="B22" s="380"/>
      <c r="C22" s="381"/>
      <c r="D22" s="36">
        <v>0</v>
      </c>
      <c r="E22" s="37">
        <v>0</v>
      </c>
      <c r="G22" s="382" t="s">
        <v>438</v>
      </c>
      <c r="H22" s="383"/>
      <c r="I22" s="384"/>
      <c r="J22" s="36">
        <v>0</v>
      </c>
      <c r="L22" s="382" t="s">
        <v>439</v>
      </c>
      <c r="M22" s="383"/>
      <c r="N22" s="384"/>
      <c r="O22" s="38">
        <f>ROUND(SUM(SUMIFS('Accounting data'!G2:G65536,'Accounting data'!H2:H65536,"1310-1399-C*",'Accounting data'!K2:K65536,"69*")),0)+ROUND(SUM(SUMIFS('Accounting data'!G2:G65536,'Accounting data'!H2:H65536,"1227*",'Accounting data'!K2:K65536,"69*")),0)+ROUND(SUM(SUMIFS('Accounting data'!G2:G65536,'Accounting data'!H2:H65536,"1228*",'Accounting data'!K2:K65536,"69*")),0)</f>
        <v>0</v>
      </c>
    </row>
    <row r="23" spans="1:16" x14ac:dyDescent="0.25">
      <c r="A23" s="382" t="s">
        <v>440</v>
      </c>
      <c r="B23" s="383"/>
      <c r="C23" s="384"/>
      <c r="D23" s="36">
        <v>0</v>
      </c>
      <c r="E23" s="47">
        <v>0</v>
      </c>
      <c r="G23" s="385" t="s">
        <v>441</v>
      </c>
      <c r="H23" s="386"/>
      <c r="I23" s="384"/>
      <c r="J23" s="36">
        <v>0</v>
      </c>
    </row>
    <row r="24" spans="1:16" x14ac:dyDescent="0.25">
      <c r="A24" s="382" t="s">
        <v>442</v>
      </c>
      <c r="B24" s="383"/>
      <c r="C24" s="387"/>
      <c r="D24" s="36">
        <v>0</v>
      </c>
      <c r="E24" s="545">
        <v>0</v>
      </c>
      <c r="G24" s="581" t="s">
        <v>443</v>
      </c>
      <c r="H24" s="582"/>
      <c r="I24" s="384"/>
      <c r="J24" s="36">
        <v>0</v>
      </c>
      <c r="L24" s="373" t="s">
        <v>444</v>
      </c>
      <c r="M24" s="374"/>
      <c r="N24" s="374"/>
      <c r="O24" s="375"/>
    </row>
    <row r="25" spans="1:16" x14ac:dyDescent="0.25">
      <c r="A25" s="382" t="s">
        <v>445</v>
      </c>
      <c r="B25" s="383"/>
      <c r="C25" s="387"/>
      <c r="D25" s="36">
        <v>0</v>
      </c>
      <c r="E25" s="545">
        <v>0</v>
      </c>
      <c r="G25" s="581" t="s">
        <v>446</v>
      </c>
      <c r="H25" s="582"/>
      <c r="I25" s="384"/>
      <c r="J25" s="36">
        <v>0</v>
      </c>
      <c r="L25" s="389" t="s">
        <v>447</v>
      </c>
      <c r="M25" s="390"/>
      <c r="N25" s="387"/>
      <c r="O25" s="36">
        <v>0</v>
      </c>
    </row>
    <row r="26" spans="1:16" x14ac:dyDescent="0.25">
      <c r="A26" s="382" t="s">
        <v>448</v>
      </c>
      <c r="B26" s="383"/>
      <c r="C26" s="387"/>
      <c r="D26" s="36">
        <v>0</v>
      </c>
      <c r="E26" s="545">
        <v>0</v>
      </c>
      <c r="G26" s="581" t="s">
        <v>449</v>
      </c>
      <c r="H26" s="582"/>
      <c r="I26" s="384"/>
      <c r="J26" s="36">
        <v>0</v>
      </c>
      <c r="L26" s="389" t="s">
        <v>450</v>
      </c>
      <c r="M26" s="390"/>
      <c r="N26" s="387"/>
      <c r="O26" s="36">
        <v>0</v>
      </c>
    </row>
    <row r="27" spans="1:16" x14ac:dyDescent="0.25">
      <c r="A27" s="391" t="s">
        <v>451</v>
      </c>
      <c r="B27" s="392"/>
      <c r="C27" s="393"/>
      <c r="D27" s="36">
        <v>0</v>
      </c>
      <c r="E27" s="37">
        <v>0</v>
      </c>
      <c r="L27" s="389" t="s">
        <v>452</v>
      </c>
      <c r="M27" s="390"/>
      <c r="N27" s="387"/>
      <c r="O27" s="36">
        <v>0</v>
      </c>
    </row>
    <row r="28" spans="1:16" x14ac:dyDescent="0.25">
      <c r="A28" s="394" t="s">
        <v>453</v>
      </c>
      <c r="B28" s="395"/>
      <c r="C28" s="396"/>
      <c r="D28" s="39">
        <v>0</v>
      </c>
      <c r="E28" s="388">
        <f>D28</f>
        <v>0</v>
      </c>
      <c r="L28" s="323"/>
      <c r="M28" s="323"/>
      <c r="N28" s="323"/>
      <c r="O28" s="40"/>
    </row>
    <row r="29" spans="1:16" x14ac:dyDescent="0.25">
      <c r="A29" s="916"/>
      <c r="B29" s="916"/>
      <c r="C29" s="916"/>
      <c r="D29" s="397"/>
    </row>
    <row r="30" spans="1:16" ht="15" customHeight="1" x14ac:dyDescent="0.25">
      <c r="A30" s="332"/>
      <c r="B30" s="332"/>
      <c r="C30" s="332"/>
      <c r="D30" s="332"/>
      <c r="G30" s="373" t="s">
        <v>454</v>
      </c>
      <c r="H30" s="374"/>
      <c r="I30" s="374"/>
      <c r="J30" s="375"/>
      <c r="L30" s="940" t="str">
        <f>IF(OR(D19&lt;0,E19&lt;0,F19&lt;0,G19&lt;0,H19&lt;0,J19&lt;0,K19&lt;0,L19&lt;0,M19&lt;0,N19&lt;0),"Line 9 in the current expenses table should not contain negative amounts. Click the instruction link in cell A18 for more information.","")</f>
        <v/>
      </c>
      <c r="M30" s="940" t="str">
        <f t="shared" ref="M30:P32" si="2">IF(OR(E19&lt;0,F19&lt;0,G19&lt;0,H19&lt;0,I19&lt;0,K19&lt;0,L19&lt;0,M19&lt;0,N19&lt;0,O19&lt;0),"Table A, line 9 should not contain negative amounts. Click the the instruction link in cell A18 for more information.","")</f>
        <v/>
      </c>
      <c r="N30" s="940" t="str">
        <f t="shared" si="2"/>
        <v/>
      </c>
      <c r="O30" s="940" t="str">
        <f t="shared" si="2"/>
        <v/>
      </c>
      <c r="P30" s="940" t="str">
        <f t="shared" si="2"/>
        <v/>
      </c>
    </row>
    <row r="31" spans="1:16" ht="15" customHeight="1" x14ac:dyDescent="0.25">
      <c r="E31" s="398"/>
      <c r="G31" s="399" t="s">
        <v>455</v>
      </c>
      <c r="H31" s="383"/>
      <c r="I31" s="383"/>
      <c r="J31" s="400">
        <f>ROUND(SUMIFS('Accounting data'!G2:G65536,'Accounting data'!H2:H65536,"1310-1399-C*",'Accounting data'!K2:K65536,"685*"),0)</f>
        <v>0</v>
      </c>
      <c r="L31" s="940" t="str">
        <f>IF(OR(D20&lt;0,E20&lt;0,F20&lt;0,G20&lt;0,H20&lt;0,J20&lt;0,K20&lt;0,L20&lt;0,M20&lt;0,N20&lt;0),"Table A, line 9 should not contain negative amounts. Click the the instruction link in cell A18 for more information.","")</f>
        <v/>
      </c>
      <c r="M31" s="940" t="str">
        <f t="shared" si="2"/>
        <v/>
      </c>
      <c r="N31" s="940" t="str">
        <f t="shared" si="2"/>
        <v/>
      </c>
      <c r="O31" s="940" t="str">
        <f t="shared" si="2"/>
        <v/>
      </c>
      <c r="P31" s="940" t="str">
        <f t="shared" si="2"/>
        <v/>
      </c>
    </row>
    <row r="32" spans="1:16" ht="15" customHeight="1" x14ac:dyDescent="0.25">
      <c r="E32" s="354"/>
      <c r="G32" s="399" t="s">
        <v>456</v>
      </c>
      <c r="H32" s="383"/>
      <c r="I32" s="383"/>
      <c r="J32" s="36">
        <v>0</v>
      </c>
      <c r="L32" s="940" t="str">
        <f>IF(OR(D21&lt;0,E21&lt;0,F21&lt;0,G21&lt;0,H21&lt;0,J21&lt;0,K21&lt;0,L21&lt;0,M21&lt;0,N21&lt;0),"Table A, line 9 should not contain negative amounts. Click the the instruction link in cell A18 for more information.","")</f>
        <v/>
      </c>
      <c r="M32" s="940" t="str">
        <f t="shared" si="2"/>
        <v/>
      </c>
      <c r="N32" s="940" t="str">
        <f t="shared" si="2"/>
        <v/>
      </c>
      <c r="O32" s="940" t="str">
        <f t="shared" si="2"/>
        <v/>
      </c>
      <c r="P32" s="940" t="str">
        <f t="shared" si="2"/>
        <v/>
      </c>
    </row>
    <row r="33" spans="1:28" ht="12.75" customHeight="1" x14ac:dyDescent="0.25">
      <c r="E33" s="401"/>
      <c r="K33" s="402"/>
      <c r="L33" s="41"/>
      <c r="M33" s="41"/>
      <c r="N33" s="42"/>
      <c r="O33" s="41"/>
      <c r="AB33" s="329" t="s">
        <v>457</v>
      </c>
    </row>
    <row r="34" spans="1:28" ht="11.25" customHeight="1" x14ac:dyDescent="0.25">
      <c r="E34" s="403"/>
      <c r="G34" s="323"/>
      <c r="M34" s="404"/>
      <c r="N34" s="405"/>
      <c r="O34" s="405"/>
    </row>
    <row r="35" spans="1:28" ht="37.5" customHeight="1" x14ac:dyDescent="0.25">
      <c r="A35" s="920" t="s">
        <v>458</v>
      </c>
      <c r="B35" s="921"/>
      <c r="C35" s="922"/>
      <c r="D35" s="942" t="s">
        <v>459</v>
      </c>
      <c r="E35" s="944" t="s">
        <v>1327</v>
      </c>
      <c r="F35" s="944" t="s">
        <v>1328</v>
      </c>
      <c r="G35" s="942" t="s">
        <v>460</v>
      </c>
      <c r="J35" s="373" t="s">
        <v>461</v>
      </c>
      <c r="K35" s="59"/>
      <c r="L35" s="59"/>
      <c r="M35" s="59"/>
      <c r="N35" s="60"/>
      <c r="R35" s="322"/>
      <c r="V35" s="328"/>
    </row>
    <row r="36" spans="1:28" ht="25.5" customHeight="1" x14ac:dyDescent="0.25">
      <c r="A36" s="923"/>
      <c r="B36" s="833"/>
      <c r="C36" s="924"/>
      <c r="D36" s="943"/>
      <c r="E36" s="945"/>
      <c r="F36" s="945"/>
      <c r="G36" s="943"/>
      <c r="J36" s="925" t="s">
        <v>462</v>
      </c>
      <c r="K36" s="926"/>
      <c r="L36" s="926"/>
      <c r="M36" s="927"/>
      <c r="N36" s="410">
        <v>200305</v>
      </c>
      <c r="Q36" s="43"/>
      <c r="R36" s="44"/>
      <c r="V36" s="328"/>
    </row>
    <row r="37" spans="1:28" ht="12.75" customHeight="1" x14ac:dyDescent="0.25">
      <c r="A37" s="45" t="s">
        <v>463</v>
      </c>
      <c r="B37" s="46"/>
      <c r="C37" s="46"/>
      <c r="D37" s="47">
        <v>57067</v>
      </c>
      <c r="E37" s="47">
        <v>57067</v>
      </c>
      <c r="F37" s="352"/>
      <c r="G37" s="352"/>
      <c r="J37" s="925" t="s">
        <v>464</v>
      </c>
      <c r="K37" s="926"/>
      <c r="L37" s="926"/>
      <c r="M37" s="927"/>
      <c r="N37" s="410">
        <v>200305</v>
      </c>
      <c r="R37" s="322"/>
      <c r="V37" s="328"/>
    </row>
    <row r="38" spans="1:28" ht="12.75" customHeight="1" x14ac:dyDescent="0.25">
      <c r="A38" s="45" t="s">
        <v>465</v>
      </c>
      <c r="B38" s="46"/>
      <c r="C38" s="46"/>
      <c r="D38" s="47">
        <v>234916</v>
      </c>
      <c r="E38" s="47">
        <v>234916</v>
      </c>
      <c r="F38" s="47">
        <v>0</v>
      </c>
      <c r="G38" s="371">
        <f>ROUND(D38-E38-F38,0)</f>
        <v>0</v>
      </c>
      <c r="J38" s="925" t="s">
        <v>466</v>
      </c>
      <c r="K38" s="926"/>
      <c r="L38" s="926"/>
      <c r="M38" s="927"/>
      <c r="N38" s="410">
        <v>200305</v>
      </c>
      <c r="R38" s="322"/>
      <c r="V38" s="328"/>
    </row>
    <row r="39" spans="1:28" ht="12.75" customHeight="1" x14ac:dyDescent="0.25">
      <c r="A39" s="45" t="s">
        <v>467</v>
      </c>
      <c r="B39" s="46"/>
      <c r="C39" s="46"/>
      <c r="D39" s="47">
        <v>531737</v>
      </c>
      <c r="E39" s="47">
        <v>530309</v>
      </c>
      <c r="F39" s="47">
        <v>1428</v>
      </c>
      <c r="G39" s="371">
        <f>ROUND(D39-E39-F39,0)</f>
        <v>0</v>
      </c>
      <c r="J39" s="917" t="s">
        <v>468</v>
      </c>
      <c r="K39" s="918"/>
      <c r="L39" s="918"/>
      <c r="M39" s="919"/>
      <c r="N39" s="411">
        <v>0</v>
      </c>
      <c r="R39" s="322"/>
      <c r="V39" s="328"/>
    </row>
    <row r="40" spans="1:28" ht="12.75" customHeight="1" x14ac:dyDescent="0.25">
      <c r="A40" s="45" t="s">
        <v>469</v>
      </c>
      <c r="B40" s="46"/>
      <c r="C40" s="46"/>
      <c r="D40" s="47">
        <v>18302</v>
      </c>
      <c r="E40" s="47">
        <v>18302</v>
      </c>
      <c r="F40" s="47">
        <v>0</v>
      </c>
      <c r="G40" s="371">
        <f>ROUND(D40-E40-F40,0)</f>
        <v>0</v>
      </c>
      <c r="J40" s="917" t="s">
        <v>470</v>
      </c>
      <c r="K40" s="918"/>
      <c r="L40" s="918"/>
      <c r="M40" s="919"/>
      <c r="N40" s="412">
        <f>ROUND(N36-N37-N39,0)</f>
        <v>0</v>
      </c>
      <c r="R40" s="322"/>
      <c r="V40" s="328"/>
    </row>
    <row r="41" spans="1:28" ht="12.75" customHeight="1" x14ac:dyDescent="0.25">
      <c r="A41" s="45" t="s">
        <v>471</v>
      </c>
      <c r="B41" s="46"/>
      <c r="C41" s="46"/>
      <c r="D41" s="47">
        <v>66204</v>
      </c>
      <c r="E41" s="47">
        <v>66204</v>
      </c>
      <c r="F41" s="47">
        <v>0</v>
      </c>
      <c r="G41" s="371">
        <f>ROUND(D41-E41-F41,0)</f>
        <v>0</v>
      </c>
    </row>
    <row r="42" spans="1:28" ht="12.75" customHeight="1" x14ac:dyDescent="0.25">
      <c r="A42" s="48" t="s">
        <v>472</v>
      </c>
      <c r="B42" s="46"/>
      <c r="C42" s="46"/>
      <c r="D42" s="47">
        <v>77082</v>
      </c>
      <c r="E42" s="47">
        <v>77082</v>
      </c>
      <c r="F42" s="47">
        <v>0</v>
      </c>
      <c r="G42" s="371">
        <f>ROUND(D42-E42-F42,0)</f>
        <v>0</v>
      </c>
    </row>
    <row r="43" spans="1:28" ht="12.75" customHeight="1" x14ac:dyDescent="0.25">
      <c r="A43" s="908" t="s">
        <v>473</v>
      </c>
      <c r="B43" s="909"/>
      <c r="C43" s="910"/>
      <c r="D43" s="406">
        <f>ROUND(SUM(D37:D42),0)</f>
        <v>985308</v>
      </c>
      <c r="E43" s="406">
        <f>ROUND(SUM(E37:E42),0)</f>
        <v>983880</v>
      </c>
      <c r="F43" s="406">
        <f>ROUND(SUM(F37:F42),0)</f>
        <v>1428</v>
      </c>
      <c r="G43" s="406">
        <f>ROUND(SUM(G37:G42),0)</f>
        <v>0</v>
      </c>
    </row>
    <row r="44" spans="1:28" x14ac:dyDescent="0.25">
      <c r="F44" s="407"/>
    </row>
    <row r="45" spans="1:28" x14ac:dyDescent="0.25">
      <c r="E45" s="688" t="s">
        <v>1367</v>
      </c>
      <c r="F45" s="49">
        <f>ROUND(N19+O22+O25+O26+O27+J31+J32,0)</f>
        <v>1428</v>
      </c>
      <c r="H45" s="911" t="str">
        <f>IF(OR(G37&lt;0,G38&lt;0,G39&lt;0,G40&lt;0,G41&lt;0,G42&lt;0,G43&lt;0),"Column G should not contain negative amounts. Click the instruction link in cell G36 for more information.","")</f>
        <v/>
      </c>
      <c r="I45" s="912"/>
      <c r="J45" s="912"/>
      <c r="K45" s="912"/>
    </row>
    <row r="46" spans="1:28" ht="12.75" customHeight="1" x14ac:dyDescent="0.25">
      <c r="A46" s="408"/>
      <c r="B46" s="408"/>
      <c r="C46" s="409"/>
      <c r="F46" s="911" t="str">
        <f>IF(F45&lt;&gt;F43,"Total in cell F43 should agree to amount in cell F45","")</f>
        <v/>
      </c>
      <c r="G46" s="911"/>
      <c r="H46" s="912"/>
      <c r="I46" s="912"/>
      <c r="J46" s="912"/>
      <c r="K46" s="912"/>
    </row>
    <row r="47" spans="1:28" ht="12.75" customHeight="1" x14ac:dyDescent="0.25">
      <c r="A47" s="408"/>
      <c r="B47" s="408"/>
      <c r="C47" s="409"/>
      <c r="F47" s="911"/>
      <c r="G47" s="911"/>
      <c r="H47" s="912"/>
      <c r="I47" s="912"/>
      <c r="J47" s="912"/>
      <c r="K47" s="912"/>
    </row>
    <row r="48" spans="1:28" ht="12.75" customHeight="1" x14ac:dyDescent="0.25">
      <c r="A48" s="409"/>
      <c r="B48" s="409"/>
      <c r="C48" s="409"/>
      <c r="F48" s="911"/>
      <c r="G48" s="911"/>
      <c r="H48" s="912"/>
      <c r="I48" s="912"/>
      <c r="J48" s="912"/>
      <c r="K48" s="912"/>
    </row>
    <row r="49" spans="1:7" ht="12.75" customHeight="1" x14ac:dyDescent="0.25">
      <c r="A49" s="409"/>
      <c r="B49" s="409"/>
      <c r="C49" s="409"/>
      <c r="F49" s="911"/>
      <c r="G49" s="911"/>
    </row>
  </sheetData>
  <sheetProtection sheet="1" objects="1" scenarios="1"/>
  <mergeCells count="22">
    <mergeCell ref="B1:E1"/>
    <mergeCell ref="H1:I1"/>
    <mergeCell ref="D35:D36"/>
    <mergeCell ref="E35:E36"/>
    <mergeCell ref="F35:F36"/>
    <mergeCell ref="G35:G36"/>
    <mergeCell ref="A5:A6"/>
    <mergeCell ref="D5:L5"/>
    <mergeCell ref="N5:N9"/>
    <mergeCell ref="A8:C9"/>
    <mergeCell ref="L30:P32"/>
    <mergeCell ref="A43:C43"/>
    <mergeCell ref="H45:K48"/>
    <mergeCell ref="F46:G49"/>
    <mergeCell ref="A21:C21"/>
    <mergeCell ref="A29:C29"/>
    <mergeCell ref="J40:M40"/>
    <mergeCell ref="A35:C36"/>
    <mergeCell ref="J36:M36"/>
    <mergeCell ref="J37:M37"/>
    <mergeCell ref="J38:M38"/>
    <mergeCell ref="J39:M39"/>
  </mergeCells>
  <conditionalFormatting sqref="B1:E1">
    <cfRule type="expression" dxfId="41" priority="42" stopIfTrue="1">
      <formula>B1=""</formula>
    </cfRule>
  </conditionalFormatting>
  <conditionalFormatting sqref="D22:D28">
    <cfRule type="expression" dxfId="40" priority="24" stopIfTrue="1">
      <formula>D22=""</formula>
    </cfRule>
  </conditionalFormatting>
  <conditionalFormatting sqref="D37:E42 F38:F42">
    <cfRule type="expression" dxfId="39" priority="5" stopIfTrue="1">
      <formula>D37=""</formula>
    </cfRule>
  </conditionalFormatting>
  <conditionalFormatting sqref="E22:E27">
    <cfRule type="expression" dxfId="38" priority="18" stopIfTrue="1">
      <formula>E22=""</formula>
    </cfRule>
  </conditionalFormatting>
  <conditionalFormatting sqref="G38:G42">
    <cfRule type="cellIs" dxfId="37" priority="8" stopIfTrue="1" operator="lessThan">
      <formula>0</formula>
    </cfRule>
  </conditionalFormatting>
  <conditionalFormatting sqref="H1:I1">
    <cfRule type="expression" dxfId="36" priority="41" stopIfTrue="1">
      <formula>H1=""</formula>
    </cfRule>
  </conditionalFormatting>
  <conditionalFormatting sqref="J22:J26">
    <cfRule type="expression" dxfId="35" priority="13" stopIfTrue="1">
      <formula>J22=""</formula>
    </cfRule>
  </conditionalFormatting>
  <conditionalFormatting sqref="J32">
    <cfRule type="expression" dxfId="34" priority="12" stopIfTrue="1">
      <formula>J32=""</formula>
    </cfRule>
  </conditionalFormatting>
  <conditionalFormatting sqref="L1">
    <cfRule type="expression" dxfId="33" priority="40" stopIfTrue="1">
      <formula>L1=""</formula>
    </cfRule>
  </conditionalFormatting>
  <conditionalFormatting sqref="L10:L18">
    <cfRule type="expression" dxfId="32" priority="31" stopIfTrue="1">
      <formula>L10=""</formula>
    </cfRule>
  </conditionalFormatting>
  <conditionalFormatting sqref="N36:N39">
    <cfRule type="expression" dxfId="31" priority="1" stopIfTrue="1">
      <formula>N36=""</formula>
    </cfRule>
  </conditionalFormatting>
  <conditionalFormatting sqref="O25:O27">
    <cfRule type="expression" dxfId="30" priority="9" stopIfTrue="1">
      <formula>O25=""</formula>
    </cfRule>
  </conditionalFormatting>
  <dataValidations count="148">
    <dataValidation type="whole" allowBlank="1" showInputMessage="1" showErrorMessage="1" errorTitle="Input error" error="The amount entered should be rounded to the nearest dollar and should not exceed the remaining Other funds balance (column D minus columns E and F)." sqref="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xr:uid="{00000000-0002-0000-0B00-000000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xr:uid="{00000000-0002-0000-0B00-000001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xr:uid="{00000000-0002-0000-0B00-000002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xr:uid="{00000000-0002-0000-0B00-000003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xr:uid="{00000000-0002-0000-0B00-000004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xr:uid="{00000000-0002-0000-0B00-000005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xr:uid="{00000000-0002-0000-0B00-000006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xr:uid="{00000000-0002-0000-0B00-000007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xr:uid="{00000000-0002-0000-0B00-000008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xr:uid="{00000000-0002-0000-0B00-000009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OMY983082 OWU983082 PGQ983082 PQM983082 QAI983082 QKE983082 QUA983082 RDW983082 RNS983082 RXO983082 SHK983082 SRG983082 TBC983082 TKY983082 TUU983082 UEQ983082 UOM983082 UYI983082 VIE983082 VSA983082 WBW983082 WLS983082 WVO983082" xr:uid="{00000000-0002-0000-0B00-00000A000000}">
      <formula1>0</formula1>
      <formula2>IZ42-JA42-JB42</formula2>
    </dataValidation>
    <dataValidation type="whole" allowBlank="1" showInputMessage="1" showErrorMessage="1" errorTitle="Input error" error="The amount entered should be rounded to the nearest dollar and should not exceed the remaining ESSER I fund balance (column D minus columns E and F)."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xr:uid="{00000000-0002-0000-0B00-00000B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xr:uid="{00000000-0002-0000-0B00-00000C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xr:uid="{00000000-0002-0000-0B00-00000D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xr:uid="{00000000-0002-0000-0B00-00000E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xr:uid="{00000000-0002-0000-0B00-00000F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xr:uid="{00000000-0002-0000-0B00-000010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xr:uid="{00000000-0002-0000-0B00-000011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xr:uid="{00000000-0002-0000-0B00-000012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xr:uid="{00000000-0002-0000-0B00-000013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xr:uid="{00000000-0002-0000-0B00-000014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OMY983077 OWU983077 PGQ983077 PQM983077 QAI983077 QKE983077 QUA983077 RDW983077 RNS983077 RXO983077 SHK983077 SRG983077 TBC983077 TKY983077 TUU983077 UEQ983077 UOM983077 UYI983077 VIE983077 VSA983077 WBW983077 WLS983077 WVO983077" xr:uid="{00000000-0002-0000-0B00-000015000000}">
      <formula1>0</formula1>
      <formula2>IZ37-JA37-JB37</formula2>
    </dataValidation>
    <dataValidation type="whole" allowBlank="1" showInputMessage="1" showErrorMessage="1" errorTitle="Input error" error="The amount entered should be rounded to the nearest dollar and should not exceed the remaining ESSER II fund balance (column D minus columns E and F)." sqref="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xr:uid="{00000000-0002-0000-0B00-000016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xr:uid="{00000000-0002-0000-0B00-000017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xr:uid="{00000000-0002-0000-0B00-000018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xr:uid="{00000000-0002-0000-0B00-000019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xr:uid="{00000000-0002-0000-0B00-00001A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xr:uid="{00000000-0002-0000-0B00-00001B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xr:uid="{00000000-0002-0000-0B00-00001C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xr:uid="{00000000-0002-0000-0B00-00001D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xr:uid="{00000000-0002-0000-0B00-00001E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xr:uid="{00000000-0002-0000-0B00-00001F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MY983078 OWU983078 PGQ983078 PQM983078 QAI983078 QKE983078 QUA983078 RDW983078 RNS983078 RXO983078 SHK983078 SRG983078 TBC983078 TKY983078 TUU983078 UEQ983078 UOM983078 UYI983078 VIE983078 VSA983078 WBW983078 WLS983078 WVO983078" xr:uid="{00000000-0002-0000-0B00-000020000000}">
      <formula1>0</formula1>
      <formula2>IZ38-JA38-JB38</formula2>
    </dataValidation>
    <dataValidation type="whole" allowBlank="1" showInputMessage="1" showErrorMessage="1" errorTitle="Input error" error="The amount entered should be rounded to the nearest dollar and should not exceed the remaining ESG Fund balance (column D minus columns E and F)." sqref="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xr:uid="{00000000-0002-0000-0B00-000021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xr:uid="{00000000-0002-0000-0B00-000022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xr:uid="{00000000-0002-0000-0B00-000023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xr:uid="{00000000-0002-0000-0B00-000024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xr:uid="{00000000-0002-0000-0B00-000025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xr:uid="{00000000-0002-0000-0B00-000026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xr:uid="{00000000-0002-0000-0B00-000027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xr:uid="{00000000-0002-0000-0B00-000028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xr:uid="{00000000-0002-0000-0B00-000029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xr:uid="{00000000-0002-0000-0B00-00002A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OMY983081 OWU983081 PGQ983081 PQM983081 QAI983081 QKE983081 QUA983081 RDW983081 RNS983081 RXO983081 SHK983081 SRG983081 TBC983081 TKY983081 TUU983081 UEQ983081 UOM983081 UYI983081 VIE983081 VSA983081 WBW983081 WLS983081 WVO983081" xr:uid="{00000000-0002-0000-0B00-00002B000000}">
      <formula1>0</formula1>
      <formula2>IZ41-JA41-JB41</formula2>
    </dataValidation>
    <dataValidation type="whole" allowBlank="1" showInputMessage="1" showErrorMessage="1" errorTitle="Input error" error="The amount entered should be rounded to the nearest dollar and should not exceed the remaining GEER fund balance (column D minus columns E and F)." sqref="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xr:uid="{00000000-0002-0000-0B00-00002C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xr:uid="{00000000-0002-0000-0B00-00002D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xr:uid="{00000000-0002-0000-0B00-00002E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xr:uid="{00000000-0002-0000-0B00-00002F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xr:uid="{00000000-0002-0000-0B00-000030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xr:uid="{00000000-0002-0000-0B00-000031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xr:uid="{00000000-0002-0000-0B00-000032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xr:uid="{00000000-0002-0000-0B00-000033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xr:uid="{00000000-0002-0000-0B00-000034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xr:uid="{00000000-0002-0000-0B00-000035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OMY983080 OWU983080 PGQ983080 PQM983080 QAI983080 QKE983080 QUA983080 RDW983080 RNS983080 RXO983080 SHK983080 SRG983080 TBC983080 TKY983080 TUU983080 UEQ983080 UOM983080 UYI983080 VIE983080 VSA983080 WBW983080 WLS983080 WVO983080" xr:uid="{00000000-0002-0000-0B00-000036000000}">
      <formula1>0</formula1>
      <formula2>IZ40-JA40-JB40</formula2>
    </dataValidation>
    <dataValidation type="whole" allowBlank="1" showInputMessage="1" showErrorMessage="1" errorTitle="Input error" error="The amount entered should be rounded to the nearest dollar and should not exceed the remaining ESSER III fund balance (column D minus columns E and F)." sqref="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xr:uid="{00000000-0002-0000-0B00-000037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xr:uid="{00000000-0002-0000-0B00-000038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xr:uid="{00000000-0002-0000-0B00-000039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xr:uid="{00000000-0002-0000-0B00-00003A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xr:uid="{00000000-0002-0000-0B00-00003B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xr:uid="{00000000-0002-0000-0B00-00003C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xr:uid="{00000000-0002-0000-0B00-00003D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xr:uid="{00000000-0002-0000-0B00-00003E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xr:uid="{00000000-0002-0000-0B00-00003F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xr:uid="{00000000-0002-0000-0B00-000040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MY983079 OWU983079 PGQ983079 PQM983079 QAI983079 QKE983079 QUA983079 RDW983079 RNS983079 RXO983079 SHK983079 SRG983079 TBC983079 TKY983079 TUU983079 UEQ983079 UOM983079 UYI983079 VIE983079 VSA983079 WBW983079 WLS983079 WVO983079" xr:uid="{00000000-0002-0000-0B00-000041000000}">
      <formula1>0</formula1>
      <formula2>IZ39-JA39-JB39</formula2>
    </dataValidation>
    <dataValidation type="whole" allowBlank="1" showInputMessage="1" showErrorMessage="1" errorTitle="Input error" error="The amount entered should be rounded to the nearest dollar and should not exceed the remaining ESSER III fund balance (column D minus column E)." sqref="MFV6557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xr:uid="{00000000-0002-0000-0B00-000042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xr:uid="{00000000-0002-0000-0B00-000043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xr:uid="{00000000-0002-0000-0B00-000044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xr:uid="{00000000-0002-0000-0B00-000045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xr:uid="{00000000-0002-0000-0B00-000046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xr:uid="{00000000-0002-0000-0B00-000047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xr:uid="{00000000-0002-0000-0B00-000048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xr:uid="{00000000-0002-0000-0B00-000049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xr:uid="{00000000-0002-0000-0B00-00004A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xr:uid="{00000000-0002-0000-0B00-00004B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ODB983079 OMX983079 OWT983079 PGP983079 PQL983079 QAH983079 QKD983079 QTZ983079 RDV983079 RNR983079 RXN983079 SHJ983079 SRF983079 TBB983079 TKX983079 TUT983079 UEP983079 UOL983079 UYH983079 VID983079 VRZ983079 WBV983079 WLR983079 WVN983079" xr:uid="{00000000-0002-0000-0B00-00004C000000}">
      <formula1>0</formula1>
      <formula2>D39-E39</formula2>
    </dataValidation>
    <dataValidation type="whole" allowBlank="1" showInputMessage="1" showErrorMessage="1" errorTitle="Input error" error="The amount entered should be rounded to the nearest dollar and should not exceed the remaining GEER fund balance (column D minus column E)." sqref="MFV65576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xr:uid="{00000000-0002-0000-0B00-00004D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xr:uid="{00000000-0002-0000-0B00-00004E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xr:uid="{00000000-0002-0000-0B00-00004F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xr:uid="{00000000-0002-0000-0B00-000050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xr:uid="{00000000-0002-0000-0B00-000051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xr:uid="{00000000-0002-0000-0B00-000052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xr:uid="{00000000-0002-0000-0B00-000053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xr:uid="{00000000-0002-0000-0B00-000054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xr:uid="{00000000-0002-0000-0B00-000055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xr:uid="{00000000-0002-0000-0B00-000056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ODB983080 OMX983080 OWT983080 PGP983080 PQL983080 QAH983080 QKD983080 QTZ983080 RDV983080 RNR983080 RXN983080 SHJ983080 SRF983080 TBB983080 TKX983080 TUT983080 UEP983080 UOL983080 UYH983080 VID983080 VRZ983080 WBV983080 WLR983080 WVN983080" xr:uid="{00000000-0002-0000-0B00-000057000000}">
      <formula1>0</formula1>
      <formula2>D40-E40</formula2>
    </dataValidation>
    <dataValidation type="whole" allowBlank="1" showInputMessage="1" showErrorMessage="1" errorTitle="Input error" error="The amount entered should be rounded to the nearest dollar and should not exceed the remaining ESG Fund balance (column D minus column E)." sqref="MFV65577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xr:uid="{00000000-0002-0000-0B00-000058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xr:uid="{00000000-0002-0000-0B00-00005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xr:uid="{00000000-0002-0000-0B00-00005A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xr:uid="{00000000-0002-0000-0B00-00005B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xr:uid="{00000000-0002-0000-0B00-00005C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xr:uid="{00000000-0002-0000-0B00-00005D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xr:uid="{00000000-0002-0000-0B00-00005E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xr:uid="{00000000-0002-0000-0B00-00005F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xr:uid="{00000000-0002-0000-0B00-000060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xr:uid="{00000000-0002-0000-0B00-000061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ODB983081 OMX983081 OWT983081 PGP983081 PQL983081 QAH983081 QKD983081 QTZ983081 RDV983081 RNR983081 RXN983081 SHJ983081 SRF983081 TBB983081 TKX983081 TUT983081 UEP983081 UOL983081 UYH983081 VID983081 VRZ983081 WBV983081 WLR983081 WVN983081" xr:uid="{00000000-0002-0000-0B00-000062000000}">
      <formula1>0</formula1>
      <formula2>D41-E41</formula2>
    </dataValidation>
    <dataValidation type="whole" allowBlank="1" showInputMessage="1" showErrorMessage="1" errorTitle="Input error" error="The amount entered should be rounded to the nearest dollar and should not exceed the remaining ESSER II fund balance (column D minus column E)." sqref="MFV65574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xr:uid="{00000000-0002-0000-0B00-000063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xr:uid="{00000000-0002-0000-0B00-000064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xr:uid="{00000000-0002-0000-0B00-000065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xr:uid="{00000000-0002-0000-0B00-000066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xr:uid="{00000000-0002-0000-0B00-00006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xr:uid="{00000000-0002-0000-0B00-000068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xr:uid="{00000000-0002-0000-0B00-000069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xr:uid="{00000000-0002-0000-0B00-00006A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xr:uid="{00000000-0002-0000-0B00-00006B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xr:uid="{00000000-0002-0000-0B00-00006C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ODB983078 OMX983078 OWT983078 PGP983078 PQL983078 QAH983078 QKD983078 QTZ983078 RDV983078 RNR983078 RXN983078 SHJ983078 SRF983078 TBB983078 TKX983078 TUT983078 UEP983078 UOL983078 UYH983078 VID983078 VRZ983078 WBV983078 WLR983078 WVN983078" xr:uid="{00000000-0002-0000-0B00-00006D000000}">
      <formula1>0</formula1>
      <formula2>D38-E38</formula2>
    </dataValidation>
    <dataValidation type="whole" allowBlank="1" showInputMessage="1" showErrorMessage="1" errorTitle="Input error" error="The amount entered should be rounded to the nearest dollar and should not exceed the remaining ESSER I fund balance (column D minus column E)." sqref="MFV65573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xr:uid="{00000000-0002-0000-0B00-00006E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xr:uid="{00000000-0002-0000-0B00-00006F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xr:uid="{00000000-0002-0000-0B00-000070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xr:uid="{00000000-0002-0000-0B00-000071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xr:uid="{00000000-0002-0000-0B00-000072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xr:uid="{00000000-0002-0000-0B00-000073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xr:uid="{00000000-0002-0000-0B00-000074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xr:uid="{00000000-0002-0000-0B00-000075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xr:uid="{00000000-0002-0000-0B00-000076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xr:uid="{00000000-0002-0000-0B00-000077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ODB983077 OMX983077 OWT983077 PGP983077 PQL983077 QAH983077 QKD983077 QTZ983077 RDV983077 RNR983077 RXN983077 SHJ983077 SRF983077 TBB983077 TKX983077 TUT983077 UEP983077 UOL983077 UYH983077 VID983077 VRZ983077 WBV983077 WLR983077 WVN983077" xr:uid="{00000000-0002-0000-0B00-000078000000}">
      <formula1>0</formula1>
      <formula2>D37-E37</formula2>
    </dataValidation>
    <dataValidation type="whole" allowBlank="1" showInputMessage="1" showErrorMessage="1" errorTitle="Input error" error="The amount entered should be rounded to the nearest dollar and should not exceed the remaining Other funds balance (column D minus column E)." sqref="MFV65578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xr:uid="{00000000-0002-0000-0B00-000079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xr:uid="{00000000-0002-0000-0B00-00007A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xr:uid="{00000000-0002-0000-0B00-00007B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xr:uid="{00000000-0002-0000-0B00-00007C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xr:uid="{00000000-0002-0000-0B00-00007D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xr:uid="{00000000-0002-0000-0B00-00007E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xr:uid="{00000000-0002-0000-0B00-00007F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xr:uid="{00000000-0002-0000-0B00-000080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xr:uid="{00000000-0002-0000-0B00-000081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xr:uid="{00000000-0002-0000-0B00-000082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ODB983082 OMX983082 OWT983082 PGP983082 PQL983082 QAH983082 QKD983082 QTZ983082 RDV983082 RNR983082 RXN983082 SHJ983082 SRF983082 TBB983082 TKX983082 TUT983082 UEP983082 UOL983082 UYH983082 VID983082 VRZ983082 WBV983082 WLR983082 WVN983082" xr:uid="{00000000-0002-0000-0B00-000083000000}">
      <formula1>0</formula1>
      <formula2>D42-E42</formula2>
    </dataValidation>
    <dataValidation type="whole" operator="greaterThanOrEqual" allowBlank="1" showInputMessage="1" showErrorMessage="1" errorTitle="Input error" error="The amount entered should be rounded to the nearest dollar and be greater than or equal to zero." sqref="J24:J26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65560:J65562 JF65560:JF65562 TB65560:TB65562 ACX65560:ACX65562 AMT65560:AMT65562 AWP65560:AWP65562 BGL65560:BGL65562 BQH65560:BQH65562 CAD65560:CAD65562 CJZ65560:CJZ65562 CTV65560:CTV65562 DDR65560:DDR65562 DNN65560:DNN65562 DXJ65560:DXJ65562 EHF65560:EHF65562 ERB65560:ERB65562 FAX65560:FAX65562 FKT65560:FKT65562 FUP65560:FUP65562 GEL65560:GEL65562 GOH65560:GOH65562 GYD65560:GYD65562 HHZ65560:HHZ65562 HRV65560:HRV65562 IBR65560:IBR65562 ILN65560:ILN65562 IVJ65560:IVJ65562 JFF65560:JFF65562 JPB65560:JPB65562 JYX65560:JYX65562 KIT65560:KIT65562 KSP65560:KSP65562 LCL65560:LCL65562 LMH65560:LMH65562 LWD65560:LWD65562 MFZ65560:MFZ65562 JPD983050:JPD983058 JYZ983050:JYZ983058 KIV983050:KIV983058 KSR983050:KSR983058 LCN983050:LCN983058 LMJ983050:LMJ983058 LWF983050:LWF983058 MGB983050:MGB983058 MPX983050:MPX983058 MZT983050:MZT983058 NJP983050:NJP983058 NTL983050:NTL983058 ODH983050:ODH983058 OND983050:OND983058 OWZ983050:OWZ983058 PGV983050:PGV983058 PQR983050:PQR983058 QAN983050:QAN983058 QKJ983050:QKJ983058 QUF983050:QUF983058 REB983050:REB983058 RNX983050:RNX983058 RXT983050:RXT983058 SHP983050:SHP983058 SRL983050:SRL983058 TBH983050:TBH983058 TLD983050:TLD983058 TUZ983050:TUZ983058 UEV983050:UEV983058 UOR983050:UOR983058 UYN983050:UYN983058 VIJ983050:VIJ983058 VSF983050:VSF983058 WCB983050:WCB983058 WLX983050:WLX983058 WVT983050:WVT983058 IBT851978:IBT851986 ILP851978:ILP851986 IVL851978:IVL851986 JFH851978:JFH851986 JPD851978:JPD851986 JYZ851978:JYZ851986 KIV851978:KIV851986 KSR851978:KSR851986 LCN851978:LCN851986 LMJ851978:LMJ851986 LWF851978:LWF851986 MGB851978:MGB851986 MPX851978:MPX851986 MZT851978:MZT851986 NJP851978:NJP851986 NTL851978:NTL851986 ODH851978:ODH851986 OND851978:OND851986 OWZ851978:OWZ851986 PGV851978:PGV851986 PQR851978:PQR851986 QAN851978:QAN851986 QKJ851978:QKJ851986 QUF851978:QUF851986 REB851978:REB851986 RNX851978:RNX851986 RXT851978:RXT851986 SHP851978:SHP851986 SRL851978:SRL851986 TBH851978:TBH851986 TLD851978:TLD851986 TUZ851978:TUZ851986 IBT917514:IBT917522 ILP917514:ILP917522 IVL917514:IVL917522 JFH917514:JFH917522 JPD917514:JPD917522 JYZ917514:JYZ917522 KIV917514:KIV917522 KSR917514:KSR917522 LCN917514:LCN917522 LMJ917514:LMJ917522 LWF917514:LWF917522 MGB917514:MGB917522 MPX917514:MPX917522 MZT917514:MZT917522 NJP917514:NJP917522 NTL917514:NTL917522 ODH917514:ODH917522 OND917514:OND917522 OWZ917514:OWZ917522 PGV917514:PGV917522 PQR917514:PQR917522 QAN917514:QAN917522 QKJ917514:QKJ917522 QUF917514:QUF917522 REB917514:REB917522 RNX917514:RNX917522 RXT917514:RXT917522 SHP917514:SHP917522 SRL917514:SRL917522 TBH917514:TBH917522 TLD917514:TLD917522 TUZ917514:TUZ917522 UEV917514:UEV917522 UOR917514:UOR917522 UYN917514:UYN917522 VIJ917514:VIJ917522 SRL720906:SRL720914 TBH720906:TBH720914 TLD720906:TLD720914 TUZ720906:TUZ720914 UEV720906:UEV720914 UOR720906:UOR720914 UYN720906:UYN720914 VIJ720906:VIJ720914 VSF720906:VSF720914 WCB720906:WCB720914 WLX720906:WLX720914 WVT720906:WVT720914 L786442:L786450 JH786442:JH786450 TD786442:TD786450 ACZ786442:ACZ786450 AMV786442:AMV786450 AWR786442:AWR786450 BGN786442:BGN786450 BQJ786442:BQJ786450 CAF786442:CAF786450 CKB786442:CKB786450 CTX786442:CTX786450 DDT786442:DDT786450 DNP786442:DNP786450 DXL786442:DXL786450 EHH786442:EHH786450 ERD786442:ERD786450 FAZ786442:FAZ786450 FKV786442:FKV786450 FUR786442:FUR786450 GEN786442:GEN786450 VSF917514:VSF917522 WCB917514:WCB917522 WLX917514:WLX917522 WVT917514:WVT917522 L983050:L983058 JH983050:JH983058 TD983050:TD983058 ACZ983050:ACZ983058 AMV983050:AMV983058 AWR983050:AWR983058 BGN983050:BGN983058 BQJ983050:BQJ983058 CAF983050:CAF983058 CKB983050:CKB983058 CTX983050:CTX983058 DDT983050:DDT983058 DNP983050:DNP983058 DXL983050:DXL983058 EHH983050:EHH983058 ERD983050:ERD983058 FAZ983050:FAZ983058 FKV983050:FKV983058 FUR983050:FUR983058 GEN983050:GEN983058 GOJ983050:GOJ983058 GYF983050:GYF983058 HIB983050:HIB983058 HRX983050:HRX983058 IBT983050:IBT983058 ILP983050:ILP983058 IVL983050:IVL983058 JFH983050:JFH983058 SRL786442:SRL786450 TBH786442:TBH786450 TLD786442:TLD786450 TUZ786442:TUZ786450 UEV786442:UEV786450 UOR786442:UOR786450 UYN786442:UYN786450 VIJ786442:VIJ786450 VSF786442:VSF786450 WCB786442:WCB786450 WLX786442:WLX786450 WVT786442:WVT786450 L851978:L851986 JH851978:JH851986 TD851978:TD851986 ACZ851978:ACZ851986 AMV851978:AMV851986 AWR851978:AWR851986 BGN851978:BGN851986 BQJ851978:BQJ851986 CAF851978:CAF851986 CKB851978:CKB851986 CTX851978:CTX851986 DDT851978:DDT851986 DNP851978:DNP851986 DXL851978:DXL851986 EHH851978:EHH851986 ERD851978:ERD851986 FAZ851978:FAZ851986 FKV851978:FKV851986 FUR851978:FUR851986 GEN851978:GEN851986 GOJ851978:GOJ851986 GYF851978:GYF851986 HIB851978:HIB851986 HRX851978:HRX851986 FAZ655370:FAZ655378 FKV655370:FKV655378 FUR655370:FUR655378 GEN655370:GEN655378 GOJ655370:GOJ655378 GYF655370:GYF655378 HIB655370:HIB655378 HRX655370:HRX655378 IBT655370:IBT655378 ILP655370:ILP655378 IVL655370:IVL655378 JFH655370:JFH655378 JPD655370:JPD655378 JYZ655370:JYZ655378 KIV655370:KIV655378 KSR655370:KSR655378 LCN655370:LCN655378 LMJ655370:LMJ655378 LWF655370:LWF655378 MGB655370:MGB655378 MPX655370:MPX655378 MZT655370:MZT655378 NJP655370:NJP655378 NTL655370:NTL655378 ODH655370:ODH655378 OND655370:OND655378 OWZ655370:OWZ655378 PGV655370:PGV655378 PQR655370:PQR655378 QAN655370:QAN655378 QKJ655370:QKJ655378 QUF655370:QUF655378 UEV851978:UEV851986 UOR851978:UOR851986 UYN851978:UYN851986 VIJ851978:VIJ851986 VSF851978:VSF851986 WCB851978:WCB851986 WLX851978:WLX851986 WVT851978:WVT851986 L917514:L917522 JH917514:JH917522 TD917514:TD917522 ACZ917514:ACZ917522 AMV917514:AMV917522 AWR917514:AWR917522 BGN917514:BGN917522 BQJ917514:BQJ917522 CAF917514:CAF917522 CKB917514:CKB917522 CTX917514:CTX917522 DDT917514:DDT917522 DNP917514:DNP917522 DXL917514:DXL917522 EHH917514:EHH917522 ERD917514:ERD917522 FAZ917514:FAZ917522 FKV917514:FKV917522 FUR917514:FUR917522 GEN917514:GEN917522 GOJ917514:GOJ917522 GYF917514:GYF917522 HIB917514:HIB917522 HRX917514:HRX917522 FAZ720906:FAZ720914 FKV720906:FKV720914 FUR720906:FUR720914 GEN720906:GEN720914 GOJ720906:GOJ720914 GYF720906:GYF720914 HIB720906:HIB720914 HRX720906:HRX720914 IBT720906:IBT720914 ILP720906:ILP720914 IVL720906:IVL720914 JFH720906:JFH720914 JPD720906:JPD720914 JYZ720906:JYZ720914 KIV720906:KIV720914 KSR720906:KSR720914 LCN720906:LCN720914 LMJ720906:LMJ720914 LWF720906:LWF720914 MGB720906:MGB720914 MPX720906:MPX720914 MZT720906:MZT720914 NJP720906:NJP720914 NTL720906:NTL720914 ODH720906:ODH720914 OND720906:OND720914 OWZ720906:OWZ720914 PGV720906:PGV720914 PQR720906:PQR720914 QAN720906:QAN720914 QKJ720906:QKJ720914 QUF720906:QUF720914 REB720906:REB720914 RNX720906:RNX720914 RXT720906:RXT720914 SHP720906:SHP720914 PQR524298:PQR524306 QAN524298:QAN524306 QKJ524298:QKJ524306 QUF524298:QUF524306 REB524298:REB524306 RNX524298:RNX524306 RXT524298:RXT524306 SHP524298:SHP524306 SRL524298:SRL524306 TBH524298:TBH524306 TLD524298:TLD524306 TUZ524298:TUZ524306 UEV524298:UEV524306 UOR524298:UOR524306 UYN524298:UYN524306 VIJ524298:VIJ524306 VSF524298:VSF524306 WCB524298:WCB524306 WLX524298:WLX524306 WVT524298:WVT524306 L589834:L589842 JH589834:JH589842 TD589834:TD589842 ACZ589834:ACZ589842 AMV589834:AMV589842 AWR589834:AWR589842 BGN589834:BGN589842 BQJ589834:BQJ589842 CAF589834:CAF589842 CKB589834:CKB589842 CTX589834:CTX589842 DDT589834:DDT589842 GOJ786442:GOJ786450 GYF786442:GYF786450 HIB786442:HIB786450 HRX786442:HRX786450 IBT786442:IBT786450 ILP786442:ILP786450 IVL786442:IVL786450 JFH786442:JFH786450 JPD786442:JPD786450 JYZ786442:JYZ786450 KIV786442:KIV786450 KSR786442:KSR786450 LCN786442:LCN786450 LMJ786442:LMJ786450 LWF786442:LWF786450 MGB786442:MGB786450 MPX786442:MPX786450 MZT786442:MZT786450 NJP786442:NJP786450 NTL786442:NTL786450 ODH786442:ODH786450 OND786442:OND786450 OWZ786442:OWZ786450 PGV786442:PGV786450 PQR786442:PQR786450 QAN786442:QAN786450 QKJ786442:QKJ786450 QUF786442:QUF786450 REB786442:REB786450 RNX786442:RNX786450 RXT786442:RXT786450 SHP786442:SHP786450 PQR589834:PQR589842 QAN589834:QAN589842 QKJ589834:QKJ589842 QUF589834:QUF589842 REB589834:REB589842 RNX589834:RNX589842 RXT589834:RXT589842 SHP589834:SHP589842 SRL589834:SRL589842 TBH589834:TBH589842 TLD589834:TLD589842 TUZ589834:TUZ589842 UEV589834:UEV589842 UOR589834:UOR589842 UYN589834:UYN589842 VIJ589834:VIJ589842 VSF589834:VSF589842 WCB589834:WCB589842 WLX589834:WLX589842 WVT589834:WVT589842 L655370:L655378 JH655370:JH655378 TD655370:TD655378 ACZ655370:ACZ655378 AMV655370:AMV655378 AWR655370:AWR655378 BGN655370:BGN655378 BQJ655370:BQJ655378 CAF655370:CAF655378 CKB655370:CKB655378 CTX655370:CTX655378 DDT655370:DDT655378 DNP655370:DNP655378 DXL655370:DXL655378 EHH655370:EHH655378 ERD655370:ERD655378 CAF458762:CAF458770 CKB458762:CKB458770 CTX458762:CTX458770 DDT458762:DDT458770 DNP458762:DNP458770 DXL458762:DXL458770 EHH458762:EHH458770 ERD458762:ERD458770 FAZ458762:FAZ458770 FKV458762:FKV458770 FUR458762:FUR458770 GEN458762:GEN458770 GOJ458762:GOJ458770 GYF458762:GYF458770 HIB458762:HIB458770 HRX458762:HRX458770 IBT458762:IBT458770 ILP458762:ILP458770 IVL458762:IVL458770 JFH458762:JFH458770 JPD458762:JPD458770 JYZ458762:JYZ458770 KIV458762:KIV458770 KSR458762:KSR458770 LCN458762:LCN458770 LMJ458762:LMJ458770 LWF458762:LWF458770 MGB458762:MGB458770 MPX458762:MPX458770 MZT458762:MZT458770 NJP458762:NJP458770 NTL458762:NTL458770 REB655370:REB655378 RNX655370:RNX655378 RXT655370:RXT655378 SHP655370:SHP655378 SRL655370:SRL655378 TBH655370:TBH655378 TLD655370:TLD655378 TUZ655370:TUZ655378 UEV655370:UEV655378 UOR655370:UOR655378 UYN655370:UYN655378 VIJ655370:VIJ655378 VSF655370:VSF655378 WCB655370:WCB655378 WLX655370:WLX655378 WVT655370:WVT655378 L720906:L720914 JH720906:JH720914 TD720906:TD720914 ACZ720906:ACZ720914 AMV720906:AMV720914 AWR720906:AWR720914 BGN720906:BGN720914 BQJ720906:BQJ720914 CAF720906:CAF720914 CKB720906:CKB720914 CTX720906:CTX720914 DDT720906:DDT720914 DNP720906:DNP720914 DXL720906:DXL720914 EHH720906:EHH720914 ERD720906:ERD720914 CAF524298:CAF524306 CKB524298:CKB524306 CTX524298:CTX524306 DDT524298:DDT524306 DNP524298:DNP524306 DXL524298:DXL524306 EHH524298:EHH524306 ERD524298:ERD524306 FAZ524298:FAZ524306 FKV524298:FKV524306 FUR524298:FUR524306 GEN524298:GEN524306 GOJ524298:GOJ524306 GYF524298:GYF524306 HIB524298:HIB524306 HRX524298:HRX524306 IBT524298:IBT524306 ILP524298:ILP524306 IVL524298:IVL524306 JFH524298:JFH524306 JPD524298:JPD524306 JYZ524298:JYZ524306 KIV524298:KIV524306 KSR524298:KSR524306 LCN524298:LCN524306 LMJ524298:LMJ524306 LWF524298:LWF524306 MGB524298:MGB524306 MPX524298:MPX524306 MZT524298:MZT524306 NJP524298:NJP524306 NTL524298:NTL524306 ODH524298:ODH524306 OND524298:OND524306 OWZ524298:OWZ524306 PGV524298:PGV524306 MPX327690:MPX327698 MZT327690:MZT327698 NJP327690:NJP327698 NTL327690:NTL327698 ODH327690:ODH327698 OND327690:OND327698 OWZ327690:OWZ327698 PGV327690:PGV327698 PQR327690:PQR327698 QAN327690:QAN327698 QKJ327690:QKJ327698 QUF327690:QUF327698 REB327690:REB327698 RNX327690:RNX327698 RXT327690:RXT327698 SHP327690:SHP327698 SRL327690:SRL327698 TBH327690:TBH327698 TLD327690:TLD327698 TUZ327690:TUZ327698 UEV327690:UEV327698 UOR327690:UOR327698 UYN327690:UYN327698 VIJ327690:VIJ327698 VSF327690:VSF327698 WCB327690:WCB327698 WLX327690:WLX327698 WVT327690:WVT327698 L393226:L393234 JH393226:JH393234 TD393226:TD393234 ACZ393226:ACZ393234 DNP589834:DNP589842 DXL589834:DXL589842 EHH589834:EHH589842 ERD589834:ERD589842 FAZ589834:FAZ589842 FKV589834:FKV589842 FUR589834:FUR589842 GEN589834:GEN589842 GOJ589834:GOJ589842 GYF589834:GYF589842 HIB589834:HIB589842 HRX589834:HRX589842 IBT589834:IBT589842 ILP589834:ILP589842 IVL589834:IVL589842 JFH589834:JFH589842 JPD589834:JPD589842 JYZ589834:JYZ589842 KIV589834:KIV589842 KSR589834:KSR589842 LCN589834:LCN589842 LMJ589834:LMJ589842 LWF589834:LWF589842 MGB589834:MGB589842 MPX589834:MPX589842 MZT589834:MZT589842 NJP589834:NJP589842 NTL589834:NTL589842 ODH589834:ODH589842 OND589834:OND589842 OWZ589834:OWZ589842 PGV589834:PGV589842 MPX393226:MPX393234 MZT393226:MZT393234 NJP393226:NJP393234 NTL393226:NTL393234 ODH393226:ODH393234 OND393226:OND393234 OWZ393226:OWZ393234 PGV393226:PGV393234 PQR393226:PQR393234 QAN393226:QAN393234 QKJ393226:QKJ393234 QUF393226:QUF393234 REB393226:REB393234 RNX393226:RNX393234 RXT393226:RXT393234 SHP393226:SHP393234 SRL393226:SRL393234 TBH393226:TBH393234 TLD393226:TLD393234 TUZ393226:TUZ393234 UEV393226:UEV393234 UOR393226:UOR393234 UYN393226:UYN393234 VIJ393226:VIJ393234 VSF393226:VSF393234 WCB393226:WCB393234 WLX393226:WLX393234 WVT393226:WVT393234 L458762:L458770 JH458762:JH458770 TD458762:TD458770 ACZ458762:ACZ458770 AMV458762:AMV458770 AWR458762:AWR458770 BGN458762:BGN458770 BQJ458762:BQJ458770 L262154:L262162 JH262154:JH262162 TD262154:TD262162 ACZ262154:ACZ262162 AMV262154:AMV262162 AWR262154:AWR262162 BGN262154:BGN262162 BQJ262154:BQJ262162 CAF262154:CAF262162 CKB262154:CKB262162 CTX262154:CTX262162 DDT262154:DDT262162 DNP262154:DNP262162 DXL262154:DXL262162 EHH262154:EHH262162 ERD262154:ERD262162 FAZ262154:FAZ262162 FKV262154:FKV262162 FUR262154:FUR262162 GEN262154:GEN262162 GOJ262154:GOJ262162 GYF262154:GYF262162 HIB262154:HIB262162 HRX262154:HRX262162 IBT262154:IBT262162 ILP262154:ILP262162 IVL262154:IVL262162 JFH262154:JFH262162 JPD262154:JPD262162 JYZ262154:JYZ262162 KIV262154:KIV262162 KSR262154:KSR262162 ODH458762:ODH458770 OND458762:OND458770 OWZ458762:OWZ458770 PGV458762:PGV458770 PQR458762:PQR458770 QAN458762:QAN458770 QKJ458762:QKJ458770 QUF458762:QUF458770 REB458762:REB458770 RNX458762:RNX458770 RXT458762:RXT458770 SHP458762:SHP458770 SRL458762:SRL458770 TBH458762:TBH458770 TLD458762:TLD458770 TUZ458762:TUZ458770 UEV458762:UEV458770 UOR458762:UOR458770 UYN458762:UYN458770 VIJ458762:VIJ458770 VSF458762:VSF458770 WCB458762:WCB458770 WLX458762:WLX458770 WVT458762:WVT458770 L524298:L524306 JH524298:JH524306 TD524298:TD524306 ACZ524298:ACZ524306 AMV524298:AMV524306 AWR524298:AWR524306 BGN524298:BGN524306 BQJ524298:BQJ524306 L327690:L327698 JH327690:JH327698 TD327690:TD327698 ACZ327690:ACZ327698 AMV327690:AMV327698 AWR327690:AWR327698 BGN327690:BGN327698 BQJ327690:BQJ327698 CAF327690:CAF327698 CKB327690:CKB327698 CTX327690:CTX327698 DDT327690:DDT327698 DNP327690:DNP327698 DXL327690:DXL327698 EHH327690:EHH327698 ERD327690:ERD327698 FAZ327690:FAZ327698 FKV327690:FKV327698 FUR327690:FUR327698 GEN327690:GEN327698 GOJ327690:GOJ327698 GYF327690:GYF327698 HIB327690:HIB327698 HRX327690:HRX327698 IBT327690:IBT327698 ILP327690:ILP327698 IVL327690:IVL327698 JFH327690:JFH327698 JPD327690:JPD327698 JYZ327690:JYZ327698 KIV327690:KIV327698 KSR327690:KSR327698 LCN327690:LCN327698 LMJ327690:LMJ327698 LWF327690:LWF327698 MGB327690:MGB327698 JPD131082:JPD131090 JYZ131082:JYZ131090 KIV131082:KIV131090 KSR131082:KSR131090 LCN131082:LCN131090 LMJ131082:LMJ131090 LWF131082:LWF131090 MGB131082:MGB131090 MPX131082:MPX131090 MZT131082:MZT131090 NJP131082:NJP131090 NTL131082:NTL131090 ODH131082:ODH131090 OND131082:OND131090 OWZ131082:OWZ131090 PGV131082:PGV131090 PQR131082:PQR131090 QAN131082:QAN131090 QKJ131082:QKJ131090 QUF131082:QUF131090 REB131082:REB131090 RNX131082:RNX131090 RXT131082:RXT131090 SHP131082:SHP131090 SRL131082:SRL131090 TBH131082:TBH131090 TLD131082:TLD131090 TUZ131082:TUZ131090 UEV131082:UEV131090 UOR131082:UOR131090 UYN131082:UYN131090 VIJ131082:VIJ131090 AMV393226:AMV393234 AWR393226:AWR393234 BGN393226:BGN393234 BQJ393226:BQJ393234 CAF393226:CAF393234 CKB393226:CKB393234 CTX393226:CTX393234 DDT393226:DDT393234 DNP393226:DNP393234 DXL393226:DXL393234 EHH393226:EHH393234 ERD393226:ERD393234 FAZ393226:FAZ393234 FKV393226:FKV393234 FUR393226:FUR393234 GEN393226:GEN393234 GOJ393226:GOJ393234 GYF393226:GYF393234 HIB393226:HIB393234 HRX393226:HRX393234 IBT393226:IBT393234 ILP393226:ILP393234 IVL393226:IVL393234 JFH393226:JFH393234 JPD393226:JPD393234 JYZ393226:JYZ393234 KIV393226:KIV393234 KSR393226:KSR393234 LCN393226:LCN393234 LMJ393226:LMJ393234 LWF393226:LWF393234 MGB393226:MGB393234 JPD196618:JPD196626 JYZ196618:JYZ196626 KIV196618:KIV196626 KSR196618:KSR196626 LCN196618:LCN196626 LMJ196618:LMJ196626 LWF196618:LWF196626 MGB196618:MGB196626 MPX196618:MPX196626 MZT196618:MZT196626 NJP196618:NJP196626 NTL196618:NTL196626 ODH196618:ODH196626 OND196618:OND196626 OWZ196618:OWZ196626 PGV196618:PGV196626 PQR196618:PQR196626 QAN196618:QAN196626 QKJ196618:QKJ196626 QUF196618:QUF196626 REB196618:REB196626 RNX196618:RNX196626 RXT196618:RXT196626 SHP196618:SHP196626 SRL196618:SRL196626 TBH196618:TBH196626 TLD196618:TLD196626 TUZ196618:TUZ196626 UEV196618:UEV196626 UOR196618:UOR196626 UYN196618:UYN196626 VIJ196618:VIJ196626 VSF196618:VSF196626 WCB196618:WCB196626 WLX196618:WLX196626 WVT196618:WVT196626 UEV10:UEV18 UOR10:UOR18 UYN10:UYN18 VIJ10:VIJ18 VSF10:VSF18 WCB10:WCB18 WLX10:WLX18 WVT10:WVT18 L65546:L65554 JH65546:JH65554 TD65546:TD65554 ACZ65546:ACZ65554 AMV65546:AMV65554 AWR65546:AWR65554 BGN65546:BGN65554 BQJ65546:BQJ65554 CAF65546:CAF65554 CKB65546:CKB65554 CTX65546:CTX65554 DDT65546:DDT65554 DNP65546:DNP65554 DXL65546:DXL65554 EHH65546:EHH65554 ERD65546:ERD65554 FAZ65546:FAZ65554 FKV65546:FKV65554 FUR65546:FUR65554 GEN65546:GEN65554 GOJ65546:GOJ65554 GYF65546:GYF65554 HIB65546:HIB65554 HRX65546:HRX65554 LCN262154:LCN262162 LMJ262154:LMJ262162 LWF262154:LWF262162 MGB262154:MGB262162 MPX262154:MPX262162 MZT262154:MZT262162 NJP262154:NJP262162 NTL262154:NTL262162 ODH262154:ODH262162 OND262154:OND262162 OWZ262154:OWZ262162 PGV262154:PGV262162 PQR262154:PQR262162 QAN262154:QAN262162 QKJ262154:QKJ262162 QUF262154:QUF262162 REB262154:REB262162 RNX262154:RNX262162 RXT262154:RXT262162 SHP262154:SHP262162 SRL262154:SRL262162 TBH262154:TBH262162 TLD262154:TLD262162 TUZ262154:TUZ262162 UEV262154:UEV262162 UOR262154:UOR262162 UYN262154:UYN262162 VIJ262154:VIJ262162 VSF262154:VSF262162 WCB262154:WCB262162 WLX262154:WLX262162 WVT262154:WVT262162 UEV65546:UEV65554 UOR65546:UOR65554 UYN65546:UYN65554 VIJ65546:VIJ65554 VSF65546:VSF65554 WCB65546:WCB65554 WLX65546:WLX65554 WVT65546:WVT65554 L131082:L131090 JH131082:JH131090 TD131082:TD131090 ACZ131082:ACZ131090 AMV131082:AMV131090 AWR131082:AWR131090 BGN131082:BGN131090 BQJ131082:BQJ131090 CAF131082:CAF131090 CKB131082:CKB131090 CTX131082:CTX131090 DDT131082:DDT131090 DNP131082:DNP131090 DXL131082:DXL131090 EHH131082:EHH131090 ERD131082:ERD131090 FAZ131082:FAZ131090 FKV131082:FKV131090 FUR131082:FUR131090 GEN131082:GEN131090 GOJ131082:GOJ131090 GYF131082:GYF131090 HIB131082:HIB131090 HRX131082:HRX131090 IBT131082:IBT131090 ILP131082:ILP131090 IVL131082:IVL131090 JFH131082:JFH131090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VSF131082:VSF131090 WCB131082:WCB131090 WLX131082:WLX131090 WVT131082:WVT131090 L196618:L196626 JH196618:JH196626 TD196618:TD196626 ACZ196618:ACZ196626 AMV196618:AMV196626 AWR196618:AWR196626 BGN196618:BGN196626 BQJ196618:BQJ196626 CAF196618:CAF196626 CKB196618:CKB196626 CTX196618:CTX196626 DDT196618:DDT196626 DNP196618:DNP196626 DXL196618:DXL196626 EHH196618:EHH196626 ERD196618:ERD196626 FAZ196618:FAZ196626 FKV196618:FKV196626 FUR196618:FUR196626 GEN196618:GEN196626 GOJ196618:GOJ196626 GYF196618:GYF196626 HIB196618:HIB196626 HRX196618:HRX196626 IBT196618:IBT196626 ILP196618:ILP196626 IVL196618:IVL196626 JFH196618:JFH196626 GOJ10:GOJ18 GYF10:GYF18 HIB10:HIB18 HRX10:HRX18 IBT10:IBT18 ILP10:ILP18 IVL10:IVL18 JFH10:JFH18 JPD10:JPD18 JYZ10:JYZ18 KIV10:KIV18 KSR10:KSR18 LCN10:LCN18 LMJ10:LMJ18 LWF10:LWF18 MGB10:MGB18 MPX10:MPX18 MZT10:MZT18 NJP10:NJP18 NTL10:NTL18 ODH10:ODH18 OND10:OND18 OWZ10:OWZ18 PGV10:PGV18 PQR10:PQR18 QAN10:QAN18 QKJ10:QKJ18 QUF10:QUF18 REB10:REB18 RNX10:RNX18 RXT10:RXT18 SHP10:SHP18 SRL10:SRL18 TBH10:TBH18 TLD10:TLD18 TUZ10:TUZ18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IBT65546:IBT65554 ILP65546:ILP65554 IVL65546:IVL65554 JFH65546:JFH65554 JPD65546:JPD65554 JYZ65546:JYZ65554 KIV65546:KIV65554 KSR65546:KSR65554 LCN65546:LCN65554 LMJ65546:LMJ65554 LWF65546:LWF65554 MGB65546:MGB65554 MPX65546:MPX65554 MZT65546:MZT65554 NJP65546:NJP65554 NTL65546:NTL65554 ODH65546:ODH65554 OND65546:OND65554 OWZ65546:OWZ65554 PGV65546:PGV65554 PQR65546:PQR65554 QAN65546:QAN65554 QKJ65546:QKJ65554 QUF65546:QUF65554 REB65546:REB65554 RNX65546:RNX65554 RXT65546:RXT65554 SHP65546:SHP65554 SRL65546:SRL65554 TBH65546:TBH65554 TLD65546:TLD65554 TUZ65546:TUZ65554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SRJ983062 TBF983062 TLB983062 TUX983062 UET983062 UOP983062 UYL983062 VIH983062 VSD983062 WBZ983062 WLV983062 WVR983062 L10:L18 JH10:JH18 TD10:TD18 ACZ10:ACZ18 AMV10:AMV18 AWR10:AWR18 BGN10:BGN18 BQJ10:BQJ18 CAF10:CAF18 CKB10:CKB18 CTX10:CTX18 DDT10:DDT18 DNP10:DNP18 DXL10:DXL18 EHH10:EHH18 ERD10:ERD18 FAZ10:FAZ18 FKV10:FKV18 FUR10:FUR18 GEN10:GEN18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 J22 JF22 TB22 ACX22 AMT22 AWP22 BGL22 BQH22 CAD22 CJZ22 CTV22 DDR22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PQP22 QAL22 QKH22 QUD22 RDZ22 RNV22 RXR22 SHN22 SRJ22 TBF22 TLB22 TUX22 UET22 UOP22 UYL22 VIH22 VSD22 WBZ22 WLV22 WVR22 J65558 JF65558 TB65558 ACX65558 AMT65558 AWP65558 BGL65558 BQH65558 CAD65558 CJZ65558 CTV65558 DDR65558 DNN65558 DXJ65558 EHF65558 ERB65558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DNN22 DXJ22 EHF22 ERB22 FAX22 FKT22 FUP22 GEL22 GOH22 GYD22 HHZ22 HRV22 IBR22 ILN22 IVJ22 JFF22 JPB22 JYX22 KIT22 KSP22 LCL22 LMH22 LWD22 MFZ22 MPV22 MZR22 NJN22 NTJ22 ODF22 ONB22 OWX22 PGT22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D26:D28 IZ26:IZ28 SV26:SV28 ACR26:ACR28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UET983072 UOP983072 UYL983072 VIH983072 VSD983072 WBZ983072 WLV983072 WVR983072 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SRJ32 TBF32 TLB32 TUX32 UET32 UOP32 UYL32 VIH32 VSD32 WBZ32 WLV32 WVR32 J65568 JF65568 TB65568 ACX65568 AMT65568 AWP65568 BGL65568 BQH65568 CAD65568 CJZ65568 CTV65568 DDR65568 DNN65568 DXJ65568 EHF65568 ERB65568 FAX65568 FKT65568 FUP65568 GEL65568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FAX32 FKT32 FUP32 GEL32 GOH32 GYD32 HHZ32 HRV32 IBR32 ILN32 IVJ32 JFF32 JPB32 JYX32 KIT32 KSP32 LCL32 LMH32 LWD32 MFZ32 MPV32 MZR32 NJN32 NTJ32 ODF32 ONB32 OWX32 PGT32 PQP32 QAL32 QKH32 QUD32 RDZ32 RNV32 RXR32 SHN32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J32 JF32 TB32 ACX32 AMT32 AWP32 BGL32 BQH32 CAD32 CJZ32 CTV32 DDR32 DNN32 DXJ32 EHF32 ERB32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ODF983064:ODF983066 ONB983064:ONB983066 OWX983064:OWX983066 PGT983064:PGT983066 PQP983064:PQP983066 QAL983064:QAL983066 QKH983064:QKH983066 QUD983064:QUD983066 RDZ983064:RDZ983066 RNV983064:RNV983066 RXR983064:RXR983066 SHN983064:SHN983066 SRJ983064:SRJ983066 TBF983064:TBF983066 TLB983064:TLB983066 TUX983064:TUX983066 UET983064:UET983066 UOP983064:UOP983066 UYL983064:UYL983066 VIH983064:VIH983066 VSD983064:VSD983066 WBZ983064:WBZ983066 WLV983064:WLV983066 WVR983064:WVR983066 O25:O27 JK25:JK27 TG25:TG27 ADC25:ADC27 AMY25:AMY27 AWU25:AWU27 BGQ25:BGQ27 BQM25:BQM27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AMT917528:AMT917530 AWP917528:AWP917530 BGL917528:BGL917530 BQH917528:BQH917530 CAD917528:CAD917530 CJZ917528:CJZ917530 CTV917528:CTV917530 DDR917528:DDR917530 DNN917528:DNN917530 DXJ917528:DXJ917530 EHF917528:EHF917530 ERB917528:ERB917530 FAX917528:FAX917530 FKT917528:FKT917530 FUP917528:FUP917530 GEL917528:GEL917530 GOH917528:GOH917530 GYD917528:GYD917530 HHZ917528:HHZ917530 HRV917528:HRV917530 IBR917528:IBR917530 ILN917528:ILN917530 IVJ917528:IVJ917530 JFF917528:JFF917530 JPB917528:JPB917530 JYX917528:JYX917530 KIT917528:KIT917530 KSP917528:KSP917530 LCL917528:LCL917530 LMH917528:LMH917530 LWD917528:LWD917530 MFZ917528:MFZ917530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AMT983064:AMT983066 AWP983064:AWP983066 BGL983064:BGL983066 BQH983064:BQH983066 CAD983064:CAD983066 CJZ983064:CJZ983066 CTV983064:CTV983066 DDR983064:DDR983066 DNN983064:DNN983066 DXJ983064:DXJ983066 EHF983064:EHF983066 ERB983064:ERB983066 FAX983064:FAX983066 FKT983064:FKT983066 FUP983064:FUP983066 GEL983064:GEL983066 GOH983064:GOH983066 GYD983064:GYD983066 HHZ983064:HHZ983066 HRV983064:HRV983066 IBR983064:IBR983066 ILN983064:ILN983066 IVJ983064:IVJ983066 JFF983064:JFF983066 JPB983064:JPB983066 JYX983064:JYX983066 KIT983064:KIT983066 KSP983064:KSP983066 LCL983064:LCL983066 LMH983064:LMH983066 LWD983064:LWD983066 MFZ983064:MFZ983066 MPV983064:MPV983066 MZR983064:MZR983066 NJN983064:NJN983066 NTJ983064:NTJ983066 LCL786456:LCL786458 LMH786456:LMH786458 LWD786456:LWD786458 MFZ786456:MFZ786458 MPV786456:MPV786458 MZR786456:MZR786458 NJN786456:NJN786458 NTJ786456:NTJ786458 ODF786456:ODF786458 ONB786456:ONB786458 OWX786456:OWX786458 PGT786456:PGT786458 PQP786456:PQP786458 QAL786456:QAL786458 QKH786456:QKH786458 QUD786456:QUD786458 RDZ786456:RDZ786458 RNV786456:RNV786458 RXR786456:RXR786458 SHN786456:SHN786458 SRJ786456:SRJ786458 TBF786456:TBF786458 TLB786456:TLB786458 TUX786456:TUX786458 UET786456:UET786458 UOP786456:UOP786458 UYL786456:UYL786458 VIH786456:VIH786458 VSD786456:VSD786458 WBZ786456:WBZ786458 WLV786456:WLV786458 WVR786456:WVR786458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LCL851992:LCL851994 LMH851992:LMH851994 LWD851992:LWD851994 MFZ851992:MFZ851994 MPV851992:MPV851994 MZR851992:MZR851994 NJN851992:NJN851994 NTJ851992:NTJ851994 ODF851992:ODF851994 ONB851992:ONB851994 OWX851992:OWX851994 PGT851992:PGT851994 PQP851992:PQP851994 QAL851992:QAL851994 QKH851992:QKH851994 QUD851992:QUD851994 RDZ851992:RDZ851994 RNV851992:RNV851994 RXR851992:RXR851994 SHN851992:SHN851994 SRJ851992:SRJ851994 TBF851992:TBF851994 TLB851992:TLB851994 TUX851992:TUX851994 UET851992:UET851994 UOP851992:UOP851994 UYL851992:UYL851994 VIH851992:VIH851994 VSD851992:VSD851994 WBZ851992:WBZ851994 WLV851992:WLV851994 WVR851992:WVR851994 J917528:J917530 JF917528:JF917530 TB917528:TB917530 ACX917528:ACX917530 VSD655384:VSD655386 WBZ655384:WBZ655386 WLV655384:WLV655386 WVR655384:WVR655386 J720920:J720922 JF720920:JF720922 TB720920:TB720922 ACX720920:ACX720922 AMT720920:AMT720922 AWP720920:AWP720922 BGL720920:BGL720922 BQH720920:BQH720922 CAD720920:CAD720922 CJZ720920:CJZ720922 CTV720920:CTV720922 DDR720920:DDR720922 DNN720920:DNN720922 DXJ720920:DXJ720922 EHF720920:EHF720922 ERB720920:ERB720922 FAX720920:FAX720922 FKT720920:FKT720922 FUP720920:FUP720922 GEL720920:GEL720922 GOH720920:GOH720922 GYD720920:GYD720922 HHZ720920:HHZ720922 HRV720920:HRV720922 IBR720920:IBR720922 ILN720920:ILN720922 IVJ720920:IVJ720922 JFF720920:JFF720922 MPV917528:MPV917530 MZR917528:MZR917530 NJN917528:NJN917530 NTJ917528:NTJ917530 ODF917528:ODF917530 ONB917528:ONB917530 OWX917528:OWX917530 PGT917528:PGT917530 PQP917528:PQP917530 QAL917528:QAL917530 QKH917528:QKH917530 QUD917528:QUD917530 RDZ917528:RDZ917530 RNV917528:RNV917530 RXR917528:RXR917530 SHN917528:SHN917530 SRJ917528:SRJ917530 TBF917528:TBF917530 TLB917528:TLB917530 TUX917528:TUX917530 UET917528:UET917530 UOP917528:UOP917530 UYL917528:UYL917530 VIH917528:VIH917530 VSD917528:VSD917530 WBZ917528:WBZ917530 WLV917528:WLV917530 WVR917528:WVR917530 J983064:J983066 JF983064:JF983066 TB983064:TB983066 ACX983064:ACX983066 VSD720920:VSD720922 WBZ720920:WBZ720922 WLV720920:WLV720922 WVR720920:WVR720922 J786456:J786458 JF786456:JF786458 TB786456:TB786458 ACX786456:ACX786458 AMT786456:AMT786458 AWP786456:AWP786458 BGL786456:BGL786458 BQH786456:BQH786458 CAD786456:CAD786458 CJZ786456:CJZ786458 CTV786456:CTV786458 DDR786456:DDR786458 DNN786456:DNN786458 DXJ786456:DXJ786458 EHF786456:EHF786458 ERB786456:ERB786458 FAX786456:FAX786458 FKT786456:FKT786458 FUP786456:FUP786458 GEL786456:GEL786458 GOH786456:GOH786458 GYD786456:GYD786458 HHZ786456:HHZ786458 HRV786456:HRV786458 IBR786456:IBR786458 ILN786456:ILN786458 IVJ786456:IVJ786458 JFF786456:JFF786458 JPB786456:JPB786458 JYX786456:JYX786458 KIT786456:KIT786458 KSP786456:KSP786458 IBR589848:IBR589850 ILN589848:ILN589850 IVJ589848:IVJ589850 JFF589848:JFF589850 JPB589848:JPB589850 JYX589848:JYX589850 KIT589848:KIT589850 KSP589848:KSP589850 LCL589848:LCL589850 LMH589848:LMH589850 LWD589848:LWD589850 MFZ589848:MFZ589850 MPV589848:MPV589850 MZR589848:MZR589850 NJN589848:NJN589850 NTJ589848:NTJ589850 ODF589848:ODF589850 ONB589848:ONB589850 OWX589848:OWX589850 PGT589848:PGT589850 PQP589848:PQP589850 QAL589848:QAL589850 QKH589848:QKH589850 QUD589848:QUD589850 RDZ589848:RDZ589850 RNV589848:RNV589850 RXR589848:RXR589850 SHN589848:SHN589850 SRJ589848:SRJ589850 TBF589848:TBF589850 TLB589848:TLB589850 TUX589848:TUX589850 J851992:J851994 JF851992:JF851994 TB851992:TB851994 ACX851992:ACX851994 AMT851992:AMT851994 AWP851992:AWP851994 BGL851992:BGL851994 BQH851992:BQH851994 CAD851992:CAD851994 CJZ851992:CJZ851994 CTV851992:CTV851994 DDR851992:DDR851994 DNN851992:DNN851994 DXJ851992:DXJ851994 EHF851992:EHF851994 ERB851992:ERB851994 FAX851992:FAX851994 FKT851992:FKT851994 FUP851992:FUP851994 GEL851992:GEL851994 GOH851992:GOH851994 GYD851992:GYD851994 HHZ851992:HHZ851994 HRV851992:HRV851994 IBR851992:IBR851994 ILN851992:ILN851994 IVJ851992:IVJ851994 JFF851992:JFF851994 JPB851992:JPB851994 JYX851992:JYX851994 KIT851992:KIT851994 KSP851992:KSP851994 IBR655384:IBR655386 ILN655384:ILN655386 IVJ655384:IVJ655386 JFF655384:JFF655386 JPB655384:JPB655386 JYX655384:JYX655386 KIT655384:KIT655386 KSP655384:KSP655386 LCL655384:LCL655386 LMH655384:LMH655386 LWD655384:LWD655386 MFZ655384:MFZ655386 MPV655384:MPV655386 MZR655384:MZR655386 NJN655384:NJN655386 NTJ655384:NTJ655386 ODF655384:ODF655386 ONB655384:ONB655386 OWX655384:OWX655386 PGT655384:PGT655386 PQP655384:PQP655386 QAL655384:QAL655386 QKH655384:QKH655386 QUD655384:QUD655386 RDZ655384:RDZ655386 RNV655384:RNV655386 RXR655384:RXR655386 SHN655384:SHN655386 SRJ655384:SRJ655386 TBF655384:TBF655386 TLB655384:TLB655386 TUX655384:TUX655386 UET655384:UET655386 UOP655384:UOP655386 UYL655384:UYL655386 VIH655384:VIH655386 SRJ458776:SRJ458778 TBF458776:TBF458778 TLB458776:TLB458778 TUX458776:TUX458778 UET458776:UET458778 UOP458776:UOP458778 UYL458776:UYL458778 VIH458776:VIH458778 VSD458776:VSD458778 WBZ458776:WBZ458778 WLV458776:WLV458778 WVR458776:WVR458778 J524312:J524314 JF524312:JF524314 TB524312:TB524314 ACX524312:ACX524314 AMT524312:AMT524314 AWP524312:AWP524314 BGL524312:BGL524314 BQH524312:BQH524314 CAD524312:CAD524314 CJZ524312:CJZ524314 CTV524312:CTV524314 DDR524312:DDR524314 DNN524312:DNN524314 DXJ524312:DXJ524314 EHF524312:EHF524314 ERB524312:ERB524314 FAX524312:FAX524314 FKT524312:FKT524314 FUP524312:FUP524314 GEL524312:GEL524314 JPB720920:JPB720922 JYX720920:JYX720922 KIT720920:KIT720922 KSP720920:KSP720922 LCL720920:LCL720922 LMH720920:LMH720922 LWD720920:LWD720922 MFZ720920:MFZ720922 MPV720920:MPV720922 MZR720920:MZR720922 NJN720920:NJN720922 NTJ720920:NTJ720922 ODF720920:ODF720922 ONB720920:ONB720922 OWX720920:OWX720922 PGT720920:PGT720922 PQP720920:PQP720922 QAL720920:QAL720922 QKH720920:QKH720922 QUD720920:QUD720922 RDZ720920:RDZ720922 RNV720920:RNV720922 RXR720920:RXR720922 SHN720920:SHN720922 SRJ720920:SRJ720922 TBF720920:TBF720922 TLB720920:TLB720922 TUX720920:TUX720922 UET720920:UET720922 UOP720920:UOP720922 UYL720920:UYL720922 VIH720920:VIH720922 SRJ524312:SRJ524314 TBF524312:TBF524314 TLB524312:TLB524314 TUX524312:TUX524314 UET524312:UET524314 UOP524312:UOP524314 UYL524312:UYL524314 VIH524312:VIH524314 VSD524312:VSD524314 WBZ524312:WBZ524314 WLV524312:WLV524314 WVR524312:WVR524314 J589848:J589850 JF589848:JF589850 TB589848:TB589850 ACX589848:ACX589850 AMT589848:AMT589850 AWP589848:AWP589850 BGL589848:BGL589850 BQH589848:BQH589850 CAD589848:CAD589850 CJZ589848:CJZ589850 CTV589848:CTV589850 DDR589848:DDR589850 DNN589848:DNN589850 DXJ589848:DXJ589850 EHF589848:EHF589850 ERB589848:ERB589850 FAX589848:FAX589850 FKT589848:FKT589850 FUP589848:FUP589850 GEL589848:GEL589850 GOH589848:GOH589850 GYD589848:GYD589850 HHZ589848:HHZ589850 HRV589848:HRV589850 FAX393240:FAX393242 FKT393240:FKT393242 FUP393240:FUP393242 GEL393240:GEL393242 GOH393240:GOH393242 GYD393240:GYD393242 HHZ393240:HHZ393242 HRV393240:HRV393242 IBR393240:IBR393242 ILN393240:ILN393242 IVJ393240:IVJ393242 JFF393240:JFF393242 JPB393240:JPB393242 JYX393240:JYX393242 KIT393240:KIT393242 KSP393240:KSP393242 LCL393240:LCL393242 LMH393240:LMH393242 LWD393240:LWD393242 MFZ393240:MFZ393242 MPV393240:MPV393242 MZR393240:MZR393242 NJN393240:NJN393242 NTJ393240:NTJ393242 ODF393240:ODF393242 ONB393240:ONB393242 OWX393240:OWX393242 PGT393240:PGT393242 PQP393240:PQP393242 QAL393240:QAL393242 QKH393240:QKH393242 QUD393240:QUD393242 UET589848:UET589850 UOP589848:UOP589850 UYL589848:UYL589850 VIH589848:VIH589850 VSD589848:VSD589850 WBZ589848:WBZ589850 WLV589848:WLV589850 WVR589848:WVR589850 J655384:J655386 JF655384:JF655386 TB655384:TB655386 ACX655384:ACX655386 AMT655384:AMT655386 AWP655384:AWP655386 BGL655384:BGL655386 BQH655384:BQH655386 CAD655384:CAD655386 CJZ655384:CJZ655386 CTV655384:CTV655386 DDR655384:DDR655386 DNN655384:DNN655386 DXJ655384:DXJ655386 EHF655384:EHF655386 ERB655384:ERB655386 FAX655384:FAX655386 FKT655384:FKT655386 FUP655384:FUP655386 GEL655384:GEL655386 GOH655384:GOH655386 GYD655384:GYD655386 HHZ655384:HHZ655386 HRV655384:HRV655386 FAX458776:FAX458778 FKT458776:FKT458778 FUP458776:FUP458778 GEL458776:GEL458778 GOH458776:GOH458778 GYD458776:GYD458778 HHZ458776:HHZ458778 HRV458776:HRV458778 IBR458776:IBR458778 ILN458776:ILN458778 IVJ458776:IVJ458778 JFF458776:JFF458778 JPB458776:JPB458778 JYX458776:JYX458778 KIT458776:KIT458778 KSP458776:KSP458778 LCL458776:LCL458778 LMH458776:LMH458778 LWD458776:LWD458778 MFZ458776:MFZ458778 MPV458776:MPV458778 MZR458776:MZR458778 NJN458776:NJN458778 NTJ458776:NTJ458778 ODF458776:ODF458778 ONB458776:ONB458778 OWX458776:OWX458778 PGT458776:PGT458778 PQP458776:PQP458778 QAL458776:QAL458778 QKH458776:QKH458778 QUD458776:QUD458778 RDZ458776:RDZ458778 RNV458776:RNV458778 RXR458776:RXR458778 SHN458776:SHN458778 PQP262168:PQP262170 QAL262168:QAL262170 QKH262168:QKH262170 QUD262168:QUD262170 RDZ262168:RDZ262170 RNV262168:RNV262170 RXR262168:RXR262170 SHN262168:SHN262170 SRJ262168:SRJ262170 TBF262168:TBF262170 TLB262168:TLB262170 TUX262168:TUX262170 UET262168:UET262170 UOP262168:UOP262170 UYL262168:UYL262170 VIH262168:VIH262170 VSD262168:VSD262170 WBZ262168:WBZ262170 WLV262168:WLV262170 WVR262168:WVR262170 J327704:J327706 JF327704:JF327706 TB327704:TB327706 ACX327704:ACX327706 AMT327704:AMT327706 AWP327704:AWP327706 BGL327704:BGL327706 BQH327704:BQH327706 CAD327704:CAD327706 CJZ327704:CJZ327706 CTV327704:CTV327706 DDR327704:DDR327706 GOH524312:GOH524314 GYD524312:GYD524314 HHZ524312:HHZ524314 HRV524312:HRV524314 IBR524312:IBR524314 ILN524312:ILN524314 IVJ524312:IVJ524314 JFF524312:JFF524314 JPB524312:JPB524314 JYX524312:JYX524314 KIT524312:KIT524314 KSP524312:KSP524314 LCL524312:LCL524314 LMH524312:LMH524314 LWD524312:LWD524314 MFZ524312:MFZ524314 MPV524312:MPV524314 MZR524312:MZR524314 NJN524312:NJN524314 NTJ524312:NTJ524314 ODF524312:ODF524314 ONB524312:ONB524314 OWX524312:OWX524314 PGT524312:PGT524314 PQP524312:PQP524314 QAL524312:QAL524314 QKH524312:QKH524314 QUD524312:QUD524314 RDZ524312:RDZ524314 RNV524312:RNV524314 RXR524312:RXR524314 SHN524312:SHN524314 PQP327704:PQP327706 QAL327704:QAL327706 QKH327704:QKH327706 QUD327704:QUD327706 RDZ327704:RDZ327706 RNV327704:RNV327706 RXR327704:RXR327706 SHN327704:SHN327706 SRJ327704:SRJ327706 TBF327704:TBF327706 TLB327704:TLB327706 TUX327704:TUX327706 UET327704:UET327706 UOP327704:UOP327706 UYL327704:UYL327706 VIH327704:VIH327706 VSD327704:VSD327706 WBZ327704:WBZ327706 WLV327704:WLV327706 WVR327704:WVR327706 J393240:J393242 JF393240:JF393242 TB393240:TB393242 ACX393240:ACX393242 AMT393240:AMT393242 AWP393240:AWP393242 BGL393240:BGL393242 BQH393240:BQH393242 CAD393240:CAD393242 CJZ393240:CJZ393242 CTV393240:CTV393242 DDR393240:DDR393242 DNN393240:DNN393242 DXJ393240:DXJ393242 EHF393240:EHF393242 ERB393240:ERB393242 CAD196632:CAD196634 CJZ196632:CJZ196634 CTV196632:CTV196634 DDR196632:DDR196634 DNN196632:DNN196634 DXJ196632:DXJ196634 EHF196632:EHF196634 ERB196632:ERB196634 FAX196632:FAX196634 FKT196632:FKT196634 FUP196632:FUP196634 GEL196632:GEL196634 GOH196632:GOH196634 GYD196632:GYD196634 HHZ196632:HHZ196634 HRV196632:HRV196634 IBR196632:IBR196634 ILN196632:ILN196634 IVJ196632:IVJ196634 JFF196632:JFF196634 JPB196632:JPB196634 JYX196632:JYX196634 KIT196632:KIT196634 KSP196632:KSP196634 LCL196632:LCL196634 LMH196632:LMH196634 LWD196632:LWD196634 MFZ196632:MFZ196634 MPV196632:MPV196634 MZR196632:MZR196634 NJN196632:NJN196634 NTJ196632:NTJ196634 RDZ393240:RDZ393242 RNV393240:RNV393242 RXR393240:RXR393242 SHN393240:SHN393242 SRJ393240:SRJ393242 TBF393240:TBF393242 TLB393240:TLB393242 TUX393240:TUX393242 UET393240:UET393242 UOP393240:UOP393242 UYL393240:UYL393242 VIH393240:VIH393242 VSD393240:VSD393242 WBZ393240:WBZ393242 WLV393240:WLV393242 WVR393240:WVR393242 J458776:J458778 JF458776:JF458778 TB458776:TB458778 ACX458776:ACX458778 AMT458776:AMT458778 AWP458776:AWP458778 BGL458776:BGL458778 BQH458776:BQH458778 CAD458776:CAD458778 CJZ458776:CJZ458778 CTV458776:CTV458778 DDR458776:DDR458778 DNN458776:DNN458778 DXJ458776:DXJ458778 EHF458776:EHF458778 ERB458776:ERB458778 CAD262168:CAD262170 CJZ262168:CJZ262170 CTV262168:CTV262170 DDR262168:DDR262170 DNN262168:DNN262170 DXJ262168:DXJ262170 EHF262168:EHF262170 ERB262168:ERB262170 FAX262168:FAX262170 FKT262168:FKT262170 FUP262168:FUP262170 GEL262168:GEL262170 GOH262168:GOH262170 GYD262168:GYD262170 HHZ262168:HHZ262170 HRV262168:HRV262170 IBR262168:IBR262170 ILN262168:ILN262170 IVJ262168:IVJ262170 JFF262168:JFF262170 JPB262168:JPB262170 JYX262168:JYX262170 KIT262168:KIT262170 KSP262168:KSP262170 LCL262168:LCL262170 LMH262168:LMH262170 LWD262168:LWD262170 MFZ262168:MFZ262170 MPV262168:MPV262170 MZR262168:MZR262170 NJN262168:NJN262170 NTJ262168:NTJ262170 ODF262168:ODF262170 ONB262168:ONB262170 OWX262168:OWX262170 PGT262168:PGT262170 MPV65560:MPV65562 MZR65560:MZR65562 NJN65560:NJN65562 NTJ65560:NTJ65562 ODF65560:ODF65562 ONB65560:ONB65562 OWX65560:OWX65562 PGT65560:PGT65562 PQP65560:PQP65562 QAL65560:QAL65562 QKH65560:QKH65562 QUD65560:QUD65562 RDZ65560:RDZ65562 RNV65560:RNV65562 RXR65560:RXR65562 SHN65560:SHN65562 SRJ65560:SRJ65562 TBF65560:TBF65562 TLB65560:TLB65562 TUX65560:TUX65562 UET65560:UET65562 UOP65560:UOP65562 UYL65560:UYL65562 VIH65560:VIH65562 VSD65560:VSD65562 WBZ65560:WBZ65562 WLV65560:WLV65562 WVR65560:WVR65562 J131096:J131098 JF131096:JF131098 TB131096:TB131098 ACX131096:ACX131098 DNN327704:DNN327706 DXJ327704:DXJ327706 EHF327704:EHF327706 ERB327704:ERB327706 FAX327704:FAX327706 FKT327704:FKT327706 FUP327704:FUP327706 GEL327704:GEL327706 GOH327704:GOH327706 GYD327704:GYD327706 HHZ327704:HHZ327706 HRV327704:HRV327706 IBR327704:IBR327706 ILN327704:ILN327706 IVJ327704:IVJ327706 JFF327704:JFF327706 JPB327704:JPB327706 JYX327704:JYX327706 KIT327704:KIT327706 KSP327704:KSP327706 LCL327704:LCL327706 LMH327704:LMH327706 LWD327704:LWD327706 MFZ327704:MFZ327706 MPV327704:MPV327706 MZR327704:MZR327706 NJN327704:NJN327706 NTJ327704:NTJ327706 ODF327704:ODF327706 ONB327704:ONB327706 OWX327704:OWX327706 PGT327704:PGT327706 AMT131096:AMT131098 AWP131096:AWP131098 BGL131096:BGL131098 BQH131096:BQH131098 CAD131096:CAD131098 CJZ131096:CJZ131098 CTV131096:CTV131098 DDR131096:DDR131098 DNN131096:DNN131098 DXJ131096:DXJ131098 EHF131096:EHF131098 ERB131096:ERB131098 FAX131096:FAX131098 FKT131096:FKT131098 FUP131096:FUP131098 GEL131096:GEL131098 GOH131096:GOH131098 GYD131096:GYD131098 HHZ131096:HHZ131098 HRV131096:HRV131098 IBR131096:IBR131098 ILN131096:ILN131098 IVJ131096:IVJ131098 JFF131096:JFF131098 JPB131096:JPB131098 JYX131096:JYX131098 KIT131096:KIT131098 KSP131096:KSP131098 LCL131096:LCL131098 LMH131096:LMH131098 LWD131096:LWD131098 MFZ131096:MFZ131098 MPV131096:MPV131098 MZR131096:MZR131098 NJN131096:NJN131098 NTJ131096:NTJ131098 ODF131096:ODF131098 ONB131096:ONB131098 OWX131096:OWX131098 PGT131096:PGT131098 PQP131096:PQP131098 QAL131096:QAL131098 QKH131096:QKH131098 QUD131096:QUD131098 RDZ131096:RDZ131098 RNV131096:RNV131098 RXR131096:RXR131098 SHN131096:SHN131098 SRJ131096:SRJ131098 TBF131096:TBF131098 TLB131096:TLB131098 TUX131096:TUX131098 UET131096:UET131098 UOP131096:UOP131098 UYL131096:UYL131098 VIH131096:VIH131098 VSD131096:VSD131098 WBZ131096:WBZ131098 WLV131096:WLV131098 WVR131096:WVR131098 J196632:J196634 JF196632:JF196634 TB196632:TB196634 ACX196632:ACX196634 AMT196632:AMT196634 AWP196632:AWP196634 BGL196632:BGL196634 BQH196632:BQH196634 ODF196632:ODF196634 ONB196632:ONB196634 OWX196632:OWX196634 PGT196632:PGT196634 PQP196632:PQP196634 QAL196632:QAL196634 QKH196632:QKH196634 QUD196632:QUD196634 RDZ196632:RDZ196634 RNV196632:RNV196634 RXR196632:RXR196634 SHN196632:SHN196634 SRJ196632:SRJ196634 TBF196632:TBF196634 TLB196632:TLB196634 TUX196632:TUX196634 UET196632:UET196634 UOP196632:UOP196634 UYL196632:UYL196634 VIH196632:VIH196634 VSD196632:VSD196634 WBZ196632:WBZ196634 WLV196632:WLV196634 WVR196632:WVR196634 J262168:J262170 JF262168:JF262170 TB262168:TB262170 ACX262168:ACX262170 AMT262168:AMT262170 AWP262168:AWP262170 BGL262168:BGL262170 BQH262168:BQH262170" xr:uid="{00000000-0002-0000-0B00-000084000000}">
      <formula1>0</formula1>
    </dataValidation>
    <dataValidation type="whole" operator="greaterThanOrEqual"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TLB917527 TUX917527 UET917527 UOP917527 UYL917527 VIH917527 VSD917527 WBZ917527 WLV917527 WVR917527 J983063 JF983063 TB983063 ACX983063 AMT983063 AWP983063 BGL983063 BQH983063 CAD983063 CJZ983063 CTV983063 DDR983063 DNN983063 DXJ983063 EHF983063 FUP851991 GEL851991 GOH851991 GYD851991 HHZ851991 HRV851991 IBR851991 ILN851991 IVJ851991 JFF851991 JPB851991 JYX851991 KIT851991 KSP851991 LCL851991 LMH851991 LWD851991 MFZ851991 MPV851991 MZR851991 NJN851991 NTJ851991 ODF851991 ONB851991 OWX851991 ODF983063 ONB983063 OWX983063 PGT983063 PQP983063 QAL983063 QKH983063 QUD983063 RDZ983063 RNV983063 RXR983063 SHN983063 SRJ983063 TBF983063 TLB983063 TUX983063 UET983063 UOP983063 UYL983063 VIH983063 VSD983063 WBZ983063 WLV983063 WVR983063 N36:N39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QKH720919 QUD720919 RDZ720919 RNV720919 RXR720919 SHN720919 SRJ720919 TBF720919 TLB720919 TUX720919 UET720919 UOP720919 UYL720919 VIH720919 VSD720919 WBZ720919 WLV720919 WVR720919 J786455 JF786455 TB786455 ACX786455 AMT786455 AWP786455 BGL786455 ERB983063 FAX983063 FKT983063 FUP983063 GEL983063 GOH983063 GYD983063 HHZ983063 HRV983063 IBR983063 ILN983063 IVJ983063 JFF983063 JPB983063 JYX983063 KIT983063 KSP983063 LCL983063 LMH983063 LWD983063 MFZ983063 MPV983063 MZR983063 NJN983063 NTJ983063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CTV655383 DDR655383 DNN655383 DXJ655383 EHF655383 ERB655383 FAX655383 FKT655383 FUP655383 GEL655383 GOH655383 GYD655383 HHZ655383 HRV655383 IBR655383 ILN655383 IVJ655383 JFF655383 JPB655383 JYX655383 KIT655383 KSP655383 LCL655383 LMH655383 LWD655383 PGT851991 PQP851991 QAL851991 QKH851991 QUD851991 RDZ851991 RNV851991 RXR851991 SHN851991 SRJ851991 TBF851991 TLB851991 TUX851991 UET851991 UOP851991 UYL851991 VIH851991 VSD851991 WBZ851991 WLV851991 WVR851991 J917527 JF917527 TB917527 ACX917527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NJN524311 NTJ524311 ODF524311 ONB524311 OWX524311 PGT524311 PQP524311 QAL524311 QKH524311 QUD524311 RDZ524311 RNV524311 RXR524311 SHN524311 SRJ524311 TBF524311 TLB524311 TUX524311 UET524311 UOP524311 UYL524311 VIH524311 VSD524311 WBZ524311 WLV524311 BQH786455 CAD786455 CJZ786455 CTV786455 DDR786455 DNN786455 DXJ786455 EHF786455 ERB786455 FAX786455 FKT786455 FUP786455 GEL786455 GOH786455 GYD786455 HHZ786455 HRV786455 IBR786455 ILN786455 IVJ786455 JFF786455 JPB786455 JYX786455 KIT786455 KSP786455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TB458775 ACX458775 AMT458775 AWP458775 BGL458775 BQH458775 CAD458775 CJZ458775 CTV458775 DDR458775 DNN458775 DXJ458775 EHF458775 ERB458775 FAX458775 FKT458775 FUP458775 GEL458775 GOH458775 GYD458775 HHZ458775 HRV458775 IBR458775 ILN458775 IVJ458775 MFZ655383 MPV655383 MZR655383 NJN655383 NTJ655383 ODF655383 ONB655383 OWX655383 PGT655383 PQP655383 QAL655383 QKH655383 QUD655383 RDZ655383 RNV655383 RXR655383 SHN655383 SRJ655383 TBF655383 TLB655383 TUX655383 UET655383 UOP655383 UYL655383 VIH655383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KIT327703 KSP327703 LCL327703 LMH327703 LWD327703 MFZ327703 MPV327703 MZR327703 NJN327703 NTJ327703 ODF327703 ONB327703 OWX327703 PGT327703 PQP327703 QAL327703 QKH327703 QUD327703 RDZ327703 RNV327703 RXR327703 SHN327703 SRJ327703 TBF327703 TLB327703 WVR524311 J589847 JF589847 TB589847 ACX589847 AMT589847 AWP589847 BGL589847 BQH589847 CAD589847 CJZ589847 CTV589847 DDR589847 DNN589847 DXJ589847 EHF589847 ERB589847 FAX589847 FKT589847 FUP589847 GEL589847 GOH589847 GYD589847 HHZ589847 HRV589847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UYL196631 VIH196631 VSD196631 WBZ196631 WLV196631 WVR196631 J262167 JF262167 TB262167 ACX262167 AMT262167 AWP262167 BGL262167 BQH262167 CAD262167 CJZ262167 CTV262167 DDR262167 DNN262167 DXJ262167 EHF262167 ERB262167 FAX262167 FKT262167 FUP262167 JFF458775 JPB458775 JYX458775 KIT458775 KSP458775 LCL458775 LMH458775 LWD458775 MFZ458775 MPV458775 MZR458775 NJN458775 NTJ458775 ODF458775 ONB458775 OWX458775 PGT458775 PQP458775 QAL458775 QKH458775 QUD458775 RDZ458775 RNV458775 RXR458775 SHN458775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HHZ131095 HRV131095 IBR131095 ILN131095 IVJ131095 JFF131095 JPB131095 JYX131095 KIT131095 KSP131095 LCL131095 LMH131095 LWD131095 MFZ131095 MPV131095 MZR131095 NJN131095 NTJ131095 ODF131095 ONB131095 OWX131095 PGT131095 PQP131095 QAL131095 QKH131095 TUX327703 UET327703 UOP327703 UYL327703 VIH327703 VSD327703 WBZ327703 WLV327703 WVR327703 J393239 JF393239 TB393239 ACX393239 AMT393239 AWP393239 BGL393239 BQH393239 CAD393239 CJZ393239 CTV393239 DDR393239 DNN393239 DXJ393239 EHF393239 ERB393239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QUD131095 RDZ131095 RNV131095 RXR131095 SHN131095 SRJ131095 TBF131095 TLB131095 TUX131095 UET131095 UOP131095 UYL131095 VIH131095 VSD131095 WBZ131095 WLV131095 WVR131095 J196631 JF196631 TB196631 ACX196631 AMT196631 AWP196631 BGL196631 BQH196631 GEL262167 GOH262167 GYD262167 HHZ262167 HRV262167 IBR262167 ILN262167 IVJ262167 JFF262167 JPB262167 JYX262167 KIT262167 KSP262167 LCL262167 LMH262167 LWD262167 MFZ262167 MPV262167 MZR262167 NJN262167 NTJ262167 ODF262167 ONB262167 OWX262167 PGT262167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xr:uid="{00000000-0002-0000-0B00-0000CC000000}">
      <formula1>0</formula1>
    </dataValidation>
    <dataValidation type="textLength" operator="equal" allowBlank="1" showInputMessage="1" showErrorMessage="1" promptTitle="CTD Number" prompt="This cell will only accept a CTD number of exactly 9 digits.  Enter 000 at the end of the charter number to fill the places of a school number." sqref="WVT98304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UYN917505 VIJ917505 VSF917505 WCB917505 WLX917505 WVT917505 L983041 JH983041 TD983041 ACZ983041 AMV983041 AWR983041 BGN983041 BQJ983041 CAF983041 CKB983041 CTX983041 DDT983041 DNP983041 DXL983041 EHH983041 ERD983041 FAZ983041 HIB851969 HRX851969 IBT851969 ILP851969 IVL851969 JFH851969 JPD851969 JYZ851969 KIV851969 KSR851969 LCN851969 LMJ851969 LWF851969 MGB851969 MPX851969 MZT851969 NJP851969 NTL851969 ODH851969 OND851969 OWZ851969 PGV851969 PQR851969 ODH983041 OND983041 OWZ983041 PGV983041 PQR983041 QAN983041 QKJ983041 QUF983041 REB983041 RNX983041 RXT983041 SHP983041 SRL983041 TBH983041 TLD983041 TUZ983041 UEV983041 UOR983041 UYN983041 VIJ983041 VSF983041 WCB983041 WLX983041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RXT720897 SHP720897 SRL720897 TBH720897 TLD720897 TUZ720897 UEV720897 UOR720897 UYN720897 VIJ720897 VSF720897 WCB720897 WLX720897 WVT720897 L786433 JH786433 TD786433 ACZ786433 AMV786433 AWR786433 BGN786433 BQJ786433 CAF786433 FKV983041 FUR983041 GEN983041 GOJ983041 GYF983041 HIB983041 HRX983041 IBT983041 ILP983041 IVL983041 JFH983041 JPD983041 JYZ983041 KIV983041 KSR983041 LCN983041 LMJ983041 LWF983041 MGB983041 MPX983041 MZT983041 NJP983041 NTL983041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EHH655361 ERD655361 FAZ655361 FKV655361 FUR655361 GEN655361 GOJ655361 GYF655361 HIB655361 HRX655361 IBT655361 ILP655361 IVL655361 JFH655361 JPD655361 JYZ655361 KIV655361 KSR655361 LCN655361 LMJ655361 LWF655361 MGB655361 MPX655361 QAN851969 QKJ851969 QUF851969 REB851969 RNX851969 RXT851969 SHP851969 SRL851969 TBH851969 TLD851969 TUZ851969 UEV851969 UOR851969 UYN851969 VIJ851969 VSF851969 WCB851969 WLX851969 WVT851969 L917505 JH917505 TD917505 ACZ917505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OWZ524289 PGV524289 PQR524289 QAN524289 QKJ524289 QUF524289 REB524289 RNX524289 RXT524289 SHP524289 SRL524289 TBH524289 TLD524289 TUZ524289 UEV524289 UOR524289 UYN524289 VIJ524289 VSF524289 WCB524289 WLX524289 WVT524289 L589825 CKB786433 CTX786433 DDT786433 DNP786433 DXL786433 EHH786433 ERD786433 FAZ786433 FKV786433 FUR786433 GEN786433 GOJ786433 GYF786433 HIB786433 HRX786433 IBT786433 ILP786433 IVL786433 JFH786433 JPD786433 JYZ786433 KIV786433 KSR786433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BGN458753 BQJ458753 CAF458753 CKB458753 CTX458753 DDT458753 DNP458753 DXL458753 EHH458753 ERD458753 FAZ458753 FKV458753 FUR458753 GEN458753 GOJ458753 GYF458753 HIB458753 HRX458753 IBT458753 ILP458753 IVL458753 JFH458753 JPD458753 MZT655361 NJP655361 NTL655361 ODH655361 OND655361 OWZ655361 PGV655361 PQR655361 QAN655361 QKJ655361 QUF655361 REB655361 RNX655361 RXT655361 SHP655361 SRL655361 TBH655361 TLD655361 TUZ655361 UEV655361 UOR655361 UYN655361 VIJ655361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LWF327681 MGB327681 MPX327681 MZT327681 NJP327681 NTL327681 ODH327681 OND327681 OWZ327681 PGV327681 PQR327681 QAN327681 QKJ327681 QUF327681 REB327681 RNX327681 RXT327681 SHP327681 SRL327681 TBH327681 TLD327681 TUZ327681 UEV327681 JH589825 TD589825 ACZ589825 AMV589825 AWR589825 BGN589825 BQJ589825 CAF589825 CKB589825 CTX589825 DDT589825 DNP589825 DXL589825 EHH589825 ERD589825 FAZ589825 FKV589825 FUR589825 GEN589825 GOJ589825 GYF589825 HIB589825 HRX589825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WLX196609 WVT196609 L262145 JH262145 TD262145 ACZ262145 AMV262145 AWR262145 BGN262145 BQJ262145 CAF262145 CKB262145 CTX262145 DDT262145 DNP262145 DXL262145 EHH262145 ERD262145 FAZ262145 FKV262145 FUR262145 GEN262145 GOJ262145 JYZ458753 KIV458753 KSR458753 LCN458753 LMJ458753 LWF458753 MGB458753 MPX458753 MZT458753 NJP458753 NTL458753 ODH458753 OND458753 OWZ458753 PGV458753 PQR458753 QAN458753 QKJ458753 QUF458753 REB458753 RNX458753 RXT458753 SHP458753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IVL131073 JFH131073 JPD131073 JYZ131073 KIV131073 KSR131073 LCN131073 LMJ131073 LWF131073 MGB131073 MPX131073 MZT131073 NJP131073 NTL131073 ODH131073 OND131073 OWZ131073 PGV131073 PQR131073 QAN131073 QKJ131073 QUF131073 REB131073 UOR327681 UYN327681 VIJ327681 VSF327681 WCB327681 WLX327681 WVT327681 L393217 JH393217 TD393217 ACZ393217 AMV393217 AWR393217 BGN393217 BQJ393217 CAF393217 CKB393217 CTX393217 DDT393217 DNP393217 DXL393217 EHH393217 ERD393217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RNX131073 RXT131073 SHP131073 SRL131073 TBH131073 TLD131073 TUZ131073 UEV131073 UOR131073 UYN131073 VIJ131073 VSF131073 WCB131073 WLX131073 WVT131073 L196609 JH196609 TD196609 ACZ196609 AMV196609 AWR196609 BGN196609 BQJ196609 GYF262145 HIB262145 HRX262145 IBT262145 ILP262145 IVL262145 JFH262145 JPD262145 JYZ262145 KIV262145 KSR262145 LCN262145 LMJ262145 LWF262145 MGB262145 MPX262145 MZT262145 NJP262145 NTL262145 ODH262145 OND262145 OWZ262145 PGV262145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xr:uid="{00000000-0002-0000-0B00-0000D7000000}">
      <formula1>9</formula1>
    </dataValidation>
    <dataValidation operator="equal" allowBlank="1" showInputMessage="1" showErrorMessage="1" promptTitle="CTD Number" prompt="This cell will only accept a CTD number of exactly 9 digits.  Enter 000 at the end of the charter number to fill the places of a school number." sqref="L1" xr:uid="{00000000-0002-0000-0B00-0000E2000000}"/>
    <dataValidation type="whole" allowBlank="1" showInputMessage="1" showErrorMessage="1" errorTitle="Input error" error="The amount entered should be rounded to the nearest dollar and should not exceed the remaining Other funds balance (column D minus columns E and F)." sqref="F42" xr:uid="{00000000-0002-0000-0B00-0000E3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s E and F)." sqref="ODC983082" xr:uid="{00000000-0002-0000-0B00-0000E4000000}">
      <formula1>0</formula1>
      <formula2>D42-E42-#REF!</formula2>
    </dataValidation>
    <dataValidation type="whole" allowBlank="1" showInputMessage="1" showErrorMessage="1" errorTitle="Input error" error="The amount entered should be rounded to the nearest dollar and should not exceed the remaining ESSER I fund balance (column D minus columns E and F)." sqref="F37" xr:uid="{00000000-0002-0000-0B00-0000E5000000}">
      <formula1>0</formula1>
      <formula2>D37-E37-#REF!</formula2>
    </dataValidation>
    <dataValidation type="whole" allowBlank="1" showInputMessage="1" showErrorMessage="1" errorTitle="Input error" error="The amount entered should be rounded to the nearest dollar and should not exceed the remaining ESSER I fund balance (column D minus columns E and F)." sqref="ODC983077" xr:uid="{00000000-0002-0000-0B00-0000E6000000}">
      <formula1>0</formula1>
      <formula2>D37-E37-#REF!</formula2>
    </dataValidation>
    <dataValidation type="whole" allowBlank="1" showInputMessage="1" showErrorMessage="1" errorTitle="Input error" error="The amount entered should be rounded to the nearest dollar and should not exceed the remaining ESSER II fund balance (column D minus columns E and F)." sqref="F38" xr:uid="{00000000-0002-0000-0B00-0000E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DC983078" xr:uid="{00000000-0002-0000-0B00-0000E8000000}">
      <formula1>0</formula1>
      <formula2>D38-E38-#REF!</formula2>
    </dataValidation>
    <dataValidation type="whole" allowBlank="1" showInputMessage="1" showErrorMessage="1" errorTitle="Input error" error="The amount entered should be rounded to the nearest dollar and should not exceed the remaining ESG Fund balance (column D minus columns E and F)." sqref="F41" xr:uid="{00000000-0002-0000-0B00-0000E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s E and F)." sqref="ODC983081" xr:uid="{00000000-0002-0000-0B00-0000EA000000}">
      <formula1>0</formula1>
      <formula2>D41-E41-#REF!</formula2>
    </dataValidation>
    <dataValidation type="whole" allowBlank="1" showInputMessage="1" showErrorMessage="1" errorTitle="Input error" error="The amount entered should be rounded to the nearest dollar and should not exceed the remaining GEER fund balance (column D minus columns E and F)." sqref="F40" xr:uid="{00000000-0002-0000-0B00-0000EB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s E and F)." sqref="ODC983080" xr:uid="{00000000-0002-0000-0B00-0000EC000000}">
      <formula1>0</formula1>
      <formula2>D40-E40-#REF!</formula2>
    </dataValidation>
    <dataValidation type="whole" allowBlank="1" showInputMessage="1" showErrorMessage="1" errorTitle="Input error" error="The amount entered should be rounded to the nearest dollar and should not exceed the remaining ESSER III fund balance (column D minus columns E and F)." sqref="F39" xr:uid="{00000000-0002-0000-0B00-0000ED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DC983079" xr:uid="{00000000-0002-0000-0B00-0000EE000000}">
      <formula1>0</formula1>
      <formula2>D39-E39-#REF!</formula2>
    </dataValidation>
  </dataValidations>
  <hyperlinks>
    <hyperlink ref="A18" location="Page10OtherLine" display="Other" xr:uid="{00000000-0004-0000-0B00-000000000000}"/>
    <hyperlink ref="A21:C21" location="Page10TechDetail" display="Technology related expenses from COVID-19 federal relief projects" xr:uid="{00000000-0004-0000-0B00-000001000000}"/>
    <hyperlink ref="A28" location="Page10TechDetailLine7" display="7. 6641-43 Software reported in library books, textbooks, or instructional aids " xr:uid="{00000000-0004-0000-0B00-000002000000}"/>
    <hyperlink ref="L8:L9" location="Page10PropertyDisbursement" display="Property" xr:uid="{00000000-0004-0000-0B00-000003000000}"/>
    <hyperlink ref="L24" location="Page10PropertyDisbursementDetail" display="Property disbursements from COVID-19 federal relief projects" xr:uid="{00000000-0004-0000-0B00-000004000000}"/>
    <hyperlink ref="G21" location="Page10PropertyDisbursementDetail" display="Property disbursement detail for COVID-19 federal relief projects" xr:uid="{00000000-0004-0000-0B00-000005000000}"/>
    <hyperlink ref="G30" location="Page10DebtServiceDetail" display="Debt service detail for COVID-19 federal relief projects" xr:uid="{00000000-0004-0000-0B00-000006000000}"/>
    <hyperlink ref="A37" location="Page10ProjectsLine1" display="1. Elementary and Secondary School Emergency Relief Funds (ESSER I)" xr:uid="{00000000-0004-0000-0B00-000007000000}"/>
    <hyperlink ref="A38" location="Page10ProjectsLine2" display="2. Elementary and Secondary School Emergency Relief Funds (ESSER II)" xr:uid="{00000000-0004-0000-0B00-000008000000}"/>
    <hyperlink ref="A39" location="Page10ProjectsLine3" display="3. Elementary and Secondary School Emergency Relief Funds (ESSER III)" xr:uid="{00000000-0004-0000-0B00-000009000000}"/>
    <hyperlink ref="A40" location="Page10ProjectsLine4" display="4. Governor’s Emergency Education Relief Funds (GEER) - includes Acceleration Academies Program" xr:uid="{00000000-0004-0000-0B00-00000A000000}"/>
    <hyperlink ref="A41" location="Page10ProjectsLine5" display="5. Coronavirus Relief Fund (CRF)—Enrollment Stability Grant (ESG) Program" xr:uid="{00000000-0004-0000-0B00-00000B000000}"/>
    <hyperlink ref="A42" location="Page10ProjectsLine6" display="6. Other COVID-19 Federal Relief Funds" xr:uid="{00000000-0004-0000-0B00-00000C000000}"/>
    <hyperlink ref="D35:D36" location="Page10TotalAward" display="Page10TotalAward" xr:uid="{00000000-0004-0000-0B00-00000D000000}"/>
    <hyperlink ref="E35:E36" location="Page10FY20to23Exp" display="Page10FY20to23Exp" xr:uid="{00000000-0004-0000-0B00-00000E000000}"/>
    <hyperlink ref="F35:F36" location="Page10FY24Exp" display="Page10FY24Exp" xr:uid="{00000000-0004-0000-0B00-00000F000000}"/>
    <hyperlink ref="G35:G36" location="Page10Remaining" display="Page10Remaining" xr:uid="{00000000-0004-0000-0B00-000010000000}"/>
    <hyperlink ref="J35" location="Page10PPP" display="Paycheck Protection Program" xr:uid="{00000000-0004-0000-0B00-000011000000}"/>
    <hyperlink ref="A35:C36" location="Page10projects" display="COVID-19 federal relief projects" xr:uid="{00000000-0004-0000-0B00-000012000000}"/>
    <hyperlink ref="A3" location="Page10General" display="Instruction" xr:uid="{7D5011D7-A502-4818-B3B3-FDB6D873E343}"/>
  </hyperlinks>
  <pageMargins left="0.7" right="0.7" top="0.75" bottom="0.75" header="0.3" footer="0.3"/>
  <pageSetup scale="48" orientation="landscape" r:id="rId1"/>
  <headerFooter>
    <oddFooter>&amp;LRev. 8/25 Arizona Department of Education and Auditor General&amp;CFY 2025</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E6D5-AFE3-48F5-B3BF-0A798862096D}">
  <sheetPr>
    <pageSetUpPr fitToPage="1"/>
  </sheetPr>
  <dimension ref="A1:R43"/>
  <sheetViews>
    <sheetView showGridLines="0" topLeftCell="A22" workbookViewId="0">
      <selection sqref="A1:B1"/>
    </sheetView>
  </sheetViews>
  <sheetFormatPr defaultColWidth="9.33203125" defaultRowHeight="13.2" x14ac:dyDescent="0.25"/>
  <cols>
    <col min="1" max="1" width="2.6640625" bestFit="1" customWidth="1"/>
    <col min="2" max="2" width="21.44140625" customWidth="1"/>
    <col min="3" max="3" width="18.109375" customWidth="1"/>
    <col min="4" max="4" width="18.33203125" customWidth="1"/>
    <col min="5" max="5" width="17.21875" customWidth="1"/>
    <col min="6" max="7" width="15.77734375" customWidth="1"/>
    <col min="8" max="8" width="3.21875" customWidth="1"/>
    <col min="9" max="9" width="3.6640625" bestFit="1" customWidth="1"/>
    <col min="10" max="10" width="12.33203125" customWidth="1"/>
    <col min="11" max="11" width="10.77734375" customWidth="1"/>
    <col min="12" max="12" width="11.33203125" customWidth="1"/>
    <col min="13" max="13" width="15.77734375" customWidth="1"/>
    <col min="14" max="14" width="3.6640625" customWidth="1"/>
    <col min="15" max="15" width="15.77734375" customWidth="1"/>
    <col min="16" max="16" width="3.6640625" bestFit="1" customWidth="1"/>
    <col min="17" max="17" width="9.33203125" customWidth="1"/>
  </cols>
  <sheetData>
    <row r="1" spans="1:18" x14ac:dyDescent="0.25">
      <c r="A1" s="802" t="s">
        <v>0</v>
      </c>
      <c r="B1" s="802"/>
      <c r="C1" s="810" t="str">
        <f>'Cover Page'!$D$1</f>
        <v>The Edge School, Inc</v>
      </c>
      <c r="D1" s="810"/>
      <c r="G1" s="61" t="s">
        <v>1</v>
      </c>
      <c r="H1" s="61"/>
      <c r="I1" s="810" t="str">
        <f>'Cover Page'!$M$1</f>
        <v>Pima</v>
      </c>
      <c r="J1" s="810"/>
      <c r="K1" s="68"/>
      <c r="M1" s="951" t="s">
        <v>2</v>
      </c>
      <c r="N1" s="951"/>
      <c r="O1" s="2" t="str">
        <f>'Cover Page'!$R$1</f>
        <v>108653000</v>
      </c>
    </row>
    <row r="2" spans="1:18" ht="13.05" customHeight="1" x14ac:dyDescent="0.25">
      <c r="B2" s="656" t="s">
        <v>726</v>
      </c>
    </row>
    <row r="3" spans="1:18" ht="20.25" customHeight="1" x14ac:dyDescent="0.35">
      <c r="A3" s="948" t="s">
        <v>1214</v>
      </c>
      <c r="B3" s="948"/>
      <c r="C3" s="948"/>
      <c r="D3" s="948"/>
      <c r="E3" s="948"/>
      <c r="F3" s="948"/>
      <c r="G3" s="948"/>
      <c r="H3" s="948"/>
      <c r="I3" s="948"/>
      <c r="J3" s="948"/>
      <c r="K3" s="948"/>
      <c r="L3" s="948"/>
      <c r="M3" s="948"/>
      <c r="N3" s="948"/>
      <c r="O3" s="948"/>
      <c r="P3" s="948"/>
    </row>
    <row r="4" spans="1:18" ht="9" customHeight="1" x14ac:dyDescent="0.25">
      <c r="E4" t="s">
        <v>20</v>
      </c>
    </row>
    <row r="5" spans="1:18" x14ac:dyDescent="0.25">
      <c r="B5" s="613" t="s">
        <v>165</v>
      </c>
      <c r="E5" s="580" t="s">
        <v>23</v>
      </c>
      <c r="F5" s="4"/>
      <c r="J5" s="613" t="s">
        <v>89</v>
      </c>
      <c r="O5" s="580" t="s">
        <v>23</v>
      </c>
    </row>
    <row r="6" spans="1:18" x14ac:dyDescent="0.25">
      <c r="A6" s="65" t="s">
        <v>24</v>
      </c>
      <c r="B6" t="s">
        <v>194</v>
      </c>
      <c r="E6" s="104"/>
      <c r="F6" s="566" t="s">
        <v>24</v>
      </c>
      <c r="I6" s="65" t="s">
        <v>36</v>
      </c>
      <c r="J6" t="s">
        <v>1213</v>
      </c>
      <c r="N6" s="65"/>
      <c r="O6" s="104"/>
      <c r="P6" s="90" t="s">
        <v>36</v>
      </c>
    </row>
    <row r="7" spans="1:18" x14ac:dyDescent="0.25">
      <c r="A7" s="65" t="s">
        <v>26</v>
      </c>
      <c r="B7" t="s">
        <v>1212</v>
      </c>
      <c r="E7" s="104"/>
      <c r="F7" s="566" t="s">
        <v>26</v>
      </c>
      <c r="I7" s="65" t="s">
        <v>38</v>
      </c>
      <c r="J7" t="s">
        <v>1211</v>
      </c>
      <c r="N7" s="65"/>
      <c r="O7" s="104"/>
      <c r="P7" s="90" t="s">
        <v>38</v>
      </c>
    </row>
    <row r="8" spans="1:18" x14ac:dyDescent="0.25">
      <c r="A8" s="65" t="s">
        <v>28</v>
      </c>
      <c r="B8" t="s">
        <v>1210</v>
      </c>
      <c r="E8" s="104"/>
      <c r="F8" s="566" t="s">
        <v>28</v>
      </c>
      <c r="I8" s="65" t="s">
        <v>40</v>
      </c>
      <c r="J8" t="s">
        <v>1209</v>
      </c>
      <c r="N8" s="65"/>
      <c r="O8" s="104"/>
      <c r="P8" s="90" t="s">
        <v>40</v>
      </c>
    </row>
    <row r="9" spans="1:18" x14ac:dyDescent="0.25">
      <c r="A9" s="65" t="s">
        <v>31</v>
      </c>
      <c r="B9" t="s">
        <v>1208</v>
      </c>
      <c r="E9" s="87"/>
      <c r="F9" s="566"/>
      <c r="I9" s="65" t="s">
        <v>42</v>
      </c>
      <c r="J9" t="s">
        <v>1207</v>
      </c>
      <c r="N9" s="65"/>
      <c r="O9" s="104"/>
      <c r="P9" s="90" t="s">
        <v>42</v>
      </c>
    </row>
    <row r="10" spans="1:18" x14ac:dyDescent="0.25">
      <c r="A10" s="65"/>
      <c r="B10" t="s">
        <v>1206</v>
      </c>
      <c r="E10" s="635"/>
      <c r="F10" s="566" t="s">
        <v>31</v>
      </c>
      <c r="I10" s="65" t="s">
        <v>44</v>
      </c>
      <c r="J10" t="s">
        <v>1205</v>
      </c>
      <c r="N10" s="65"/>
      <c r="O10" s="104"/>
      <c r="P10" s="90" t="s">
        <v>44</v>
      </c>
      <c r="R10" s="28"/>
    </row>
    <row r="11" spans="1:18" x14ac:dyDescent="0.25">
      <c r="A11" s="65" t="s">
        <v>33</v>
      </c>
      <c r="B11" t="s">
        <v>1204</v>
      </c>
      <c r="E11" s="661"/>
      <c r="F11" s="90" t="s">
        <v>33</v>
      </c>
      <c r="I11" s="65" t="s">
        <v>45</v>
      </c>
      <c r="J11" t="s">
        <v>1203</v>
      </c>
      <c r="N11" s="65"/>
      <c r="O11" s="104"/>
      <c r="P11" s="90" t="s">
        <v>45</v>
      </c>
    </row>
    <row r="12" spans="1:18" ht="13.8" thickBot="1" x14ac:dyDescent="0.3">
      <c r="A12" s="65" t="s">
        <v>35</v>
      </c>
      <c r="B12" t="s">
        <v>1202</v>
      </c>
      <c r="E12" s="632">
        <f>SUM(E6:E11)</f>
        <v>0</v>
      </c>
      <c r="F12" s="90" t="s">
        <v>35</v>
      </c>
      <c r="I12" s="65" t="s">
        <v>47</v>
      </c>
      <c r="J12" t="s">
        <v>1201</v>
      </c>
      <c r="N12" s="65"/>
      <c r="O12" s="104"/>
      <c r="P12" s="90" t="s">
        <v>47</v>
      </c>
    </row>
    <row r="13" spans="1:18" ht="12.75" customHeight="1" thickTop="1" x14ac:dyDescent="0.25">
      <c r="I13" s="65" t="s">
        <v>49</v>
      </c>
      <c r="J13" t="s">
        <v>1200</v>
      </c>
      <c r="N13" s="65"/>
      <c r="O13" s="104"/>
      <c r="P13" s="90" t="s">
        <v>49</v>
      </c>
    </row>
    <row r="14" spans="1:18" x14ac:dyDescent="0.25">
      <c r="A14" s="613"/>
      <c r="B14" s="613" t="s">
        <v>1199</v>
      </c>
      <c r="C14" s="613"/>
      <c r="E14" s="634"/>
      <c r="F14" s="633"/>
      <c r="I14" s="65" t="s">
        <v>51</v>
      </c>
      <c r="J14" t="s">
        <v>1198</v>
      </c>
      <c r="N14" s="65"/>
      <c r="O14" s="104"/>
      <c r="P14" s="90" t="s">
        <v>51</v>
      </c>
    </row>
    <row r="15" spans="1:18" x14ac:dyDescent="0.25">
      <c r="E15" s="633"/>
      <c r="F15" s="633"/>
      <c r="I15" s="65" t="s">
        <v>53</v>
      </c>
      <c r="J15" t="s">
        <v>1197</v>
      </c>
      <c r="N15" s="65"/>
      <c r="O15" s="104"/>
      <c r="P15" s="90" t="s">
        <v>53</v>
      </c>
    </row>
    <row r="16" spans="1:18" ht="12.75" customHeight="1" x14ac:dyDescent="0.25">
      <c r="B16" s="236"/>
      <c r="C16" s="236"/>
      <c r="D16" s="952" t="s">
        <v>1196</v>
      </c>
      <c r="E16" s="954" t="s">
        <v>1195</v>
      </c>
      <c r="F16" s="952" t="s">
        <v>1194</v>
      </c>
      <c r="G16" s="952" t="s">
        <v>1193</v>
      </c>
      <c r="I16" s="65" t="s">
        <v>55</v>
      </c>
      <c r="J16" t="s">
        <v>1192</v>
      </c>
      <c r="N16" s="65"/>
      <c r="O16" s="104"/>
      <c r="P16" s="90" t="s">
        <v>55</v>
      </c>
    </row>
    <row r="17" spans="1:16" x14ac:dyDescent="0.25">
      <c r="A17" s="613"/>
      <c r="B17" s="613" t="s">
        <v>1191</v>
      </c>
      <c r="C17" s="613"/>
      <c r="D17" s="953"/>
      <c r="E17" s="955"/>
      <c r="F17" s="953"/>
      <c r="G17" s="953"/>
      <c r="I17" s="65" t="s">
        <v>57</v>
      </c>
      <c r="J17" t="s">
        <v>1190</v>
      </c>
      <c r="N17" s="65"/>
      <c r="O17" s="104"/>
      <c r="P17" s="90" t="s">
        <v>57</v>
      </c>
    </row>
    <row r="18" spans="1:16" x14ac:dyDescent="0.25">
      <c r="B18" s="630" t="s">
        <v>1189</v>
      </c>
      <c r="D18" s="87"/>
      <c r="E18" s="87"/>
      <c r="F18" s="87"/>
      <c r="G18" s="82"/>
      <c r="I18" s="65" t="s">
        <v>59</v>
      </c>
      <c r="J18" t="s">
        <v>1188</v>
      </c>
      <c r="N18" s="65"/>
      <c r="O18" s="104"/>
      <c r="P18" s="90" t="s">
        <v>59</v>
      </c>
    </row>
    <row r="19" spans="1:16" x14ac:dyDescent="0.25">
      <c r="B19" s="153" t="s">
        <v>1184</v>
      </c>
      <c r="D19" s="629"/>
      <c r="E19" s="629"/>
      <c r="F19" s="629"/>
      <c r="G19" s="629"/>
      <c r="I19" s="65" t="s">
        <v>61</v>
      </c>
      <c r="J19" t="s">
        <v>1187</v>
      </c>
      <c r="N19" s="65"/>
      <c r="O19" s="104"/>
      <c r="P19" s="90" t="s">
        <v>61</v>
      </c>
    </row>
    <row r="20" spans="1:16" ht="12.75" customHeight="1" thickBot="1" x14ac:dyDescent="0.3">
      <c r="B20" s="153" t="s">
        <v>1182</v>
      </c>
      <c r="D20" s="629"/>
      <c r="E20" s="629"/>
      <c r="F20" s="629"/>
      <c r="G20" s="629"/>
      <c r="I20" s="65" t="s">
        <v>63</v>
      </c>
      <c r="J20" t="s">
        <v>1186</v>
      </c>
      <c r="N20" s="65"/>
      <c r="O20" s="632">
        <f>SUM(O6:O19)</f>
        <v>0</v>
      </c>
      <c r="P20" s="90" t="s">
        <v>63</v>
      </c>
    </row>
    <row r="21" spans="1:16" ht="12.75" customHeight="1" thickTop="1" x14ac:dyDescent="0.25">
      <c r="B21" s="153" t="s">
        <v>1181</v>
      </c>
      <c r="D21" s="631"/>
      <c r="E21" s="631"/>
      <c r="F21" s="631"/>
      <c r="G21" s="631"/>
      <c r="N21" s="65"/>
    </row>
    <row r="22" spans="1:16" ht="12.75" customHeight="1" x14ac:dyDescent="0.25">
      <c r="B22" s="630" t="s">
        <v>1185</v>
      </c>
      <c r="D22" s="82"/>
      <c r="E22" s="82"/>
      <c r="F22" s="82"/>
      <c r="G22" s="82"/>
      <c r="I22" t="s">
        <v>20</v>
      </c>
      <c r="M22" s="678" t="s">
        <v>1329</v>
      </c>
      <c r="N22" s="680"/>
      <c r="O22" s="678" t="s">
        <v>1330</v>
      </c>
    </row>
    <row r="23" spans="1:16" ht="12.75" customHeight="1" x14ac:dyDescent="0.25">
      <c r="B23" s="153" t="s">
        <v>1184</v>
      </c>
      <c r="D23" s="629"/>
      <c r="E23" s="629"/>
      <c r="F23" s="629"/>
      <c r="G23" s="629"/>
      <c r="H23" s="626"/>
      <c r="J23" s="613" t="s">
        <v>1183</v>
      </c>
      <c r="K23" s="613"/>
      <c r="L23" s="7" t="s">
        <v>16</v>
      </c>
      <c r="M23" s="26"/>
      <c r="N23" s="7" t="s">
        <v>16</v>
      </c>
      <c r="O23" s="26"/>
    </row>
    <row r="24" spans="1:16" ht="12.75" customHeight="1" x14ac:dyDescent="0.25">
      <c r="B24" s="153" t="s">
        <v>1182</v>
      </c>
      <c r="D24" s="629"/>
      <c r="E24" s="629"/>
      <c r="F24" s="629"/>
      <c r="G24" s="629"/>
      <c r="H24" s="626"/>
      <c r="L24" s="7"/>
      <c r="M24" s="28"/>
      <c r="N24" s="7"/>
      <c r="O24" s="28"/>
    </row>
    <row r="25" spans="1:16" ht="12.75" customHeight="1" x14ac:dyDescent="0.25">
      <c r="B25" s="153" t="s">
        <v>1181</v>
      </c>
      <c r="D25" s="628"/>
      <c r="E25" s="628"/>
      <c r="F25" s="628"/>
      <c r="G25" s="628"/>
      <c r="H25" s="567"/>
      <c r="N25" s="7"/>
      <c r="O25" s="626"/>
    </row>
    <row r="26" spans="1:16" ht="12.75" customHeight="1" x14ac:dyDescent="0.25">
      <c r="B26" s="627"/>
      <c r="H26" s="567"/>
      <c r="N26" s="7"/>
      <c r="O26" s="626"/>
    </row>
    <row r="27" spans="1:16" ht="12.75" customHeight="1" x14ac:dyDescent="0.25">
      <c r="B27" s="153" t="s">
        <v>1180</v>
      </c>
      <c r="H27" s="567"/>
      <c r="N27" s="7"/>
      <c r="O27" s="626"/>
    </row>
    <row r="28" spans="1:16" ht="12.75" customHeight="1" x14ac:dyDescent="0.25">
      <c r="J28" s="613" t="s">
        <v>1179</v>
      </c>
      <c r="K28" s="613"/>
      <c r="L28" s="625"/>
      <c r="M28" s="613"/>
      <c r="N28" s="613"/>
    </row>
    <row r="29" spans="1:16" ht="12.75" customHeight="1" x14ac:dyDescent="0.25">
      <c r="A29" s="613"/>
      <c r="B29" s="613" t="s">
        <v>1178</v>
      </c>
      <c r="C29" s="613"/>
      <c r="D29" s="623" t="s">
        <v>1177</v>
      </c>
      <c r="E29" s="623" t="s">
        <v>1176</v>
      </c>
      <c r="F29" s="624" t="s">
        <v>298</v>
      </c>
      <c r="G29" s="623" t="s">
        <v>1175</v>
      </c>
      <c r="H29" s="605"/>
      <c r="J29" s="622" t="s">
        <v>1174</v>
      </c>
      <c r="K29" s="159"/>
      <c r="L29" s="71"/>
      <c r="M29" s="71"/>
      <c r="N29" s="71"/>
      <c r="O29" s="619"/>
      <c r="P29" s="72"/>
    </row>
    <row r="30" spans="1:16" ht="12.75" customHeight="1" x14ac:dyDescent="0.25">
      <c r="B30" t="s">
        <v>1173</v>
      </c>
      <c r="D30" s="617"/>
      <c r="E30" s="617"/>
      <c r="F30" s="617"/>
      <c r="G30" s="621"/>
      <c r="H30" s="620"/>
      <c r="J30" s="155" t="s">
        <v>1172</v>
      </c>
      <c r="K30" s="153"/>
      <c r="O30" s="619"/>
      <c r="P30" s="77"/>
    </row>
    <row r="31" spans="1:16" ht="12.75" customHeight="1" x14ac:dyDescent="0.25">
      <c r="B31" t="s">
        <v>1171</v>
      </c>
      <c r="D31" s="617"/>
      <c r="E31" s="617"/>
      <c r="F31" s="617"/>
      <c r="G31" s="621"/>
      <c r="H31" s="616"/>
      <c r="J31" s="155" t="s">
        <v>1170</v>
      </c>
      <c r="K31" s="153"/>
      <c r="O31" s="619"/>
      <c r="P31" s="77"/>
    </row>
    <row r="32" spans="1:16" ht="12.75" customHeight="1" x14ac:dyDescent="0.25">
      <c r="B32" t="s">
        <v>1169</v>
      </c>
      <c r="D32" s="617"/>
      <c r="E32" s="617"/>
      <c r="F32" s="617"/>
      <c r="G32" s="621"/>
      <c r="H32" s="616"/>
      <c r="J32" s="155" t="s">
        <v>1168</v>
      </c>
      <c r="K32" s="153"/>
      <c r="O32" s="619"/>
      <c r="P32" s="77"/>
    </row>
    <row r="33" spans="1:16" ht="12.75" customHeight="1" x14ac:dyDescent="0.25">
      <c r="B33" t="s">
        <v>1167</v>
      </c>
      <c r="D33" s="617"/>
      <c r="E33" s="617"/>
      <c r="F33" s="617"/>
      <c r="G33" s="617"/>
      <c r="H33" s="620"/>
      <c r="J33" s="155" t="s">
        <v>1166</v>
      </c>
      <c r="K33" s="153"/>
      <c r="O33" s="619"/>
      <c r="P33" s="77"/>
    </row>
    <row r="34" spans="1:16" ht="12.75" customHeight="1" x14ac:dyDescent="0.25">
      <c r="B34" t="s">
        <v>1165</v>
      </c>
      <c r="D34" s="617"/>
      <c r="E34" s="617"/>
      <c r="F34" s="617"/>
      <c r="G34" s="617"/>
      <c r="H34" s="616"/>
      <c r="J34" s="155" t="s">
        <v>1164</v>
      </c>
      <c r="K34" s="153"/>
      <c r="O34" s="618"/>
      <c r="P34" s="77"/>
    </row>
    <row r="35" spans="1:16" ht="12.75" customHeight="1" thickBot="1" x14ac:dyDescent="0.3">
      <c r="B35" t="s">
        <v>1163</v>
      </c>
      <c r="D35" s="617"/>
      <c r="E35" s="617"/>
      <c r="F35" s="617"/>
      <c r="G35" s="617"/>
      <c r="H35" s="616"/>
      <c r="J35" s="946" t="s">
        <v>1162</v>
      </c>
      <c r="K35" s="947"/>
      <c r="L35" s="947"/>
      <c r="M35" s="947"/>
      <c r="N35" s="615"/>
      <c r="O35" s="614">
        <f>SUM(O29:O34)</f>
        <v>0</v>
      </c>
      <c r="P35" s="77"/>
    </row>
    <row r="36" spans="1:16" ht="12.75" customHeight="1" thickTop="1" x14ac:dyDescent="0.25">
      <c r="J36" s="949" t="s">
        <v>1161</v>
      </c>
      <c r="K36" s="950"/>
      <c r="L36" s="950"/>
      <c r="M36" s="6"/>
      <c r="N36" s="6"/>
      <c r="O36" s="6"/>
      <c r="P36" s="84"/>
    </row>
    <row r="37" spans="1:16" ht="12.75" customHeight="1" x14ac:dyDescent="0.25">
      <c r="A37" s="613"/>
      <c r="B37" s="613" t="s">
        <v>1160</v>
      </c>
      <c r="C37" s="613"/>
    </row>
    <row r="38" spans="1:16" ht="12.75" customHeight="1" x14ac:dyDescent="0.25">
      <c r="B38" t="s">
        <v>1159</v>
      </c>
      <c r="E38" s="611"/>
    </row>
    <row r="39" spans="1:16" ht="12.75" customHeight="1" x14ac:dyDescent="0.25">
      <c r="E39" s="7"/>
      <c r="F39" s="7"/>
      <c r="O39" s="28"/>
    </row>
    <row r="40" spans="1:16" ht="12.75" customHeight="1" x14ac:dyDescent="0.25">
      <c r="A40" s="613"/>
      <c r="B40" s="613" t="s">
        <v>1158</v>
      </c>
      <c r="C40" s="613"/>
      <c r="D40" s="613"/>
      <c r="E40" s="613"/>
      <c r="F40" s="7" t="s">
        <v>16</v>
      </c>
      <c r="G40" s="612"/>
      <c r="I40" s="305"/>
      <c r="N40" s="7"/>
    </row>
    <row r="41" spans="1:16" ht="12.75" customHeight="1" x14ac:dyDescent="0.25">
      <c r="B41" t="s">
        <v>1157</v>
      </c>
      <c r="C41" s="8"/>
      <c r="D41" s="8"/>
      <c r="H41" s="174"/>
    </row>
    <row r="42" spans="1:16" ht="12.75" customHeight="1" x14ac:dyDescent="0.25"/>
    <row r="43" spans="1:16" ht="12.75" customHeight="1" x14ac:dyDescent="0.25">
      <c r="B43" t="s">
        <v>1156</v>
      </c>
    </row>
  </sheetData>
  <sheetProtection sheet="1" formatCells="0" formatColumns="0" formatRows="0"/>
  <mergeCells count="11">
    <mergeCell ref="J35:M35"/>
    <mergeCell ref="A3:P3"/>
    <mergeCell ref="A1:B1"/>
    <mergeCell ref="J36:L36"/>
    <mergeCell ref="I1:J1"/>
    <mergeCell ref="M1:N1"/>
    <mergeCell ref="C1:D1"/>
    <mergeCell ref="D16:D17"/>
    <mergeCell ref="E16:E17"/>
    <mergeCell ref="F16:F17"/>
    <mergeCell ref="G16:G17"/>
  </mergeCells>
  <conditionalFormatting sqref="J35:O35">
    <cfRule type="expression" dxfId="29" priority="1" stopIfTrue="1">
      <formula>$O$10&lt;&gt;$O$35</formula>
    </cfRule>
  </conditionalFormatting>
  <dataValidations count="1">
    <dataValidation operator="equal" allowBlank="1" showInputMessage="1" showErrorMessage="1" prompt="This cell will only accept entries equal to 9 digits. Charter schools must enter their CTD number plus 3 zeros" sqref="O1" xr:uid="{00000000-0002-0000-0000-000000000000}"/>
  </dataValidations>
  <hyperlinks>
    <hyperlink ref="B5" location="REVENUES" display="REVENUES" xr:uid="{9FE5F3C6-38E8-4836-B4D3-ADB1A1B76A37}"/>
    <hyperlink ref="B14:C14" location="SectionA" display="A.  Number of Operating Months" xr:uid="{1002D2A8-1A64-4FA5-8D76-90D94A050FAD}"/>
    <hyperlink ref="B17:C17" location="SectionB" display="B.  Number of Meals Served" xr:uid="{EEE46FEF-D8B9-48B3-9322-12D7CD22C59F}"/>
    <hyperlink ref="B29" location="SectionC" display="C.  Meal Prices" xr:uid="{ED07D071-0BB2-4E80-AC7A-9C22DE21DCE5}"/>
    <hyperlink ref="B37:C37" location="SectionD" display="D.  Special Milk Program" xr:uid="{57F5E729-F18F-49D4-B579-AE0C742856BA}"/>
    <hyperlink ref="B40:E40" location="SectionE" display="E.  State Equalization Assistance expended for Food Service, Function 3100" xr:uid="{19747CDD-FDC6-4ADC-98FA-C629AECE941A}"/>
    <hyperlink ref="D16:D17" location="Breakfasts" display="BREAKFASTS" xr:uid="{C0785B22-B826-47CE-9BC1-0D4F5A4BE837}"/>
    <hyperlink ref="E16:E17" location="LunchesSuppers" display="LUNCHES/ SUPPERS" xr:uid="{40B9F3AC-6CC4-4864-BF0D-58D8C7C0D26E}"/>
    <hyperlink ref="F16:F17" location="ALaCarte" display="A LA CARTE*" xr:uid="{564FC274-9177-4016-85EB-2F21CFDEED69}"/>
    <hyperlink ref="G16:G17" location="Snacks" display="SNACKS" xr:uid="{A37C040B-8A20-4DE8-AB07-6DAA0AF9F285}"/>
    <hyperlink ref="J5" location="EXPENSES" display="EXPENSES" xr:uid="{95BA9320-AF5E-45BE-80BB-264A9788DA3F}"/>
    <hyperlink ref="J23:K23" location="SectionF" display="F.  Cash Balances" xr:uid="{CD53EA32-9EF2-4F34-ABC1-707CF9FA9974}"/>
    <hyperlink ref="J28:N28" location="SectionG" display="G.  Detail of Food Service Management Company Expenses" xr:uid="{EAF89C95-88C8-4A80-92D8-DA9D45367944}"/>
    <hyperlink ref="B2" location="FoodServiceGen" display="Instructions" xr:uid="{6BB77C67-BA6E-4B2D-AC01-D12A5A0BDC9D}"/>
  </hyperlinks>
  <pageMargins left="0.7" right="0.7" top="0.75" bottom="0.75" header="0.3" footer="0.3"/>
  <pageSetup scale="72" orientation="landscape" r:id="rId1"/>
  <headerFooter>
    <oddFooter>&amp;LRev. 8/25 Arizona Department of Education and Auditor General&amp;CFY 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B867-0CC5-4E99-81A6-5A4370B5E74C}">
  <sheetPr>
    <pageSetUpPr fitToPage="1"/>
  </sheetPr>
  <dimension ref="A1:N23"/>
  <sheetViews>
    <sheetView showGridLines="0" workbookViewId="0">
      <selection activeCell="K17" sqref="K17:K19"/>
    </sheetView>
  </sheetViews>
  <sheetFormatPr defaultColWidth="9.33203125" defaultRowHeight="13.2" x14ac:dyDescent="0.25"/>
  <cols>
    <col min="1" max="1" width="38.21875" style="414" customWidth="1"/>
    <col min="2" max="3" width="16.33203125" style="414" customWidth="1"/>
    <col min="4" max="4" width="15.21875" style="414" customWidth="1"/>
    <col min="5" max="5" width="15.6640625" style="414" customWidth="1"/>
    <col min="6" max="6" width="15.21875" style="414" customWidth="1"/>
    <col min="7" max="7" width="16.33203125" style="414" customWidth="1"/>
    <col min="8" max="8" width="19.33203125" style="414" customWidth="1"/>
    <col min="9" max="10" width="15.6640625" style="414" customWidth="1"/>
    <col min="11" max="11" width="17" style="414" customWidth="1"/>
    <col min="12" max="12" width="8.77734375" style="414" customWidth="1"/>
    <col min="13" max="13" width="5.33203125" style="414" customWidth="1"/>
    <col min="14" max="14" width="12.33203125" style="414" customWidth="1"/>
    <col min="15" max="255" width="8.77734375" style="414" customWidth="1"/>
    <col min="256" max="256" width="32.33203125" style="414" bestFit="1" customWidth="1"/>
    <col min="257" max="257" width="22.21875" style="414" customWidth="1"/>
    <col min="258" max="258" width="14.33203125" style="414" customWidth="1"/>
    <col min="259" max="259" width="19" style="414" customWidth="1"/>
    <col min="260" max="260" width="8.77734375" style="414" customWidth="1"/>
    <col min="261" max="261" width="11.33203125" style="414" customWidth="1"/>
    <col min="262" max="262" width="8.77734375" style="414" customWidth="1"/>
    <col min="263" max="263" width="6.33203125" style="414" customWidth="1"/>
    <col min="264" max="264" width="14.33203125" style="414" customWidth="1"/>
    <col min="265" max="268" width="8.77734375" style="414" customWidth="1"/>
    <col min="269" max="269" width="17.77734375" style="414" customWidth="1"/>
    <col min="270" max="511" width="8.77734375" style="414" customWidth="1"/>
    <col min="512" max="512" width="32.33203125" style="414" bestFit="1" customWidth="1"/>
    <col min="513" max="513" width="22.21875" style="414" customWidth="1"/>
    <col min="514" max="514" width="14.33203125" style="414" customWidth="1"/>
    <col min="515" max="515" width="19" style="414" customWidth="1"/>
    <col min="516" max="516" width="8.77734375" style="414" customWidth="1"/>
    <col min="517" max="517" width="11.33203125" style="414" customWidth="1"/>
    <col min="518" max="518" width="8.77734375" style="414" customWidth="1"/>
    <col min="519" max="519" width="6.33203125" style="414" customWidth="1"/>
    <col min="520" max="520" width="14.33203125" style="414" customWidth="1"/>
    <col min="521" max="524" width="8.77734375" style="414" customWidth="1"/>
    <col min="525" max="525" width="17.77734375" style="414" customWidth="1"/>
    <col min="526" max="767" width="8.77734375" style="414" customWidth="1"/>
    <col min="768" max="768" width="32.33203125" style="414" bestFit="1" customWidth="1"/>
    <col min="769" max="769" width="22.21875" style="414" customWidth="1"/>
    <col min="770" max="770" width="14.33203125" style="414" customWidth="1"/>
    <col min="771" max="771" width="19" style="414" customWidth="1"/>
    <col min="772" max="772" width="8.77734375" style="414" customWidth="1"/>
    <col min="773" max="773" width="11.33203125" style="414" customWidth="1"/>
    <col min="774" max="774" width="8.77734375" style="414" customWidth="1"/>
    <col min="775" max="775" width="6.33203125" style="414" customWidth="1"/>
    <col min="776" max="776" width="14.33203125" style="414" customWidth="1"/>
    <col min="777" max="780" width="8.77734375" style="414" customWidth="1"/>
    <col min="781" max="781" width="17.77734375" style="414" customWidth="1"/>
    <col min="782" max="1023" width="8.77734375" style="414" customWidth="1"/>
    <col min="1024" max="1024" width="32.33203125" style="414" bestFit="1" customWidth="1"/>
    <col min="1025" max="1025" width="22.21875" style="414" customWidth="1"/>
    <col min="1026" max="1026" width="14.33203125" style="414" customWidth="1"/>
    <col min="1027" max="1027" width="19" style="414" customWidth="1"/>
    <col min="1028" max="1028" width="8.77734375" style="414" customWidth="1"/>
    <col min="1029" max="1029" width="11.33203125" style="414" customWidth="1"/>
    <col min="1030" max="1030" width="8.77734375" style="414" customWidth="1"/>
    <col min="1031" max="1031" width="6.33203125" style="414" customWidth="1"/>
    <col min="1032" max="1032" width="14.33203125" style="414" customWidth="1"/>
    <col min="1033" max="1036" width="8.77734375" style="414" customWidth="1"/>
    <col min="1037" max="1037" width="17.77734375" style="414" customWidth="1"/>
    <col min="1038" max="1279" width="8.77734375" style="414" customWidth="1"/>
    <col min="1280" max="1280" width="32.33203125" style="414" bestFit="1" customWidth="1"/>
    <col min="1281" max="1281" width="22.21875" style="414" customWidth="1"/>
    <col min="1282" max="1282" width="14.33203125" style="414" customWidth="1"/>
    <col min="1283" max="1283" width="19" style="414" customWidth="1"/>
    <col min="1284" max="1284" width="8.77734375" style="414" customWidth="1"/>
    <col min="1285" max="1285" width="11.33203125" style="414" customWidth="1"/>
    <col min="1286" max="1286" width="8.77734375" style="414" customWidth="1"/>
    <col min="1287" max="1287" width="6.33203125" style="414" customWidth="1"/>
    <col min="1288" max="1288" width="14.33203125" style="414" customWidth="1"/>
    <col min="1289" max="1292" width="8.77734375" style="414" customWidth="1"/>
    <col min="1293" max="1293" width="17.77734375" style="414" customWidth="1"/>
    <col min="1294" max="1535" width="8.77734375" style="414" customWidth="1"/>
    <col min="1536" max="1536" width="32.33203125" style="414" bestFit="1" customWidth="1"/>
    <col min="1537" max="1537" width="22.21875" style="414" customWidth="1"/>
    <col min="1538" max="1538" width="14.33203125" style="414" customWidth="1"/>
    <col min="1539" max="1539" width="19" style="414" customWidth="1"/>
    <col min="1540" max="1540" width="8.77734375" style="414" customWidth="1"/>
    <col min="1541" max="1541" width="11.33203125" style="414" customWidth="1"/>
    <col min="1542" max="1542" width="8.77734375" style="414" customWidth="1"/>
    <col min="1543" max="1543" width="6.33203125" style="414" customWidth="1"/>
    <col min="1544" max="1544" width="14.33203125" style="414" customWidth="1"/>
    <col min="1545" max="1548" width="8.77734375" style="414" customWidth="1"/>
    <col min="1549" max="1549" width="17.77734375" style="414" customWidth="1"/>
    <col min="1550" max="1791" width="8.77734375" style="414" customWidth="1"/>
    <col min="1792" max="1792" width="32.33203125" style="414" bestFit="1" customWidth="1"/>
    <col min="1793" max="1793" width="22.21875" style="414" customWidth="1"/>
    <col min="1794" max="1794" width="14.33203125" style="414" customWidth="1"/>
    <col min="1795" max="1795" width="19" style="414" customWidth="1"/>
    <col min="1796" max="1796" width="8.77734375" style="414" customWidth="1"/>
    <col min="1797" max="1797" width="11.33203125" style="414" customWidth="1"/>
    <col min="1798" max="1798" width="8.77734375" style="414" customWidth="1"/>
    <col min="1799" max="1799" width="6.33203125" style="414" customWidth="1"/>
    <col min="1800" max="1800" width="14.33203125" style="414" customWidth="1"/>
    <col min="1801" max="1804" width="8.77734375" style="414" customWidth="1"/>
    <col min="1805" max="1805" width="17.77734375" style="414" customWidth="1"/>
    <col min="1806" max="2047" width="8.77734375" style="414" customWidth="1"/>
    <col min="2048" max="2048" width="32.33203125" style="414" bestFit="1" customWidth="1"/>
    <col min="2049" max="2049" width="22.21875" style="414" customWidth="1"/>
    <col min="2050" max="2050" width="14.33203125" style="414" customWidth="1"/>
    <col min="2051" max="2051" width="19" style="414" customWidth="1"/>
    <col min="2052" max="2052" width="8.77734375" style="414" customWidth="1"/>
    <col min="2053" max="2053" width="11.33203125" style="414" customWidth="1"/>
    <col min="2054" max="2054" width="8.77734375" style="414" customWidth="1"/>
    <col min="2055" max="2055" width="6.33203125" style="414" customWidth="1"/>
    <col min="2056" max="2056" width="14.33203125" style="414" customWidth="1"/>
    <col min="2057" max="2060" width="8.77734375" style="414" customWidth="1"/>
    <col min="2061" max="2061" width="17.77734375" style="414" customWidth="1"/>
    <col min="2062" max="2303" width="8.77734375" style="414" customWidth="1"/>
    <col min="2304" max="2304" width="32.33203125" style="414" bestFit="1" customWidth="1"/>
    <col min="2305" max="2305" width="22.21875" style="414" customWidth="1"/>
    <col min="2306" max="2306" width="14.33203125" style="414" customWidth="1"/>
    <col min="2307" max="2307" width="19" style="414" customWidth="1"/>
    <col min="2308" max="2308" width="8.77734375" style="414" customWidth="1"/>
    <col min="2309" max="2309" width="11.33203125" style="414" customWidth="1"/>
    <col min="2310" max="2310" width="8.77734375" style="414" customWidth="1"/>
    <col min="2311" max="2311" width="6.33203125" style="414" customWidth="1"/>
    <col min="2312" max="2312" width="14.33203125" style="414" customWidth="1"/>
    <col min="2313" max="2316" width="8.77734375" style="414" customWidth="1"/>
    <col min="2317" max="2317" width="17.77734375" style="414" customWidth="1"/>
    <col min="2318" max="2559" width="8.77734375" style="414" customWidth="1"/>
    <col min="2560" max="2560" width="32.33203125" style="414" bestFit="1" customWidth="1"/>
    <col min="2561" max="2561" width="22.21875" style="414" customWidth="1"/>
    <col min="2562" max="2562" width="14.33203125" style="414" customWidth="1"/>
    <col min="2563" max="2563" width="19" style="414" customWidth="1"/>
    <col min="2564" max="2564" width="8.77734375" style="414" customWidth="1"/>
    <col min="2565" max="2565" width="11.33203125" style="414" customWidth="1"/>
    <col min="2566" max="2566" width="8.77734375" style="414" customWidth="1"/>
    <col min="2567" max="2567" width="6.33203125" style="414" customWidth="1"/>
    <col min="2568" max="2568" width="14.33203125" style="414" customWidth="1"/>
    <col min="2569" max="2572" width="8.77734375" style="414" customWidth="1"/>
    <col min="2573" max="2573" width="17.77734375" style="414" customWidth="1"/>
    <col min="2574" max="2815" width="8.77734375" style="414" customWidth="1"/>
    <col min="2816" max="2816" width="32.33203125" style="414" bestFit="1" customWidth="1"/>
    <col min="2817" max="2817" width="22.21875" style="414" customWidth="1"/>
    <col min="2818" max="2818" width="14.33203125" style="414" customWidth="1"/>
    <col min="2819" max="2819" width="19" style="414" customWidth="1"/>
    <col min="2820" max="2820" width="8.77734375" style="414" customWidth="1"/>
    <col min="2821" max="2821" width="11.33203125" style="414" customWidth="1"/>
    <col min="2822" max="2822" width="8.77734375" style="414" customWidth="1"/>
    <col min="2823" max="2823" width="6.33203125" style="414" customWidth="1"/>
    <col min="2824" max="2824" width="14.33203125" style="414" customWidth="1"/>
    <col min="2825" max="2828" width="8.77734375" style="414" customWidth="1"/>
    <col min="2829" max="2829" width="17.77734375" style="414" customWidth="1"/>
    <col min="2830" max="3071" width="8.77734375" style="414" customWidth="1"/>
    <col min="3072" max="3072" width="32.33203125" style="414" bestFit="1" customWidth="1"/>
    <col min="3073" max="3073" width="22.21875" style="414" customWidth="1"/>
    <col min="3074" max="3074" width="14.33203125" style="414" customWidth="1"/>
    <col min="3075" max="3075" width="19" style="414" customWidth="1"/>
    <col min="3076" max="3076" width="8.77734375" style="414" customWidth="1"/>
    <col min="3077" max="3077" width="11.33203125" style="414" customWidth="1"/>
    <col min="3078" max="3078" width="8.77734375" style="414" customWidth="1"/>
    <col min="3079" max="3079" width="6.33203125" style="414" customWidth="1"/>
    <col min="3080" max="3080" width="14.33203125" style="414" customWidth="1"/>
    <col min="3081" max="3084" width="8.77734375" style="414" customWidth="1"/>
    <col min="3085" max="3085" width="17.77734375" style="414" customWidth="1"/>
    <col min="3086" max="3327" width="8.77734375" style="414" customWidth="1"/>
    <col min="3328" max="3328" width="32.33203125" style="414" bestFit="1" customWidth="1"/>
    <col min="3329" max="3329" width="22.21875" style="414" customWidth="1"/>
    <col min="3330" max="3330" width="14.33203125" style="414" customWidth="1"/>
    <col min="3331" max="3331" width="19" style="414" customWidth="1"/>
    <col min="3332" max="3332" width="8.77734375" style="414" customWidth="1"/>
    <col min="3333" max="3333" width="11.33203125" style="414" customWidth="1"/>
    <col min="3334" max="3334" width="8.77734375" style="414" customWidth="1"/>
    <col min="3335" max="3335" width="6.33203125" style="414" customWidth="1"/>
    <col min="3336" max="3336" width="14.33203125" style="414" customWidth="1"/>
    <col min="3337" max="3340" width="8.77734375" style="414" customWidth="1"/>
    <col min="3341" max="3341" width="17.77734375" style="414" customWidth="1"/>
    <col min="3342" max="3583" width="8.77734375" style="414" customWidth="1"/>
    <col min="3584" max="3584" width="32.33203125" style="414" bestFit="1" customWidth="1"/>
    <col min="3585" max="3585" width="22.21875" style="414" customWidth="1"/>
    <col min="3586" max="3586" width="14.33203125" style="414" customWidth="1"/>
    <col min="3587" max="3587" width="19" style="414" customWidth="1"/>
    <col min="3588" max="3588" width="8.77734375" style="414" customWidth="1"/>
    <col min="3589" max="3589" width="11.33203125" style="414" customWidth="1"/>
    <col min="3590" max="3590" width="8.77734375" style="414" customWidth="1"/>
    <col min="3591" max="3591" width="6.33203125" style="414" customWidth="1"/>
    <col min="3592" max="3592" width="14.33203125" style="414" customWidth="1"/>
    <col min="3593" max="3596" width="8.77734375" style="414" customWidth="1"/>
    <col min="3597" max="3597" width="17.77734375" style="414" customWidth="1"/>
    <col min="3598" max="3839" width="8.77734375" style="414" customWidth="1"/>
    <col min="3840" max="3840" width="32.33203125" style="414" bestFit="1" customWidth="1"/>
    <col min="3841" max="3841" width="22.21875" style="414" customWidth="1"/>
    <col min="3842" max="3842" width="14.33203125" style="414" customWidth="1"/>
    <col min="3843" max="3843" width="19" style="414" customWidth="1"/>
    <col min="3844" max="3844" width="8.77734375" style="414" customWidth="1"/>
    <col min="3845" max="3845" width="11.33203125" style="414" customWidth="1"/>
    <col min="3846" max="3846" width="8.77734375" style="414" customWidth="1"/>
    <col min="3847" max="3847" width="6.33203125" style="414" customWidth="1"/>
    <col min="3848" max="3848" width="14.33203125" style="414" customWidth="1"/>
    <col min="3849" max="3852" width="8.77734375" style="414" customWidth="1"/>
    <col min="3853" max="3853" width="17.77734375" style="414" customWidth="1"/>
    <col min="3854" max="4095" width="8.77734375" style="414" customWidth="1"/>
    <col min="4096" max="4096" width="32.33203125" style="414" bestFit="1" customWidth="1"/>
    <col min="4097" max="4097" width="22.21875" style="414" customWidth="1"/>
    <col min="4098" max="4098" width="14.33203125" style="414" customWidth="1"/>
    <col min="4099" max="4099" width="19" style="414" customWidth="1"/>
    <col min="4100" max="4100" width="8.77734375" style="414" customWidth="1"/>
    <col min="4101" max="4101" width="11.33203125" style="414" customWidth="1"/>
    <col min="4102" max="4102" width="8.77734375" style="414" customWidth="1"/>
    <col min="4103" max="4103" width="6.33203125" style="414" customWidth="1"/>
    <col min="4104" max="4104" width="14.33203125" style="414" customWidth="1"/>
    <col min="4105" max="4108" width="8.77734375" style="414" customWidth="1"/>
    <col min="4109" max="4109" width="17.77734375" style="414" customWidth="1"/>
    <col min="4110" max="4351" width="8.77734375" style="414" customWidth="1"/>
    <col min="4352" max="4352" width="32.33203125" style="414" bestFit="1" customWidth="1"/>
    <col min="4353" max="4353" width="22.21875" style="414" customWidth="1"/>
    <col min="4354" max="4354" width="14.33203125" style="414" customWidth="1"/>
    <col min="4355" max="4355" width="19" style="414" customWidth="1"/>
    <col min="4356" max="4356" width="8.77734375" style="414" customWidth="1"/>
    <col min="4357" max="4357" width="11.33203125" style="414" customWidth="1"/>
    <col min="4358" max="4358" width="8.77734375" style="414" customWidth="1"/>
    <col min="4359" max="4359" width="6.33203125" style="414" customWidth="1"/>
    <col min="4360" max="4360" width="14.33203125" style="414" customWidth="1"/>
    <col min="4361" max="4364" width="8.77734375" style="414" customWidth="1"/>
    <col min="4365" max="4365" width="17.77734375" style="414" customWidth="1"/>
    <col min="4366" max="4607" width="8.77734375" style="414" customWidth="1"/>
    <col min="4608" max="4608" width="32.33203125" style="414" bestFit="1" customWidth="1"/>
    <col min="4609" max="4609" width="22.21875" style="414" customWidth="1"/>
    <col min="4610" max="4610" width="14.33203125" style="414" customWidth="1"/>
    <col min="4611" max="4611" width="19" style="414" customWidth="1"/>
    <col min="4612" max="4612" width="8.77734375" style="414" customWidth="1"/>
    <col min="4613" max="4613" width="11.33203125" style="414" customWidth="1"/>
    <col min="4614" max="4614" width="8.77734375" style="414" customWidth="1"/>
    <col min="4615" max="4615" width="6.33203125" style="414" customWidth="1"/>
    <col min="4616" max="4616" width="14.33203125" style="414" customWidth="1"/>
    <col min="4617" max="4620" width="8.77734375" style="414" customWidth="1"/>
    <col min="4621" max="4621" width="17.77734375" style="414" customWidth="1"/>
    <col min="4622" max="4863" width="8.77734375" style="414" customWidth="1"/>
    <col min="4864" max="4864" width="32.33203125" style="414" bestFit="1" customWidth="1"/>
    <col min="4865" max="4865" width="22.21875" style="414" customWidth="1"/>
    <col min="4866" max="4866" width="14.33203125" style="414" customWidth="1"/>
    <col min="4867" max="4867" width="19" style="414" customWidth="1"/>
    <col min="4868" max="4868" width="8.77734375" style="414" customWidth="1"/>
    <col min="4869" max="4869" width="11.33203125" style="414" customWidth="1"/>
    <col min="4870" max="4870" width="8.77734375" style="414" customWidth="1"/>
    <col min="4871" max="4871" width="6.33203125" style="414" customWidth="1"/>
    <col min="4872" max="4872" width="14.33203125" style="414" customWidth="1"/>
    <col min="4873" max="4876" width="8.77734375" style="414" customWidth="1"/>
    <col min="4877" max="4877" width="17.77734375" style="414" customWidth="1"/>
    <col min="4878" max="5119" width="8.77734375" style="414" customWidth="1"/>
    <col min="5120" max="5120" width="32.33203125" style="414" bestFit="1" customWidth="1"/>
    <col min="5121" max="5121" width="22.21875" style="414" customWidth="1"/>
    <col min="5122" max="5122" width="14.33203125" style="414" customWidth="1"/>
    <col min="5123" max="5123" width="19" style="414" customWidth="1"/>
    <col min="5124" max="5124" width="8.77734375" style="414" customWidth="1"/>
    <col min="5125" max="5125" width="11.33203125" style="414" customWidth="1"/>
    <col min="5126" max="5126" width="8.77734375" style="414" customWidth="1"/>
    <col min="5127" max="5127" width="6.33203125" style="414" customWidth="1"/>
    <col min="5128" max="5128" width="14.33203125" style="414" customWidth="1"/>
    <col min="5129" max="5132" width="8.77734375" style="414" customWidth="1"/>
    <col min="5133" max="5133" width="17.77734375" style="414" customWidth="1"/>
    <col min="5134" max="5375" width="8.77734375" style="414" customWidth="1"/>
    <col min="5376" max="5376" width="32.33203125" style="414" bestFit="1" customWidth="1"/>
    <col min="5377" max="5377" width="22.21875" style="414" customWidth="1"/>
    <col min="5378" max="5378" width="14.33203125" style="414" customWidth="1"/>
    <col min="5379" max="5379" width="19" style="414" customWidth="1"/>
    <col min="5380" max="5380" width="8.77734375" style="414" customWidth="1"/>
    <col min="5381" max="5381" width="11.33203125" style="414" customWidth="1"/>
    <col min="5382" max="5382" width="8.77734375" style="414" customWidth="1"/>
    <col min="5383" max="5383" width="6.33203125" style="414" customWidth="1"/>
    <col min="5384" max="5384" width="14.33203125" style="414" customWidth="1"/>
    <col min="5385" max="5388" width="8.77734375" style="414" customWidth="1"/>
    <col min="5389" max="5389" width="17.77734375" style="414" customWidth="1"/>
    <col min="5390" max="5631" width="8.77734375" style="414" customWidth="1"/>
    <col min="5632" max="5632" width="32.33203125" style="414" bestFit="1" customWidth="1"/>
    <col min="5633" max="5633" width="22.21875" style="414" customWidth="1"/>
    <col min="5634" max="5634" width="14.33203125" style="414" customWidth="1"/>
    <col min="5635" max="5635" width="19" style="414" customWidth="1"/>
    <col min="5636" max="5636" width="8.77734375" style="414" customWidth="1"/>
    <col min="5637" max="5637" width="11.33203125" style="414" customWidth="1"/>
    <col min="5638" max="5638" width="8.77734375" style="414" customWidth="1"/>
    <col min="5639" max="5639" width="6.33203125" style="414" customWidth="1"/>
    <col min="5640" max="5640" width="14.33203125" style="414" customWidth="1"/>
    <col min="5641" max="5644" width="8.77734375" style="414" customWidth="1"/>
    <col min="5645" max="5645" width="17.77734375" style="414" customWidth="1"/>
    <col min="5646" max="5887" width="8.77734375" style="414" customWidth="1"/>
    <col min="5888" max="5888" width="32.33203125" style="414" bestFit="1" customWidth="1"/>
    <col min="5889" max="5889" width="22.21875" style="414" customWidth="1"/>
    <col min="5890" max="5890" width="14.33203125" style="414" customWidth="1"/>
    <col min="5891" max="5891" width="19" style="414" customWidth="1"/>
    <col min="5892" max="5892" width="8.77734375" style="414" customWidth="1"/>
    <col min="5893" max="5893" width="11.33203125" style="414" customWidth="1"/>
    <col min="5894" max="5894" width="8.77734375" style="414" customWidth="1"/>
    <col min="5895" max="5895" width="6.33203125" style="414" customWidth="1"/>
    <col min="5896" max="5896" width="14.33203125" style="414" customWidth="1"/>
    <col min="5897" max="5900" width="8.77734375" style="414" customWidth="1"/>
    <col min="5901" max="5901" width="17.77734375" style="414" customWidth="1"/>
    <col min="5902" max="6143" width="8.77734375" style="414" customWidth="1"/>
    <col min="6144" max="6144" width="32.33203125" style="414" bestFit="1" customWidth="1"/>
    <col min="6145" max="6145" width="22.21875" style="414" customWidth="1"/>
    <col min="6146" max="6146" width="14.33203125" style="414" customWidth="1"/>
    <col min="6147" max="6147" width="19" style="414" customWidth="1"/>
    <col min="6148" max="6148" width="8.77734375" style="414" customWidth="1"/>
    <col min="6149" max="6149" width="11.33203125" style="414" customWidth="1"/>
    <col min="6150" max="6150" width="8.77734375" style="414" customWidth="1"/>
    <col min="6151" max="6151" width="6.33203125" style="414" customWidth="1"/>
    <col min="6152" max="6152" width="14.33203125" style="414" customWidth="1"/>
    <col min="6153" max="6156" width="8.77734375" style="414" customWidth="1"/>
    <col min="6157" max="6157" width="17.77734375" style="414" customWidth="1"/>
    <col min="6158" max="6399" width="8.77734375" style="414" customWidth="1"/>
    <col min="6400" max="6400" width="32.33203125" style="414" bestFit="1" customWidth="1"/>
    <col min="6401" max="6401" width="22.21875" style="414" customWidth="1"/>
    <col min="6402" max="6402" width="14.33203125" style="414" customWidth="1"/>
    <col min="6403" max="6403" width="19" style="414" customWidth="1"/>
    <col min="6404" max="6404" width="8.77734375" style="414" customWidth="1"/>
    <col min="6405" max="6405" width="11.33203125" style="414" customWidth="1"/>
    <col min="6406" max="6406" width="8.77734375" style="414" customWidth="1"/>
    <col min="6407" max="6407" width="6.33203125" style="414" customWidth="1"/>
    <col min="6408" max="6408" width="14.33203125" style="414" customWidth="1"/>
    <col min="6409" max="6412" width="8.77734375" style="414" customWidth="1"/>
    <col min="6413" max="6413" width="17.77734375" style="414" customWidth="1"/>
    <col min="6414" max="6655" width="8.77734375" style="414" customWidth="1"/>
    <col min="6656" max="6656" width="32.33203125" style="414" bestFit="1" customWidth="1"/>
    <col min="6657" max="6657" width="22.21875" style="414" customWidth="1"/>
    <col min="6658" max="6658" width="14.33203125" style="414" customWidth="1"/>
    <col min="6659" max="6659" width="19" style="414" customWidth="1"/>
    <col min="6660" max="6660" width="8.77734375" style="414" customWidth="1"/>
    <col min="6661" max="6661" width="11.33203125" style="414" customWidth="1"/>
    <col min="6662" max="6662" width="8.77734375" style="414" customWidth="1"/>
    <col min="6663" max="6663" width="6.33203125" style="414" customWidth="1"/>
    <col min="6664" max="6664" width="14.33203125" style="414" customWidth="1"/>
    <col min="6665" max="6668" width="8.77734375" style="414" customWidth="1"/>
    <col min="6669" max="6669" width="17.77734375" style="414" customWidth="1"/>
    <col min="6670" max="6911" width="8.77734375" style="414" customWidth="1"/>
    <col min="6912" max="6912" width="32.33203125" style="414" bestFit="1" customWidth="1"/>
    <col min="6913" max="6913" width="22.21875" style="414" customWidth="1"/>
    <col min="6914" max="6914" width="14.33203125" style="414" customWidth="1"/>
    <col min="6915" max="6915" width="19" style="414" customWidth="1"/>
    <col min="6916" max="6916" width="8.77734375" style="414" customWidth="1"/>
    <col min="6917" max="6917" width="11.33203125" style="414" customWidth="1"/>
    <col min="6918" max="6918" width="8.77734375" style="414" customWidth="1"/>
    <col min="6919" max="6919" width="6.33203125" style="414" customWidth="1"/>
    <col min="6920" max="6920" width="14.33203125" style="414" customWidth="1"/>
    <col min="6921" max="6924" width="8.77734375" style="414" customWidth="1"/>
    <col min="6925" max="6925" width="17.77734375" style="414" customWidth="1"/>
    <col min="6926" max="7167" width="8.77734375" style="414" customWidth="1"/>
    <col min="7168" max="7168" width="32.33203125" style="414" bestFit="1" customWidth="1"/>
    <col min="7169" max="7169" width="22.21875" style="414" customWidth="1"/>
    <col min="7170" max="7170" width="14.33203125" style="414" customWidth="1"/>
    <col min="7171" max="7171" width="19" style="414" customWidth="1"/>
    <col min="7172" max="7172" width="8.77734375" style="414" customWidth="1"/>
    <col min="7173" max="7173" width="11.33203125" style="414" customWidth="1"/>
    <col min="7174" max="7174" width="8.77734375" style="414" customWidth="1"/>
    <col min="7175" max="7175" width="6.33203125" style="414" customWidth="1"/>
    <col min="7176" max="7176" width="14.33203125" style="414" customWidth="1"/>
    <col min="7177" max="7180" width="8.77734375" style="414" customWidth="1"/>
    <col min="7181" max="7181" width="17.77734375" style="414" customWidth="1"/>
    <col min="7182" max="7423" width="8.77734375" style="414" customWidth="1"/>
    <col min="7424" max="7424" width="32.33203125" style="414" bestFit="1" customWidth="1"/>
    <col min="7425" max="7425" width="22.21875" style="414" customWidth="1"/>
    <col min="7426" max="7426" width="14.33203125" style="414" customWidth="1"/>
    <col min="7427" max="7427" width="19" style="414" customWidth="1"/>
    <col min="7428" max="7428" width="8.77734375" style="414" customWidth="1"/>
    <col min="7429" max="7429" width="11.33203125" style="414" customWidth="1"/>
    <col min="7430" max="7430" width="8.77734375" style="414" customWidth="1"/>
    <col min="7431" max="7431" width="6.33203125" style="414" customWidth="1"/>
    <col min="7432" max="7432" width="14.33203125" style="414" customWidth="1"/>
    <col min="7433" max="7436" width="8.77734375" style="414" customWidth="1"/>
    <col min="7437" max="7437" width="17.77734375" style="414" customWidth="1"/>
    <col min="7438" max="7679" width="8.77734375" style="414" customWidth="1"/>
    <col min="7680" max="7680" width="32.33203125" style="414" bestFit="1" customWidth="1"/>
    <col min="7681" max="7681" width="22.21875" style="414" customWidth="1"/>
    <col min="7682" max="7682" width="14.33203125" style="414" customWidth="1"/>
    <col min="7683" max="7683" width="19" style="414" customWidth="1"/>
    <col min="7684" max="7684" width="8.77734375" style="414" customWidth="1"/>
    <col min="7685" max="7685" width="11.33203125" style="414" customWidth="1"/>
    <col min="7686" max="7686" width="8.77734375" style="414" customWidth="1"/>
    <col min="7687" max="7687" width="6.33203125" style="414" customWidth="1"/>
    <col min="7688" max="7688" width="14.33203125" style="414" customWidth="1"/>
    <col min="7689" max="7692" width="8.77734375" style="414" customWidth="1"/>
    <col min="7693" max="7693" width="17.77734375" style="414" customWidth="1"/>
    <col min="7694" max="7935" width="8.77734375" style="414" customWidth="1"/>
    <col min="7936" max="7936" width="32.33203125" style="414" bestFit="1" customWidth="1"/>
    <col min="7937" max="7937" width="22.21875" style="414" customWidth="1"/>
    <col min="7938" max="7938" width="14.33203125" style="414" customWidth="1"/>
    <col min="7939" max="7939" width="19" style="414" customWidth="1"/>
    <col min="7940" max="7940" width="8.77734375" style="414" customWidth="1"/>
    <col min="7941" max="7941" width="11.33203125" style="414" customWidth="1"/>
    <col min="7942" max="7942" width="8.77734375" style="414" customWidth="1"/>
    <col min="7943" max="7943" width="6.33203125" style="414" customWidth="1"/>
    <col min="7944" max="7944" width="14.33203125" style="414" customWidth="1"/>
    <col min="7945" max="7948" width="8.77734375" style="414" customWidth="1"/>
    <col min="7949" max="7949" width="17.77734375" style="414" customWidth="1"/>
    <col min="7950" max="8191" width="8.77734375" style="414" customWidth="1"/>
    <col min="8192" max="8192" width="32.33203125" style="414" bestFit="1" customWidth="1"/>
    <col min="8193" max="8193" width="22.21875" style="414" customWidth="1"/>
    <col min="8194" max="8194" width="14.33203125" style="414" customWidth="1"/>
    <col min="8195" max="8195" width="19" style="414" customWidth="1"/>
    <col min="8196" max="8196" width="8.77734375" style="414" customWidth="1"/>
    <col min="8197" max="8197" width="11.33203125" style="414" customWidth="1"/>
    <col min="8198" max="8198" width="8.77734375" style="414" customWidth="1"/>
    <col min="8199" max="8199" width="6.33203125" style="414" customWidth="1"/>
    <col min="8200" max="8200" width="14.33203125" style="414" customWidth="1"/>
    <col min="8201" max="8204" width="8.77734375" style="414" customWidth="1"/>
    <col min="8205" max="8205" width="17.77734375" style="414" customWidth="1"/>
    <col min="8206" max="8447" width="8.77734375" style="414" customWidth="1"/>
    <col min="8448" max="8448" width="32.33203125" style="414" bestFit="1" customWidth="1"/>
    <col min="8449" max="8449" width="22.21875" style="414" customWidth="1"/>
    <col min="8450" max="8450" width="14.33203125" style="414" customWidth="1"/>
    <col min="8451" max="8451" width="19" style="414" customWidth="1"/>
    <col min="8452" max="8452" width="8.77734375" style="414" customWidth="1"/>
    <col min="8453" max="8453" width="11.33203125" style="414" customWidth="1"/>
    <col min="8454" max="8454" width="8.77734375" style="414" customWidth="1"/>
    <col min="8455" max="8455" width="6.33203125" style="414" customWidth="1"/>
    <col min="8456" max="8456" width="14.33203125" style="414" customWidth="1"/>
    <col min="8457" max="8460" width="8.77734375" style="414" customWidth="1"/>
    <col min="8461" max="8461" width="17.77734375" style="414" customWidth="1"/>
    <col min="8462" max="8703" width="8.77734375" style="414" customWidth="1"/>
    <col min="8704" max="8704" width="32.33203125" style="414" bestFit="1" customWidth="1"/>
    <col min="8705" max="8705" width="22.21875" style="414" customWidth="1"/>
    <col min="8706" max="8706" width="14.33203125" style="414" customWidth="1"/>
    <col min="8707" max="8707" width="19" style="414" customWidth="1"/>
    <col min="8708" max="8708" width="8.77734375" style="414" customWidth="1"/>
    <col min="8709" max="8709" width="11.33203125" style="414" customWidth="1"/>
    <col min="8710" max="8710" width="8.77734375" style="414" customWidth="1"/>
    <col min="8711" max="8711" width="6.33203125" style="414" customWidth="1"/>
    <col min="8712" max="8712" width="14.33203125" style="414" customWidth="1"/>
    <col min="8713" max="8716" width="8.77734375" style="414" customWidth="1"/>
    <col min="8717" max="8717" width="17.77734375" style="414" customWidth="1"/>
    <col min="8718" max="8959" width="8.77734375" style="414" customWidth="1"/>
    <col min="8960" max="8960" width="32.33203125" style="414" bestFit="1" customWidth="1"/>
    <col min="8961" max="8961" width="22.21875" style="414" customWidth="1"/>
    <col min="8962" max="8962" width="14.33203125" style="414" customWidth="1"/>
    <col min="8963" max="8963" width="19" style="414" customWidth="1"/>
    <col min="8964" max="8964" width="8.77734375" style="414" customWidth="1"/>
    <col min="8965" max="8965" width="11.33203125" style="414" customWidth="1"/>
    <col min="8966" max="8966" width="8.77734375" style="414" customWidth="1"/>
    <col min="8967" max="8967" width="6.33203125" style="414" customWidth="1"/>
    <col min="8968" max="8968" width="14.33203125" style="414" customWidth="1"/>
    <col min="8969" max="8972" width="8.77734375" style="414" customWidth="1"/>
    <col min="8973" max="8973" width="17.77734375" style="414" customWidth="1"/>
    <col min="8974" max="9215" width="8.77734375" style="414" customWidth="1"/>
    <col min="9216" max="9216" width="32.33203125" style="414" bestFit="1" customWidth="1"/>
    <col min="9217" max="9217" width="22.21875" style="414" customWidth="1"/>
    <col min="9218" max="9218" width="14.33203125" style="414" customWidth="1"/>
    <col min="9219" max="9219" width="19" style="414" customWidth="1"/>
    <col min="9220" max="9220" width="8.77734375" style="414" customWidth="1"/>
    <col min="9221" max="9221" width="11.33203125" style="414" customWidth="1"/>
    <col min="9222" max="9222" width="8.77734375" style="414" customWidth="1"/>
    <col min="9223" max="9223" width="6.33203125" style="414" customWidth="1"/>
    <col min="9224" max="9224" width="14.33203125" style="414" customWidth="1"/>
    <col min="9225" max="9228" width="8.77734375" style="414" customWidth="1"/>
    <col min="9229" max="9229" width="17.77734375" style="414" customWidth="1"/>
    <col min="9230" max="9471" width="8.77734375" style="414" customWidth="1"/>
    <col min="9472" max="9472" width="32.33203125" style="414" bestFit="1" customWidth="1"/>
    <col min="9473" max="9473" width="22.21875" style="414" customWidth="1"/>
    <col min="9474" max="9474" width="14.33203125" style="414" customWidth="1"/>
    <col min="9475" max="9475" width="19" style="414" customWidth="1"/>
    <col min="9476" max="9476" width="8.77734375" style="414" customWidth="1"/>
    <col min="9477" max="9477" width="11.33203125" style="414" customWidth="1"/>
    <col min="9478" max="9478" width="8.77734375" style="414" customWidth="1"/>
    <col min="9479" max="9479" width="6.33203125" style="414" customWidth="1"/>
    <col min="9480" max="9480" width="14.33203125" style="414" customWidth="1"/>
    <col min="9481" max="9484" width="8.77734375" style="414" customWidth="1"/>
    <col min="9485" max="9485" width="17.77734375" style="414" customWidth="1"/>
    <col min="9486" max="9727" width="8.77734375" style="414" customWidth="1"/>
    <col min="9728" max="9728" width="32.33203125" style="414" bestFit="1" customWidth="1"/>
    <col min="9729" max="9729" width="22.21875" style="414" customWidth="1"/>
    <col min="9730" max="9730" width="14.33203125" style="414" customWidth="1"/>
    <col min="9731" max="9731" width="19" style="414" customWidth="1"/>
    <col min="9732" max="9732" width="8.77734375" style="414" customWidth="1"/>
    <col min="9733" max="9733" width="11.33203125" style="414" customWidth="1"/>
    <col min="9734" max="9734" width="8.77734375" style="414" customWidth="1"/>
    <col min="9735" max="9735" width="6.33203125" style="414" customWidth="1"/>
    <col min="9736" max="9736" width="14.33203125" style="414" customWidth="1"/>
    <col min="9737" max="9740" width="8.77734375" style="414" customWidth="1"/>
    <col min="9741" max="9741" width="17.77734375" style="414" customWidth="1"/>
    <col min="9742" max="9983" width="8.77734375" style="414" customWidth="1"/>
    <col min="9984" max="9984" width="32.33203125" style="414" bestFit="1" customWidth="1"/>
    <col min="9985" max="9985" width="22.21875" style="414" customWidth="1"/>
    <col min="9986" max="9986" width="14.33203125" style="414" customWidth="1"/>
    <col min="9987" max="9987" width="19" style="414" customWidth="1"/>
    <col min="9988" max="9988" width="8.77734375" style="414" customWidth="1"/>
    <col min="9989" max="9989" width="11.33203125" style="414" customWidth="1"/>
    <col min="9990" max="9990" width="8.77734375" style="414" customWidth="1"/>
    <col min="9991" max="9991" width="6.33203125" style="414" customWidth="1"/>
    <col min="9992" max="9992" width="14.33203125" style="414" customWidth="1"/>
    <col min="9993" max="9996" width="8.77734375" style="414" customWidth="1"/>
    <col min="9997" max="9997" width="17.77734375" style="414" customWidth="1"/>
    <col min="9998" max="10239" width="8.77734375" style="414" customWidth="1"/>
    <col min="10240" max="10240" width="32.33203125" style="414" bestFit="1" customWidth="1"/>
    <col min="10241" max="10241" width="22.21875" style="414" customWidth="1"/>
    <col min="10242" max="10242" width="14.33203125" style="414" customWidth="1"/>
    <col min="10243" max="10243" width="19" style="414" customWidth="1"/>
    <col min="10244" max="10244" width="8.77734375" style="414" customWidth="1"/>
    <col min="10245" max="10245" width="11.33203125" style="414" customWidth="1"/>
    <col min="10246" max="10246" width="8.77734375" style="414" customWidth="1"/>
    <col min="10247" max="10247" width="6.33203125" style="414" customWidth="1"/>
    <col min="10248" max="10248" width="14.33203125" style="414" customWidth="1"/>
    <col min="10249" max="10252" width="8.77734375" style="414" customWidth="1"/>
    <col min="10253" max="10253" width="17.77734375" style="414" customWidth="1"/>
    <col min="10254" max="10495" width="8.77734375" style="414" customWidth="1"/>
    <col min="10496" max="10496" width="32.33203125" style="414" bestFit="1" customWidth="1"/>
    <col min="10497" max="10497" width="22.21875" style="414" customWidth="1"/>
    <col min="10498" max="10498" width="14.33203125" style="414" customWidth="1"/>
    <col min="10499" max="10499" width="19" style="414" customWidth="1"/>
    <col min="10500" max="10500" width="8.77734375" style="414" customWidth="1"/>
    <col min="10501" max="10501" width="11.33203125" style="414" customWidth="1"/>
    <col min="10502" max="10502" width="8.77734375" style="414" customWidth="1"/>
    <col min="10503" max="10503" width="6.33203125" style="414" customWidth="1"/>
    <col min="10504" max="10504" width="14.33203125" style="414" customWidth="1"/>
    <col min="10505" max="10508" width="8.77734375" style="414" customWidth="1"/>
    <col min="10509" max="10509" width="17.77734375" style="414" customWidth="1"/>
    <col min="10510" max="10751" width="8.77734375" style="414" customWidth="1"/>
    <col min="10752" max="10752" width="32.33203125" style="414" bestFit="1" customWidth="1"/>
    <col min="10753" max="10753" width="22.21875" style="414" customWidth="1"/>
    <col min="10754" max="10754" width="14.33203125" style="414" customWidth="1"/>
    <col min="10755" max="10755" width="19" style="414" customWidth="1"/>
    <col min="10756" max="10756" width="8.77734375" style="414" customWidth="1"/>
    <col min="10757" max="10757" width="11.33203125" style="414" customWidth="1"/>
    <col min="10758" max="10758" width="8.77734375" style="414" customWidth="1"/>
    <col min="10759" max="10759" width="6.33203125" style="414" customWidth="1"/>
    <col min="10760" max="10760" width="14.33203125" style="414" customWidth="1"/>
    <col min="10761" max="10764" width="8.77734375" style="414" customWidth="1"/>
    <col min="10765" max="10765" width="17.77734375" style="414" customWidth="1"/>
    <col min="10766" max="11007" width="8.77734375" style="414" customWidth="1"/>
    <col min="11008" max="11008" width="32.33203125" style="414" bestFit="1" customWidth="1"/>
    <col min="11009" max="11009" width="22.21875" style="414" customWidth="1"/>
    <col min="11010" max="11010" width="14.33203125" style="414" customWidth="1"/>
    <col min="11011" max="11011" width="19" style="414" customWidth="1"/>
    <col min="11012" max="11012" width="8.77734375" style="414" customWidth="1"/>
    <col min="11013" max="11013" width="11.33203125" style="414" customWidth="1"/>
    <col min="11014" max="11014" width="8.77734375" style="414" customWidth="1"/>
    <col min="11015" max="11015" width="6.33203125" style="414" customWidth="1"/>
    <col min="11016" max="11016" width="14.33203125" style="414" customWidth="1"/>
    <col min="11017" max="11020" width="8.77734375" style="414" customWidth="1"/>
    <col min="11021" max="11021" width="17.77734375" style="414" customWidth="1"/>
    <col min="11022" max="11263" width="8.77734375" style="414" customWidth="1"/>
    <col min="11264" max="11264" width="32.33203125" style="414" bestFit="1" customWidth="1"/>
    <col min="11265" max="11265" width="22.21875" style="414" customWidth="1"/>
    <col min="11266" max="11266" width="14.33203125" style="414" customWidth="1"/>
    <col min="11267" max="11267" width="19" style="414" customWidth="1"/>
    <col min="11268" max="11268" width="8.77734375" style="414" customWidth="1"/>
    <col min="11269" max="11269" width="11.33203125" style="414" customWidth="1"/>
    <col min="11270" max="11270" width="8.77734375" style="414" customWidth="1"/>
    <col min="11271" max="11271" width="6.33203125" style="414" customWidth="1"/>
    <col min="11272" max="11272" width="14.33203125" style="414" customWidth="1"/>
    <col min="11273" max="11276" width="8.77734375" style="414" customWidth="1"/>
    <col min="11277" max="11277" width="17.77734375" style="414" customWidth="1"/>
    <col min="11278" max="11519" width="8.77734375" style="414" customWidth="1"/>
    <col min="11520" max="11520" width="32.33203125" style="414" bestFit="1" customWidth="1"/>
    <col min="11521" max="11521" width="22.21875" style="414" customWidth="1"/>
    <col min="11522" max="11522" width="14.33203125" style="414" customWidth="1"/>
    <col min="11523" max="11523" width="19" style="414" customWidth="1"/>
    <col min="11524" max="11524" width="8.77734375" style="414" customWidth="1"/>
    <col min="11525" max="11525" width="11.33203125" style="414" customWidth="1"/>
    <col min="11526" max="11526" width="8.77734375" style="414" customWidth="1"/>
    <col min="11527" max="11527" width="6.33203125" style="414" customWidth="1"/>
    <col min="11528" max="11528" width="14.33203125" style="414" customWidth="1"/>
    <col min="11529" max="11532" width="8.77734375" style="414" customWidth="1"/>
    <col min="11533" max="11533" width="17.77734375" style="414" customWidth="1"/>
    <col min="11534" max="11775" width="8.77734375" style="414" customWidth="1"/>
    <col min="11776" max="11776" width="32.33203125" style="414" bestFit="1" customWidth="1"/>
    <col min="11777" max="11777" width="22.21875" style="414" customWidth="1"/>
    <col min="11778" max="11778" width="14.33203125" style="414" customWidth="1"/>
    <col min="11779" max="11779" width="19" style="414" customWidth="1"/>
    <col min="11780" max="11780" width="8.77734375" style="414" customWidth="1"/>
    <col min="11781" max="11781" width="11.33203125" style="414" customWidth="1"/>
    <col min="11782" max="11782" width="8.77734375" style="414" customWidth="1"/>
    <col min="11783" max="11783" width="6.33203125" style="414" customWidth="1"/>
    <col min="11784" max="11784" width="14.33203125" style="414" customWidth="1"/>
    <col min="11785" max="11788" width="8.77734375" style="414" customWidth="1"/>
    <col min="11789" max="11789" width="17.77734375" style="414" customWidth="1"/>
    <col min="11790" max="12031" width="8.77734375" style="414" customWidth="1"/>
    <col min="12032" max="12032" width="32.33203125" style="414" bestFit="1" customWidth="1"/>
    <col min="12033" max="12033" width="22.21875" style="414" customWidth="1"/>
    <col min="12034" max="12034" width="14.33203125" style="414" customWidth="1"/>
    <col min="12035" max="12035" width="19" style="414" customWidth="1"/>
    <col min="12036" max="12036" width="8.77734375" style="414" customWidth="1"/>
    <col min="12037" max="12037" width="11.33203125" style="414" customWidth="1"/>
    <col min="12038" max="12038" width="8.77734375" style="414" customWidth="1"/>
    <col min="12039" max="12039" width="6.33203125" style="414" customWidth="1"/>
    <col min="12040" max="12040" width="14.33203125" style="414" customWidth="1"/>
    <col min="12041" max="12044" width="8.77734375" style="414" customWidth="1"/>
    <col min="12045" max="12045" width="17.77734375" style="414" customWidth="1"/>
    <col min="12046" max="12287" width="8.77734375" style="414" customWidth="1"/>
    <col min="12288" max="12288" width="32.33203125" style="414" bestFit="1" customWidth="1"/>
    <col min="12289" max="12289" width="22.21875" style="414" customWidth="1"/>
    <col min="12290" max="12290" width="14.33203125" style="414" customWidth="1"/>
    <col min="12291" max="12291" width="19" style="414" customWidth="1"/>
    <col min="12292" max="12292" width="8.77734375" style="414" customWidth="1"/>
    <col min="12293" max="12293" width="11.33203125" style="414" customWidth="1"/>
    <col min="12294" max="12294" width="8.77734375" style="414" customWidth="1"/>
    <col min="12295" max="12295" width="6.33203125" style="414" customWidth="1"/>
    <col min="12296" max="12296" width="14.33203125" style="414" customWidth="1"/>
    <col min="12297" max="12300" width="8.77734375" style="414" customWidth="1"/>
    <col min="12301" max="12301" width="17.77734375" style="414" customWidth="1"/>
    <col min="12302" max="12543" width="8.77734375" style="414" customWidth="1"/>
    <col min="12544" max="12544" width="32.33203125" style="414" bestFit="1" customWidth="1"/>
    <col min="12545" max="12545" width="22.21875" style="414" customWidth="1"/>
    <col min="12546" max="12546" width="14.33203125" style="414" customWidth="1"/>
    <col min="12547" max="12547" width="19" style="414" customWidth="1"/>
    <col min="12548" max="12548" width="8.77734375" style="414" customWidth="1"/>
    <col min="12549" max="12549" width="11.33203125" style="414" customWidth="1"/>
    <col min="12550" max="12550" width="8.77734375" style="414" customWidth="1"/>
    <col min="12551" max="12551" width="6.33203125" style="414" customWidth="1"/>
    <col min="12552" max="12552" width="14.33203125" style="414" customWidth="1"/>
    <col min="12553" max="12556" width="8.77734375" style="414" customWidth="1"/>
    <col min="12557" max="12557" width="17.77734375" style="414" customWidth="1"/>
    <col min="12558" max="12799" width="8.77734375" style="414" customWidth="1"/>
    <col min="12800" max="12800" width="32.33203125" style="414" bestFit="1" customWidth="1"/>
    <col min="12801" max="12801" width="22.21875" style="414" customWidth="1"/>
    <col min="12802" max="12802" width="14.33203125" style="414" customWidth="1"/>
    <col min="12803" max="12803" width="19" style="414" customWidth="1"/>
    <col min="12804" max="12804" width="8.77734375" style="414" customWidth="1"/>
    <col min="12805" max="12805" width="11.33203125" style="414" customWidth="1"/>
    <col min="12806" max="12806" width="8.77734375" style="414" customWidth="1"/>
    <col min="12807" max="12807" width="6.33203125" style="414" customWidth="1"/>
    <col min="12808" max="12808" width="14.33203125" style="414" customWidth="1"/>
    <col min="12809" max="12812" width="8.77734375" style="414" customWidth="1"/>
    <col min="12813" max="12813" width="17.77734375" style="414" customWidth="1"/>
    <col min="12814" max="13055" width="8.77734375" style="414" customWidth="1"/>
    <col min="13056" max="13056" width="32.33203125" style="414" bestFit="1" customWidth="1"/>
    <col min="13057" max="13057" width="22.21875" style="414" customWidth="1"/>
    <col min="13058" max="13058" width="14.33203125" style="414" customWidth="1"/>
    <col min="13059" max="13059" width="19" style="414" customWidth="1"/>
    <col min="13060" max="13060" width="8.77734375" style="414" customWidth="1"/>
    <col min="13061" max="13061" width="11.33203125" style="414" customWidth="1"/>
    <col min="13062" max="13062" width="8.77734375" style="414" customWidth="1"/>
    <col min="13063" max="13063" width="6.33203125" style="414" customWidth="1"/>
    <col min="13064" max="13064" width="14.33203125" style="414" customWidth="1"/>
    <col min="13065" max="13068" width="8.77734375" style="414" customWidth="1"/>
    <col min="13069" max="13069" width="17.77734375" style="414" customWidth="1"/>
    <col min="13070" max="13311" width="8.77734375" style="414" customWidth="1"/>
    <col min="13312" max="13312" width="32.33203125" style="414" bestFit="1" customWidth="1"/>
    <col min="13313" max="13313" width="22.21875" style="414" customWidth="1"/>
    <col min="13314" max="13314" width="14.33203125" style="414" customWidth="1"/>
    <col min="13315" max="13315" width="19" style="414" customWidth="1"/>
    <col min="13316" max="13316" width="8.77734375" style="414" customWidth="1"/>
    <col min="13317" max="13317" width="11.33203125" style="414" customWidth="1"/>
    <col min="13318" max="13318" width="8.77734375" style="414" customWidth="1"/>
    <col min="13319" max="13319" width="6.33203125" style="414" customWidth="1"/>
    <col min="13320" max="13320" width="14.33203125" style="414" customWidth="1"/>
    <col min="13321" max="13324" width="8.77734375" style="414" customWidth="1"/>
    <col min="13325" max="13325" width="17.77734375" style="414" customWidth="1"/>
    <col min="13326" max="13567" width="8.77734375" style="414" customWidth="1"/>
    <col min="13568" max="13568" width="32.33203125" style="414" bestFit="1" customWidth="1"/>
    <col min="13569" max="13569" width="22.21875" style="414" customWidth="1"/>
    <col min="13570" max="13570" width="14.33203125" style="414" customWidth="1"/>
    <col min="13571" max="13571" width="19" style="414" customWidth="1"/>
    <col min="13572" max="13572" width="8.77734375" style="414" customWidth="1"/>
    <col min="13573" max="13573" width="11.33203125" style="414" customWidth="1"/>
    <col min="13574" max="13574" width="8.77734375" style="414" customWidth="1"/>
    <col min="13575" max="13575" width="6.33203125" style="414" customWidth="1"/>
    <col min="13576" max="13576" width="14.33203125" style="414" customWidth="1"/>
    <col min="13577" max="13580" width="8.77734375" style="414" customWidth="1"/>
    <col min="13581" max="13581" width="17.77734375" style="414" customWidth="1"/>
    <col min="13582" max="13823" width="8.77734375" style="414" customWidth="1"/>
    <col min="13824" max="13824" width="32.33203125" style="414" bestFit="1" customWidth="1"/>
    <col min="13825" max="13825" width="22.21875" style="414" customWidth="1"/>
    <col min="13826" max="13826" width="14.33203125" style="414" customWidth="1"/>
    <col min="13827" max="13827" width="19" style="414" customWidth="1"/>
    <col min="13828" max="13828" width="8.77734375" style="414" customWidth="1"/>
    <col min="13829" max="13829" width="11.33203125" style="414" customWidth="1"/>
    <col min="13830" max="13830" width="8.77734375" style="414" customWidth="1"/>
    <col min="13831" max="13831" width="6.33203125" style="414" customWidth="1"/>
    <col min="13832" max="13832" width="14.33203125" style="414" customWidth="1"/>
    <col min="13833" max="13836" width="8.77734375" style="414" customWidth="1"/>
    <col min="13837" max="13837" width="17.77734375" style="414" customWidth="1"/>
    <col min="13838" max="14079" width="8.77734375" style="414" customWidth="1"/>
    <col min="14080" max="14080" width="32.33203125" style="414" bestFit="1" customWidth="1"/>
    <col min="14081" max="14081" width="22.21875" style="414" customWidth="1"/>
    <col min="14082" max="14082" width="14.33203125" style="414" customWidth="1"/>
    <col min="14083" max="14083" width="19" style="414" customWidth="1"/>
    <col min="14084" max="14084" width="8.77734375" style="414" customWidth="1"/>
    <col min="14085" max="14085" width="11.33203125" style="414" customWidth="1"/>
    <col min="14086" max="14086" width="8.77734375" style="414" customWidth="1"/>
    <col min="14087" max="14087" width="6.33203125" style="414" customWidth="1"/>
    <col min="14088" max="14088" width="14.33203125" style="414" customWidth="1"/>
    <col min="14089" max="14092" width="8.77734375" style="414" customWidth="1"/>
    <col min="14093" max="14093" width="17.77734375" style="414" customWidth="1"/>
    <col min="14094" max="14335" width="8.77734375" style="414" customWidth="1"/>
    <col min="14336" max="14336" width="32.33203125" style="414" bestFit="1" customWidth="1"/>
    <col min="14337" max="14337" width="22.21875" style="414" customWidth="1"/>
    <col min="14338" max="14338" width="14.33203125" style="414" customWidth="1"/>
    <col min="14339" max="14339" width="19" style="414" customWidth="1"/>
    <col min="14340" max="14340" width="8.77734375" style="414" customWidth="1"/>
    <col min="14341" max="14341" width="11.33203125" style="414" customWidth="1"/>
    <col min="14342" max="14342" width="8.77734375" style="414" customWidth="1"/>
    <col min="14343" max="14343" width="6.33203125" style="414" customWidth="1"/>
    <col min="14344" max="14344" width="14.33203125" style="414" customWidth="1"/>
    <col min="14345" max="14348" width="8.77734375" style="414" customWidth="1"/>
    <col min="14349" max="14349" width="17.77734375" style="414" customWidth="1"/>
    <col min="14350" max="14591" width="8.77734375" style="414" customWidth="1"/>
    <col min="14592" max="14592" width="32.33203125" style="414" bestFit="1" customWidth="1"/>
    <col min="14593" max="14593" width="22.21875" style="414" customWidth="1"/>
    <col min="14594" max="14594" width="14.33203125" style="414" customWidth="1"/>
    <col min="14595" max="14595" width="19" style="414" customWidth="1"/>
    <col min="14596" max="14596" width="8.77734375" style="414" customWidth="1"/>
    <col min="14597" max="14597" width="11.33203125" style="414" customWidth="1"/>
    <col min="14598" max="14598" width="8.77734375" style="414" customWidth="1"/>
    <col min="14599" max="14599" width="6.33203125" style="414" customWidth="1"/>
    <col min="14600" max="14600" width="14.33203125" style="414" customWidth="1"/>
    <col min="14601" max="14604" width="8.77734375" style="414" customWidth="1"/>
    <col min="14605" max="14605" width="17.77734375" style="414" customWidth="1"/>
    <col min="14606" max="14847" width="8.77734375" style="414" customWidth="1"/>
    <col min="14848" max="14848" width="32.33203125" style="414" bestFit="1" customWidth="1"/>
    <col min="14849" max="14849" width="22.21875" style="414" customWidth="1"/>
    <col min="14850" max="14850" width="14.33203125" style="414" customWidth="1"/>
    <col min="14851" max="14851" width="19" style="414" customWidth="1"/>
    <col min="14852" max="14852" width="8.77734375" style="414" customWidth="1"/>
    <col min="14853" max="14853" width="11.33203125" style="414" customWidth="1"/>
    <col min="14854" max="14854" width="8.77734375" style="414" customWidth="1"/>
    <col min="14855" max="14855" width="6.33203125" style="414" customWidth="1"/>
    <col min="14856" max="14856" width="14.33203125" style="414" customWidth="1"/>
    <col min="14857" max="14860" width="8.77734375" style="414" customWidth="1"/>
    <col min="14861" max="14861" width="17.77734375" style="414" customWidth="1"/>
    <col min="14862" max="15103" width="8.77734375" style="414" customWidth="1"/>
    <col min="15104" max="15104" width="32.33203125" style="414" bestFit="1" customWidth="1"/>
    <col min="15105" max="15105" width="22.21875" style="414" customWidth="1"/>
    <col min="15106" max="15106" width="14.33203125" style="414" customWidth="1"/>
    <col min="15107" max="15107" width="19" style="414" customWidth="1"/>
    <col min="15108" max="15108" width="8.77734375" style="414" customWidth="1"/>
    <col min="15109" max="15109" width="11.33203125" style="414" customWidth="1"/>
    <col min="15110" max="15110" width="8.77734375" style="414" customWidth="1"/>
    <col min="15111" max="15111" width="6.33203125" style="414" customWidth="1"/>
    <col min="15112" max="15112" width="14.33203125" style="414" customWidth="1"/>
    <col min="15113" max="15116" width="8.77734375" style="414" customWidth="1"/>
    <col min="15117" max="15117" width="17.77734375" style="414" customWidth="1"/>
    <col min="15118" max="15359" width="8.77734375" style="414" customWidth="1"/>
    <col min="15360" max="15360" width="32.33203125" style="414" bestFit="1" customWidth="1"/>
    <col min="15361" max="15361" width="22.21875" style="414" customWidth="1"/>
    <col min="15362" max="15362" width="14.33203125" style="414" customWidth="1"/>
    <col min="15363" max="15363" width="19" style="414" customWidth="1"/>
    <col min="15364" max="15364" width="8.77734375" style="414" customWidth="1"/>
    <col min="15365" max="15365" width="11.33203125" style="414" customWidth="1"/>
    <col min="15366" max="15366" width="8.77734375" style="414" customWidth="1"/>
    <col min="15367" max="15367" width="6.33203125" style="414" customWidth="1"/>
    <col min="15368" max="15368" width="14.33203125" style="414" customWidth="1"/>
    <col min="15369" max="15372" width="8.77734375" style="414" customWidth="1"/>
    <col min="15373" max="15373" width="17.77734375" style="414" customWidth="1"/>
    <col min="15374" max="15615" width="8.77734375" style="414" customWidth="1"/>
    <col min="15616" max="15616" width="32.33203125" style="414" bestFit="1" customWidth="1"/>
    <col min="15617" max="15617" width="22.21875" style="414" customWidth="1"/>
    <col min="15618" max="15618" width="14.33203125" style="414" customWidth="1"/>
    <col min="15619" max="15619" width="19" style="414" customWidth="1"/>
    <col min="15620" max="15620" width="8.77734375" style="414" customWidth="1"/>
    <col min="15621" max="15621" width="11.33203125" style="414" customWidth="1"/>
    <col min="15622" max="15622" width="8.77734375" style="414" customWidth="1"/>
    <col min="15623" max="15623" width="6.33203125" style="414" customWidth="1"/>
    <col min="15624" max="15624" width="14.33203125" style="414" customWidth="1"/>
    <col min="15625" max="15628" width="8.77734375" style="414" customWidth="1"/>
    <col min="15629" max="15629" width="17.77734375" style="414" customWidth="1"/>
    <col min="15630" max="15871" width="8.77734375" style="414" customWidth="1"/>
    <col min="15872" max="15872" width="32.33203125" style="414" bestFit="1" customWidth="1"/>
    <col min="15873" max="15873" width="22.21875" style="414" customWidth="1"/>
    <col min="15874" max="15874" width="14.33203125" style="414" customWidth="1"/>
    <col min="15875" max="15875" width="19" style="414" customWidth="1"/>
    <col min="15876" max="15876" width="8.77734375" style="414" customWidth="1"/>
    <col min="15877" max="15877" width="11.33203125" style="414" customWidth="1"/>
    <col min="15878" max="15878" width="8.77734375" style="414" customWidth="1"/>
    <col min="15879" max="15879" width="6.33203125" style="414" customWidth="1"/>
    <col min="15880" max="15880" width="14.33203125" style="414" customWidth="1"/>
    <col min="15881" max="15884" width="8.77734375" style="414" customWidth="1"/>
    <col min="15885" max="15885" width="17.77734375" style="414" customWidth="1"/>
    <col min="15886" max="16127" width="8.77734375" style="414" customWidth="1"/>
    <col min="16128" max="16128" width="32.33203125" style="414" bestFit="1" customWidth="1"/>
    <col min="16129" max="16129" width="22.21875" style="414" customWidth="1"/>
    <col min="16130" max="16130" width="14.33203125" style="414" customWidth="1"/>
    <col min="16131" max="16131" width="19" style="414" customWidth="1"/>
    <col min="16132" max="16132" width="8.77734375" style="414" customWidth="1"/>
    <col min="16133" max="16133" width="11.33203125" style="414" customWidth="1"/>
    <col min="16134" max="16134" width="8.77734375" style="414" customWidth="1"/>
    <col min="16135" max="16135" width="6.33203125" style="414" customWidth="1"/>
    <col min="16136" max="16136" width="14.33203125" style="414" customWidth="1"/>
    <col min="16137" max="16140" width="8.77734375" style="414" customWidth="1"/>
    <col min="16141" max="16141" width="17.77734375" style="414" customWidth="1"/>
    <col min="16142" max="16384" width="8.77734375" style="414" customWidth="1"/>
  </cols>
  <sheetData>
    <row r="1" spans="1:14" x14ac:dyDescent="0.25">
      <c r="A1" s="413" t="s">
        <v>0</v>
      </c>
      <c r="B1" s="959" t="str">
        <f>'Cover Page'!D1</f>
        <v>The Edge School, Inc</v>
      </c>
      <c r="C1" s="959"/>
      <c r="E1" s="413" t="s">
        <v>1</v>
      </c>
      <c r="F1" s="585" t="str">
        <f>'Cover Page'!M1</f>
        <v>Pima</v>
      </c>
      <c r="G1" s="415"/>
      <c r="H1" s="413" t="s">
        <v>2</v>
      </c>
      <c r="I1" s="542" t="str">
        <f>'Cover Page'!R1</f>
        <v>108653000</v>
      </c>
      <c r="J1" s="585"/>
      <c r="K1" s="585"/>
    </row>
    <row r="3" spans="1:14" x14ac:dyDescent="0.25">
      <c r="A3" s="657" t="s">
        <v>726</v>
      </c>
    </row>
    <row r="4" spans="1:14" x14ac:dyDescent="0.25">
      <c r="H4" s="416" t="s">
        <v>474</v>
      </c>
      <c r="I4" s="678" t="s">
        <v>1331</v>
      </c>
      <c r="J4" s="678" t="s">
        <v>1332</v>
      </c>
    </row>
    <row r="5" spans="1:14" x14ac:dyDescent="0.25">
      <c r="H5" s="7" t="s">
        <v>475</v>
      </c>
      <c r="I5" s="518">
        <v>168.6576</v>
      </c>
      <c r="J5" s="518">
        <v>144.53970000000001</v>
      </c>
    </row>
    <row r="6" spans="1:14" x14ac:dyDescent="0.25">
      <c r="A6" s="417"/>
      <c r="B6" s="418" t="s">
        <v>476</v>
      </c>
    </row>
    <row r="8" spans="1:14" ht="15" customHeight="1" x14ac:dyDescent="0.25">
      <c r="A8" s="419"/>
      <c r="B8" s="420"/>
      <c r="C8" s="421" t="s">
        <v>477</v>
      </c>
      <c r="D8" s="960" t="s">
        <v>478</v>
      </c>
      <c r="E8" s="422"/>
      <c r="F8" s="423"/>
      <c r="G8" s="956" t="s">
        <v>479</v>
      </c>
      <c r="H8" s="958" t="s">
        <v>480</v>
      </c>
      <c r="I8" s="423"/>
      <c r="J8" s="423"/>
      <c r="K8" s="424"/>
    </row>
    <row r="9" spans="1:14" x14ac:dyDescent="0.25">
      <c r="A9" s="425"/>
      <c r="B9" s="426" t="s">
        <v>184</v>
      </c>
      <c r="C9" s="427" t="s">
        <v>184</v>
      </c>
      <c r="D9" s="961"/>
      <c r="E9" s="428"/>
      <c r="F9" s="429"/>
      <c r="G9" s="957"/>
      <c r="H9" s="957"/>
      <c r="I9" s="429" t="s">
        <v>311</v>
      </c>
      <c r="J9" s="429" t="s">
        <v>481</v>
      </c>
      <c r="K9" s="430" t="s">
        <v>187</v>
      </c>
    </row>
    <row r="10" spans="1:14" x14ac:dyDescent="0.25">
      <c r="A10" s="431" t="s">
        <v>482</v>
      </c>
      <c r="B10" s="432" t="s">
        <v>483</v>
      </c>
      <c r="C10" s="433" t="s">
        <v>483</v>
      </c>
      <c r="D10" s="962"/>
      <c r="E10" s="434" t="s">
        <v>484</v>
      </c>
      <c r="F10" s="435" t="s">
        <v>313</v>
      </c>
      <c r="G10" s="957"/>
      <c r="H10" s="957"/>
      <c r="I10" s="435" t="s">
        <v>315</v>
      </c>
      <c r="J10" s="435" t="s">
        <v>485</v>
      </c>
      <c r="K10" s="436" t="s">
        <v>483</v>
      </c>
      <c r="M10" s="413" t="s">
        <v>486</v>
      </c>
    </row>
    <row r="11" spans="1:14" x14ac:dyDescent="0.25">
      <c r="A11" s="437" t="s">
        <v>487</v>
      </c>
      <c r="B11" s="438"/>
      <c r="C11" s="439"/>
      <c r="D11" s="439"/>
      <c r="E11" s="440"/>
      <c r="F11" s="441"/>
      <c r="G11" s="442">
        <f>'Page 2'!I23</f>
        <v>1609944</v>
      </c>
      <c r="H11" s="443">
        <f>'Page 2'!J23</f>
        <v>1635212</v>
      </c>
      <c r="I11" s="444"/>
      <c r="J11" s="441"/>
      <c r="K11" s="438"/>
      <c r="M11" s="413" t="s">
        <v>1145</v>
      </c>
    </row>
    <row r="12" spans="1:14" x14ac:dyDescent="0.25">
      <c r="A12" s="437" t="s">
        <v>488</v>
      </c>
      <c r="B12" s="438"/>
      <c r="C12" s="438"/>
      <c r="D12" s="438"/>
      <c r="E12" s="445"/>
      <c r="F12" s="441"/>
      <c r="G12" s="442">
        <f>'Page 2'!I37</f>
        <v>212041</v>
      </c>
      <c r="H12" s="446">
        <f>'Page 2'!J37</f>
        <v>199131</v>
      </c>
      <c r="I12" s="444"/>
      <c r="J12" s="441"/>
      <c r="K12" s="438"/>
      <c r="M12" s="447">
        <v>-1</v>
      </c>
      <c r="N12" s="414" t="str">
        <f>"The Charter "&amp;IF('Reserve balance'!F26="Yes","has","does not have")&amp;" an adopted policy establishing a reserve balance for FY 2025."</f>
        <v>The Charter does not have an adopted policy establishing a reserve balance for FY 2025.</v>
      </c>
    </row>
    <row r="13" spans="1:14" x14ac:dyDescent="0.25">
      <c r="A13" s="437" t="s">
        <v>489</v>
      </c>
      <c r="B13" s="438"/>
      <c r="C13" s="438"/>
      <c r="D13" s="438"/>
      <c r="E13" s="445"/>
      <c r="F13" s="441"/>
      <c r="G13" s="448">
        <f>'Page 2'!I38</f>
        <v>0</v>
      </c>
      <c r="H13" s="446">
        <f>'Page 2'!J38</f>
        <v>0</v>
      </c>
      <c r="I13" s="444"/>
      <c r="J13" s="441"/>
      <c r="K13" s="438"/>
    </row>
    <row r="14" spans="1:14" x14ac:dyDescent="0.25">
      <c r="A14" s="437" t="s">
        <v>490</v>
      </c>
      <c r="B14" s="438"/>
      <c r="C14" s="438"/>
      <c r="D14" s="438"/>
      <c r="E14" s="445"/>
      <c r="F14" s="441"/>
      <c r="G14" s="448">
        <f>'Page 2'!I39</f>
        <v>0</v>
      </c>
      <c r="H14" s="446">
        <f>'Page 2'!J39</f>
        <v>0</v>
      </c>
      <c r="I14" s="444"/>
      <c r="J14" s="441"/>
      <c r="K14" s="438"/>
      <c r="M14" s="447">
        <v>-2</v>
      </c>
      <c r="N14" s="681" t="s">
        <v>1333</v>
      </c>
    </row>
    <row r="15" spans="1:14" x14ac:dyDescent="0.25">
      <c r="A15" s="449" t="s">
        <v>491</v>
      </c>
      <c r="B15" s="450"/>
      <c r="C15" s="450"/>
      <c r="D15" s="450"/>
      <c r="E15" s="451"/>
      <c r="F15" s="441"/>
      <c r="G15" s="452">
        <f>'Page 2'!I40</f>
        <v>0</v>
      </c>
      <c r="H15" s="453">
        <f>'Page 2'!J40</f>
        <v>0</v>
      </c>
      <c r="I15" s="444"/>
      <c r="J15" s="441"/>
      <c r="K15" s="438"/>
      <c r="N15" s="454">
        <f>'Reserve balance'!D39</f>
        <v>0</v>
      </c>
    </row>
    <row r="16" spans="1:14" x14ac:dyDescent="0.25">
      <c r="A16" s="455" t="s">
        <v>492</v>
      </c>
      <c r="B16" s="450"/>
      <c r="C16" s="438"/>
      <c r="D16" s="438"/>
      <c r="E16" s="445"/>
      <c r="F16" s="456"/>
      <c r="G16" s="457">
        <f>'Page 2'!I41</f>
        <v>0</v>
      </c>
      <c r="H16" s="458">
        <f>'Page 2'!J41</f>
        <v>0</v>
      </c>
      <c r="I16" s="456"/>
      <c r="J16" s="441"/>
      <c r="K16" s="459"/>
    </row>
    <row r="17" spans="1:11" x14ac:dyDescent="0.25">
      <c r="A17" s="460" t="s">
        <v>493</v>
      </c>
      <c r="B17" s="603">
        <f>[2]Summary!$K$17</f>
        <v>454494</v>
      </c>
      <c r="C17" s="466"/>
      <c r="D17" s="461">
        <f>'Page 1'!H43-SUM(D18:D23)</f>
        <v>1867912</v>
      </c>
      <c r="E17" s="445"/>
      <c r="F17" s="466"/>
      <c r="G17" s="516">
        <v>1821985</v>
      </c>
      <c r="H17" s="517">
        <v>1834383</v>
      </c>
      <c r="I17" s="466">
        <v>3578</v>
      </c>
      <c r="J17" s="466">
        <v>155000</v>
      </c>
      <c r="K17" s="462">
        <f>IF(C17="",B17,C17)+D17-E17-F17-I17-H17-J17</f>
        <v>329445</v>
      </c>
    </row>
    <row r="18" spans="1:11" x14ac:dyDescent="0.25">
      <c r="A18" s="460" t="s">
        <v>494</v>
      </c>
      <c r="B18" s="461">
        <f>IF('Page 3'!F25="",'Page 3'!F24,'Page 3'!F25)</f>
        <v>100320</v>
      </c>
      <c r="C18" s="438"/>
      <c r="D18" s="462">
        <f>'Page 3'!F28</f>
        <v>173935</v>
      </c>
      <c r="E18" s="445"/>
      <c r="F18" s="466"/>
      <c r="G18" s="463">
        <f>'Page 3'!J13+'Page 3'!F18</f>
        <v>244551</v>
      </c>
      <c r="H18" s="600">
        <f>'Page 3'!G18+'Page 3'!K13</f>
        <v>257066</v>
      </c>
      <c r="I18" s="461">
        <f>'Page 3'!G17</f>
        <v>0</v>
      </c>
      <c r="J18" s="461">
        <f>'Page 3'!G19</f>
        <v>0</v>
      </c>
      <c r="K18" s="462">
        <f t="shared" ref="K18:K23" si="0">B18+D18-E18-F18-I18-H18-J18</f>
        <v>17189</v>
      </c>
    </row>
    <row r="19" spans="1:11" x14ac:dyDescent="0.25">
      <c r="A19" s="460" t="s">
        <v>495</v>
      </c>
      <c r="B19" s="461">
        <f>IF('Page 4'!F16="",'Page 4'!F15,'Page 4'!F16)</f>
        <v>5659</v>
      </c>
      <c r="C19" s="438"/>
      <c r="D19" s="462">
        <f>'Page 4'!F17</f>
        <v>10929</v>
      </c>
      <c r="E19" s="445"/>
      <c r="F19" s="466"/>
      <c r="G19" s="515">
        <f>'Page 4'!H11</f>
        <v>9234</v>
      </c>
      <c r="H19" s="462">
        <f>'Page 4'!I11</f>
        <v>11022</v>
      </c>
      <c r="I19" s="444"/>
      <c r="J19" s="444"/>
      <c r="K19" s="462">
        <f t="shared" si="0"/>
        <v>5566</v>
      </c>
    </row>
    <row r="20" spans="1:11" x14ac:dyDescent="0.25">
      <c r="A20" s="460" t="s">
        <v>496</v>
      </c>
      <c r="B20" s="461">
        <f>IF('Page 5'!G26="",'Page 5'!F26,'Page 5'!G26)</f>
        <v>0</v>
      </c>
      <c r="C20" s="438"/>
      <c r="D20" s="462">
        <f>'Page 5'!H26</f>
        <v>0</v>
      </c>
      <c r="E20" s="445"/>
      <c r="F20" s="466"/>
      <c r="G20" s="515">
        <f>'Page 5'!N26</f>
        <v>0</v>
      </c>
      <c r="H20" s="462">
        <f>'Page 5'!O26</f>
        <v>0</v>
      </c>
      <c r="I20" s="444"/>
      <c r="J20" s="444"/>
      <c r="K20" s="462">
        <f t="shared" si="0"/>
        <v>0</v>
      </c>
    </row>
    <row r="21" spans="1:11" x14ac:dyDescent="0.25">
      <c r="A21" s="460" t="s">
        <v>497</v>
      </c>
      <c r="B21" s="461">
        <f>IF('Page 5'!G48="",'Page 5'!F48,'Page 5'!G48)</f>
        <v>0</v>
      </c>
      <c r="C21" s="438"/>
      <c r="D21" s="462">
        <f>'Page 5'!H48</f>
        <v>0</v>
      </c>
      <c r="E21" s="445"/>
      <c r="F21" s="466"/>
      <c r="G21" s="515">
        <f>'Page 5'!N48</f>
        <v>0</v>
      </c>
      <c r="H21" s="462">
        <f>'Page 5'!O48</f>
        <v>0</v>
      </c>
      <c r="I21" s="444"/>
      <c r="J21" s="444"/>
      <c r="K21" s="462">
        <f t="shared" si="0"/>
        <v>0</v>
      </c>
    </row>
    <row r="22" spans="1:11" x14ac:dyDescent="0.25">
      <c r="A22" s="460" t="s">
        <v>498</v>
      </c>
      <c r="B22" s="462">
        <f>IF('Page 8'!F23="",'Page 8'!E23,'Page 8'!F23)</f>
        <v>1465</v>
      </c>
      <c r="C22" s="438"/>
      <c r="D22" s="462">
        <f>'Page 8'!G23</f>
        <v>251455</v>
      </c>
      <c r="E22" s="541">
        <f>'Page 8'!H23</f>
        <v>4053</v>
      </c>
      <c r="F22" s="461">
        <f>'Page 8'!I23</f>
        <v>1465</v>
      </c>
      <c r="G22" s="515">
        <f>'Page 8'!J23</f>
        <v>255490</v>
      </c>
      <c r="H22" s="462">
        <f>'Page 8'!K23</f>
        <v>247402</v>
      </c>
      <c r="I22" s="463">
        <f>'Page 8'!M23</f>
        <v>0</v>
      </c>
      <c r="J22" s="461">
        <f>'Page 8'!L23</f>
        <v>0</v>
      </c>
      <c r="K22" s="462">
        <f t="shared" si="0"/>
        <v>0</v>
      </c>
    </row>
    <row r="23" spans="1:11" x14ac:dyDescent="0.25">
      <c r="A23" s="460" t="s">
        <v>499</v>
      </c>
      <c r="B23" s="462">
        <f>IF('Page 8'!F40="",'Page 8'!E40,'Page 8'!F40)</f>
        <v>0</v>
      </c>
      <c r="C23" s="438"/>
      <c r="D23" s="462">
        <f>'Page 8'!G40</f>
        <v>0</v>
      </c>
      <c r="E23" s="445"/>
      <c r="F23" s="461">
        <f>'Page 8'!I40</f>
        <v>0</v>
      </c>
      <c r="G23" s="465">
        <f>'Page 8'!J40</f>
        <v>0</v>
      </c>
      <c r="H23" s="464">
        <f>'Page 8'!K40</f>
        <v>0</v>
      </c>
      <c r="I23" s="461">
        <f>'Page 8'!M40</f>
        <v>0</v>
      </c>
      <c r="J23" s="461">
        <f>'Page 8'!L40</f>
        <v>0</v>
      </c>
      <c r="K23" s="462">
        <f t="shared" si="0"/>
        <v>0</v>
      </c>
    </row>
  </sheetData>
  <sheetProtection sheet="1" objects="1" scenarios="1"/>
  <mergeCells count="4">
    <mergeCell ref="G8:G10"/>
    <mergeCell ref="H8:H10"/>
    <mergeCell ref="B1:C1"/>
    <mergeCell ref="D8:D10"/>
  </mergeCells>
  <conditionalFormatting sqref="B17:C17">
    <cfRule type="containsBlanks" dxfId="28" priority="6">
      <formula>LEN(TRIM(B17))=0</formula>
    </cfRule>
  </conditionalFormatting>
  <conditionalFormatting sqref="F17:F21">
    <cfRule type="containsBlanks" dxfId="27" priority="5">
      <formula>LEN(TRIM(F17))=0</formula>
    </cfRule>
  </conditionalFormatting>
  <conditionalFormatting sqref="G17:J17">
    <cfRule type="containsBlanks" dxfId="26" priority="1">
      <formula>LEN(TRIM(G17))=0</formula>
    </cfRule>
  </conditionalFormatting>
  <conditionalFormatting sqref="I5">
    <cfRule type="containsBlanks" priority="11">
      <formula>LEN(TRIM(I5))=0</formula>
    </cfRule>
  </conditionalFormatting>
  <conditionalFormatting sqref="I5:J5">
    <cfRule type="containsBlanks" dxfId="25" priority="8">
      <formula>LEN(TRIM(I5))=0</formula>
    </cfRule>
  </conditionalFormatting>
  <dataValidations count="1">
    <dataValidation allowBlank="1" showInputMessage="1" showErrorMessage="1" promptTitle="Reversions" prompt="Enter as a positive amount." sqref="F17:F21" xr:uid="{00000000-0002-0000-0C00-000000000000}"/>
  </dataValidations>
  <hyperlinks>
    <hyperlink ref="B9:B10" r:id="rId1" display="Beginning" xr:uid="{00000000-0004-0000-0C00-000000000000}"/>
    <hyperlink ref="B10" location="BegProjectBalances" display="Project Balance" xr:uid="{00000000-0004-0000-0C00-000001000000}"/>
    <hyperlink ref="B9" location="BegProjectBalances" display="Beginning" xr:uid="{00000000-0004-0000-0C00-000002000000}"/>
    <hyperlink ref="C8:C10" location="AdjustedBeginningProjectBalance" display="Adjusted " xr:uid="{00000000-0004-0000-0C00-000003000000}"/>
    <hyperlink ref="H4" location="SumADM" display="Avg. Daily Membership" xr:uid="{00000000-0004-0000-0C00-000004000000}"/>
    <hyperlink ref="A3" location="SumGen" display="Instructions" xr:uid="{548042B0-8837-4214-81D7-D4CB6B7B3237}"/>
  </hyperlinks>
  <pageMargins left="0.7" right="0.7" top="0.75" bottom="0.75" header="0.3" footer="0.3"/>
  <pageSetup scale="45" orientation="landscape" r:id="rId2"/>
  <headerFooter>
    <oddFooter>&amp;LRev. 8/25 Arizona Department of Education and Auditor General&amp;CFY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7A9E-0716-4938-BAFE-B2FAD027D935}">
  <sheetPr>
    <pageSetUpPr fitToPage="1"/>
  </sheetPr>
  <dimension ref="A1:AA46"/>
  <sheetViews>
    <sheetView showGridLines="0" workbookViewId="0">
      <selection activeCell="C21" sqref="C21"/>
    </sheetView>
  </sheetViews>
  <sheetFormatPr defaultColWidth="8.77734375" defaultRowHeight="13.2" x14ac:dyDescent="0.25"/>
  <cols>
    <col min="1" max="1" width="4.6640625" customWidth="1"/>
    <col min="2" max="2" width="50.21875" customWidth="1"/>
    <col min="3" max="3" width="24" customWidth="1"/>
    <col min="4" max="4" width="24.21875" customWidth="1"/>
    <col min="5" max="5" width="26.6640625" customWidth="1"/>
    <col min="6" max="6" width="25.77734375" customWidth="1"/>
    <col min="7" max="7" width="27.6640625" customWidth="1"/>
    <col min="8" max="8" width="19.33203125" customWidth="1"/>
    <col min="9" max="9" width="11.21875" customWidth="1"/>
    <col min="10" max="10" width="8.77734375" customWidth="1"/>
  </cols>
  <sheetData>
    <row r="1" spans="1:18" s="322" customFormat="1" x14ac:dyDescent="0.25">
      <c r="B1" s="321" t="s">
        <v>0</v>
      </c>
      <c r="C1" s="584" t="str">
        <f>'Cover Page'!D1</f>
        <v>The Edge School, Inc</v>
      </c>
      <c r="D1" s="584"/>
      <c r="E1" s="584"/>
      <c r="G1" s="321" t="s">
        <v>1</v>
      </c>
      <c r="H1" s="941" t="str">
        <f>'Cover Page'!M1</f>
        <v>Pima</v>
      </c>
      <c r="I1" s="941"/>
      <c r="J1" s="323"/>
      <c r="K1" s="321" t="s">
        <v>2</v>
      </c>
      <c r="L1" s="324" t="str">
        <f>'Cover Page'!R1</f>
        <v>108653000</v>
      </c>
      <c r="M1" s="325"/>
      <c r="N1" s="325"/>
      <c r="O1" s="326"/>
      <c r="P1" s="327"/>
      <c r="R1" s="328"/>
    </row>
    <row r="2" spans="1:18" s="322" customFormat="1" x14ac:dyDescent="0.25">
      <c r="B2" s="321"/>
      <c r="C2" s="325"/>
      <c r="D2" s="325"/>
      <c r="E2" s="325"/>
      <c r="G2" s="321"/>
      <c r="H2" s="325"/>
      <c r="I2" s="325"/>
      <c r="J2" s="323"/>
      <c r="K2" s="321"/>
      <c r="L2" s="467"/>
      <c r="M2" s="325"/>
      <c r="N2" s="325"/>
      <c r="O2" s="326"/>
      <c r="P2" s="327"/>
      <c r="R2" s="328"/>
    </row>
    <row r="3" spans="1:18" s="468" customFormat="1" ht="24.75" customHeight="1" x14ac:dyDescent="0.25">
      <c r="A3" s="984" t="s">
        <v>1135</v>
      </c>
      <c r="B3" s="984"/>
      <c r="C3" s="984"/>
      <c r="D3" s="984"/>
      <c r="E3" s="984"/>
      <c r="F3" s="984"/>
      <c r="G3" s="984"/>
      <c r="H3" s="984"/>
      <c r="J3" s="469"/>
      <c r="K3" s="470"/>
      <c r="L3" s="471"/>
      <c r="Q3" s="472"/>
      <c r="R3" s="473"/>
    </row>
    <row r="4" spans="1:18" s="468" customFormat="1" ht="16.5" customHeight="1" x14ac:dyDescent="0.25">
      <c r="A4" s="474"/>
      <c r="B4" s="474"/>
      <c r="C4" s="474"/>
      <c r="D4" s="474"/>
      <c r="E4" s="474"/>
      <c r="F4" s="474"/>
      <c r="G4" s="474"/>
      <c r="H4" s="474"/>
      <c r="J4" s="469"/>
      <c r="K4" s="470"/>
      <c r="L4" s="471"/>
      <c r="Q4" s="472"/>
      <c r="R4" s="473"/>
    </row>
    <row r="5" spans="1:18" x14ac:dyDescent="0.25">
      <c r="A5" s="981" t="s">
        <v>1131</v>
      </c>
      <c r="B5" s="981"/>
    </row>
    <row r="7" spans="1:18" x14ac:dyDescent="0.25">
      <c r="C7" s="475" t="s">
        <v>500</v>
      </c>
      <c r="R7" s="50" t="s">
        <v>501</v>
      </c>
    </row>
    <row r="8" spans="1:18" x14ac:dyDescent="0.25">
      <c r="A8" s="476" t="s">
        <v>1136</v>
      </c>
      <c r="C8" s="477"/>
    </row>
    <row r="9" spans="1:18" x14ac:dyDescent="0.25">
      <c r="A9" s="478" t="s">
        <v>24</v>
      </c>
      <c r="B9" s="682" t="s">
        <v>1334</v>
      </c>
      <c r="C9" s="462">
        <f>IF(Summary!C17="",Summary!B17,Summary!C17)+SUM(Summary!B18:B23)</f>
        <v>561938</v>
      </c>
    </row>
    <row r="10" spans="1:18" x14ac:dyDescent="0.25">
      <c r="A10" s="480" t="s">
        <v>1137</v>
      </c>
      <c r="C10" s="477"/>
    </row>
    <row r="11" spans="1:18" x14ac:dyDescent="0.25">
      <c r="A11" s="478" t="s">
        <v>26</v>
      </c>
      <c r="B11" s="682" t="s">
        <v>1335</v>
      </c>
      <c r="C11" s="462">
        <f>SUM(Summary!K17:K23)</f>
        <v>352200</v>
      </c>
    </row>
    <row r="12" spans="1:18" x14ac:dyDescent="0.25">
      <c r="A12" s="985" t="s">
        <v>1340</v>
      </c>
      <c r="B12" s="985"/>
    </row>
    <row r="13" spans="1:18" x14ac:dyDescent="0.25">
      <c r="A13" s="478" t="s">
        <v>502</v>
      </c>
      <c r="B13" s="479" t="s">
        <v>503</v>
      </c>
      <c r="C13" s="104">
        <v>0</v>
      </c>
    </row>
    <row r="14" spans="1:18" x14ac:dyDescent="0.25">
      <c r="A14" s="478" t="s">
        <v>504</v>
      </c>
      <c r="B14" s="683" t="s">
        <v>1336</v>
      </c>
      <c r="C14" s="104">
        <v>352200</v>
      </c>
    </row>
    <row r="15" spans="1:18" x14ac:dyDescent="0.25">
      <c r="A15" s="478" t="s">
        <v>505</v>
      </c>
      <c r="B15" s="669" t="s">
        <v>1337</v>
      </c>
      <c r="C15" s="104">
        <v>0</v>
      </c>
    </row>
    <row r="16" spans="1:18" x14ac:dyDescent="0.25">
      <c r="A16" s="478" t="s">
        <v>506</v>
      </c>
      <c r="B16" s="669" t="s">
        <v>1338</v>
      </c>
      <c r="C16" s="104">
        <v>0</v>
      </c>
    </row>
    <row r="17" spans="1:27" x14ac:dyDescent="0.25">
      <c r="A17" s="478" t="s">
        <v>507</v>
      </c>
      <c r="B17" s="669" t="s">
        <v>1339</v>
      </c>
      <c r="C17" s="104">
        <v>0</v>
      </c>
    </row>
    <row r="18" spans="1:27" x14ac:dyDescent="0.25">
      <c r="A18" s="478" t="s">
        <v>508</v>
      </c>
      <c r="B18" t="s">
        <v>509</v>
      </c>
      <c r="C18" s="104">
        <v>0</v>
      </c>
    </row>
    <row r="19" spans="1:27" x14ac:dyDescent="0.25">
      <c r="A19" s="478" t="s">
        <v>510</v>
      </c>
      <c r="B19" s="481" t="s">
        <v>511</v>
      </c>
      <c r="C19" s="104">
        <v>0</v>
      </c>
    </row>
    <row r="20" spans="1:27" x14ac:dyDescent="0.25">
      <c r="A20" s="7" t="s">
        <v>512</v>
      </c>
      <c r="B20" s="481" t="s">
        <v>511</v>
      </c>
      <c r="C20" s="104">
        <v>0</v>
      </c>
    </row>
    <row r="21" spans="1:27" x14ac:dyDescent="0.25">
      <c r="A21" s="7" t="s">
        <v>513</v>
      </c>
      <c r="B21" t="s">
        <v>1132</v>
      </c>
      <c r="C21" s="515">
        <f>IF(ROUND(SUM(C13:C20),0)=ROUND(C11,0),SUM(C13:C20),"Must equal line 2")</f>
        <v>352200</v>
      </c>
    </row>
    <row r="22" spans="1:27" x14ac:dyDescent="0.25">
      <c r="A22" s="482"/>
    </row>
    <row r="23" spans="1:27" x14ac:dyDescent="0.25">
      <c r="A23" s="482"/>
    </row>
    <row r="24" spans="1:27" x14ac:dyDescent="0.25">
      <c r="A24" s="567"/>
      <c r="B24" s="567"/>
      <c r="D24" s="567"/>
      <c r="E24" s="567"/>
      <c r="F24" s="567"/>
      <c r="G24" s="567"/>
      <c r="H24" s="567"/>
    </row>
    <row r="25" spans="1:27" ht="39" customHeight="1" x14ac:dyDescent="0.25">
      <c r="A25" s="987" t="s">
        <v>1125</v>
      </c>
      <c r="B25" s="987"/>
      <c r="F25" s="595"/>
      <c r="G25" s="596" t="s">
        <v>1126</v>
      </c>
      <c r="H25" s="483"/>
      <c r="AA25" s="50" t="s">
        <v>514</v>
      </c>
    </row>
    <row r="26" spans="1:27" ht="28.5" customHeight="1" x14ac:dyDescent="0.25">
      <c r="A26" s="986" t="s">
        <v>24</v>
      </c>
      <c r="B26" s="989" t="s">
        <v>1133</v>
      </c>
      <c r="C26" s="989"/>
      <c r="D26" s="989"/>
      <c r="E26" s="990"/>
      <c r="F26" s="489"/>
      <c r="G26" s="601"/>
      <c r="AA26" s="50" t="s">
        <v>515</v>
      </c>
    </row>
    <row r="27" spans="1:27" x14ac:dyDescent="0.25">
      <c r="A27" s="986"/>
      <c r="B27" s="597"/>
      <c r="C27" s="597"/>
      <c r="D27" s="597"/>
      <c r="E27" s="597"/>
      <c r="AA27" s="50" t="s">
        <v>515</v>
      </c>
    </row>
    <row r="28" spans="1:27" ht="44.25" customHeight="1" x14ac:dyDescent="0.25">
      <c r="A28" s="988" t="s">
        <v>1134</v>
      </c>
      <c r="B28" s="988"/>
      <c r="C28" s="988"/>
      <c r="D28" s="988"/>
      <c r="E28" s="988"/>
      <c r="F28" s="988"/>
    </row>
    <row r="29" spans="1:27" ht="20.25" customHeight="1" x14ac:dyDescent="0.25">
      <c r="A29" s="561" t="s">
        <v>26</v>
      </c>
      <c r="B29" s="982" t="s">
        <v>1127</v>
      </c>
      <c r="C29" s="982"/>
      <c r="D29" s="982"/>
      <c r="E29" s="983"/>
      <c r="F29" s="489"/>
      <c r="H29" s="483"/>
    </row>
    <row r="30" spans="1:27" ht="29.25" customHeight="1" x14ac:dyDescent="0.25">
      <c r="A30" s="561" t="s">
        <v>516</v>
      </c>
      <c r="B30" s="982" t="s">
        <v>1128</v>
      </c>
      <c r="C30" s="982"/>
      <c r="D30" s="982"/>
      <c r="E30" s="983"/>
      <c r="F30" s="489"/>
      <c r="G30" s="7"/>
      <c r="H30" s="602"/>
      <c r="AA30" s="50"/>
    </row>
    <row r="31" spans="1:27" ht="12" customHeight="1" x14ac:dyDescent="0.25">
      <c r="A31" s="484"/>
      <c r="B31" s="586"/>
      <c r="C31" s="586"/>
      <c r="D31" s="586"/>
      <c r="E31" s="586"/>
      <c r="F31" s="7"/>
      <c r="G31" s="7"/>
      <c r="H31" s="5"/>
      <c r="AA31" s="50"/>
    </row>
    <row r="32" spans="1:27" ht="15.75" customHeight="1" x14ac:dyDescent="0.25">
      <c r="A32" s="684" t="s">
        <v>1341</v>
      </c>
      <c r="B32" s="563"/>
      <c r="C32" s="563"/>
      <c r="D32" s="563"/>
      <c r="E32" s="563"/>
      <c r="F32" s="563"/>
      <c r="G32" s="485"/>
      <c r="H32" s="486"/>
    </row>
    <row r="33" spans="1:10" ht="11.25" customHeight="1" x14ac:dyDescent="0.25">
      <c r="A33" s="587"/>
      <c r="B33" s="546"/>
      <c r="C33" s="546"/>
      <c r="D33" s="546"/>
      <c r="E33" s="546"/>
      <c r="F33" s="546"/>
      <c r="G33" s="485"/>
      <c r="H33" s="486"/>
    </row>
    <row r="34" spans="1:10" ht="28.5" customHeight="1" x14ac:dyDescent="0.25">
      <c r="A34" s="562" t="s">
        <v>31</v>
      </c>
      <c r="B34" s="564" t="s">
        <v>517</v>
      </c>
      <c r="C34" s="564" t="s">
        <v>1342</v>
      </c>
      <c r="D34" s="564" t="s">
        <v>1343</v>
      </c>
      <c r="E34" s="972" t="s">
        <v>518</v>
      </c>
      <c r="F34" s="973"/>
      <c r="G34" s="973"/>
      <c r="H34" s="973"/>
      <c r="I34" s="973"/>
      <c r="J34" s="974"/>
    </row>
    <row r="35" spans="1:10" ht="39.75" customHeight="1" x14ac:dyDescent="0.25">
      <c r="A35" s="562"/>
      <c r="B35" s="636"/>
      <c r="C35" s="104"/>
      <c r="D35" s="104"/>
      <c r="E35" s="975"/>
      <c r="F35" s="976"/>
      <c r="G35" s="976"/>
      <c r="H35" s="976"/>
      <c r="I35" s="976"/>
      <c r="J35" s="977"/>
    </row>
    <row r="36" spans="1:10" ht="39.75" customHeight="1" x14ac:dyDescent="0.25">
      <c r="A36" s="562"/>
      <c r="B36" s="636"/>
      <c r="C36" s="104"/>
      <c r="D36" s="104"/>
      <c r="E36" s="978"/>
      <c r="F36" s="979"/>
      <c r="G36" s="979"/>
      <c r="H36" s="979"/>
      <c r="I36" s="979"/>
      <c r="J36" s="980"/>
    </row>
    <row r="37" spans="1:10" ht="39.75" customHeight="1" x14ac:dyDescent="0.25">
      <c r="A37" s="562"/>
      <c r="B37" s="636"/>
      <c r="C37" s="104"/>
      <c r="D37" s="104"/>
      <c r="E37" s="978"/>
      <c r="F37" s="979"/>
      <c r="G37" s="979"/>
      <c r="H37" s="979"/>
      <c r="I37" s="979"/>
      <c r="J37" s="980"/>
    </row>
    <row r="38" spans="1:10" ht="39.75" customHeight="1" x14ac:dyDescent="0.25">
      <c r="A38" s="562"/>
      <c r="B38" s="636"/>
      <c r="C38" s="104"/>
      <c r="D38" s="104"/>
      <c r="E38" s="978"/>
      <c r="F38" s="979"/>
      <c r="G38" s="979"/>
      <c r="H38" s="979"/>
      <c r="I38" s="979"/>
      <c r="J38" s="980"/>
    </row>
    <row r="39" spans="1:10" ht="16.5" customHeight="1" x14ac:dyDescent="0.25">
      <c r="A39" s="587"/>
      <c r="B39" s="565" t="s">
        <v>519</v>
      </c>
      <c r="C39" s="550">
        <f>SUM(C35:C38)</f>
        <v>0</v>
      </c>
      <c r="D39" s="550">
        <f>SUM(D35:D38)</f>
        <v>0</v>
      </c>
      <c r="E39" s="487"/>
      <c r="F39" s="479"/>
      <c r="G39" s="479"/>
      <c r="H39" s="479"/>
      <c r="I39" s="479"/>
    </row>
    <row r="40" spans="1:10" ht="16.5" customHeight="1" x14ac:dyDescent="0.25">
      <c r="A40" s="587"/>
      <c r="B40" s="586"/>
      <c r="C40" s="586"/>
      <c r="D40" s="487"/>
      <c r="E40" s="487"/>
      <c r="F40" s="479"/>
      <c r="G40" s="479"/>
      <c r="H40" s="479"/>
      <c r="I40" s="479"/>
    </row>
    <row r="41" spans="1:10" ht="19.5" customHeight="1" x14ac:dyDescent="0.25">
      <c r="A41" s="562" t="s">
        <v>33</v>
      </c>
      <c r="B41" s="685" t="s">
        <v>1344</v>
      </c>
      <c r="C41" s="175"/>
      <c r="D41" s="175"/>
      <c r="E41" s="175"/>
      <c r="F41" s="175"/>
      <c r="G41" s="175"/>
      <c r="H41" s="175"/>
      <c r="I41" s="175"/>
    </row>
    <row r="42" spans="1:10" x14ac:dyDescent="0.25">
      <c r="A42" s="488"/>
      <c r="B42" s="963"/>
      <c r="C42" s="964"/>
      <c r="D42" s="964"/>
      <c r="E42" s="964"/>
      <c r="F42" s="964"/>
      <c r="G42" s="964"/>
      <c r="H42" s="964"/>
      <c r="I42" s="965"/>
    </row>
    <row r="43" spans="1:10" x14ac:dyDescent="0.25">
      <c r="A43" s="4"/>
      <c r="B43" s="966"/>
      <c r="C43" s="967"/>
      <c r="D43" s="967"/>
      <c r="E43" s="967"/>
      <c r="F43" s="967"/>
      <c r="G43" s="967"/>
      <c r="H43" s="967"/>
      <c r="I43" s="968"/>
    </row>
    <row r="44" spans="1:10" ht="12.75" customHeight="1" x14ac:dyDescent="0.25">
      <c r="A44" s="4"/>
      <c r="B44" s="966"/>
      <c r="C44" s="967"/>
      <c r="D44" s="967"/>
      <c r="E44" s="967"/>
      <c r="F44" s="967"/>
      <c r="G44" s="967"/>
      <c r="H44" s="967"/>
      <c r="I44" s="968"/>
    </row>
    <row r="45" spans="1:10" x14ac:dyDescent="0.25">
      <c r="A45" s="4"/>
      <c r="B45" s="966"/>
      <c r="C45" s="967"/>
      <c r="D45" s="967"/>
      <c r="E45" s="967"/>
      <c r="F45" s="967"/>
      <c r="G45" s="967"/>
      <c r="H45" s="967"/>
      <c r="I45" s="968"/>
    </row>
    <row r="46" spans="1:10" x14ac:dyDescent="0.25">
      <c r="A46" s="4"/>
      <c r="B46" s="969"/>
      <c r="C46" s="970"/>
      <c r="D46" s="970"/>
      <c r="E46" s="970"/>
      <c r="F46" s="970"/>
      <c r="G46" s="970"/>
      <c r="H46" s="970"/>
      <c r="I46" s="971"/>
    </row>
  </sheetData>
  <sheetProtection sheet="1" objects="1" scenarios="1"/>
  <mergeCells count="16">
    <mergeCell ref="H1:I1"/>
    <mergeCell ref="A5:B5"/>
    <mergeCell ref="B30:E30"/>
    <mergeCell ref="A3:H3"/>
    <mergeCell ref="A12:B12"/>
    <mergeCell ref="A26:A27"/>
    <mergeCell ref="A25:B25"/>
    <mergeCell ref="A28:F28"/>
    <mergeCell ref="B29:E29"/>
    <mergeCell ref="B26:E26"/>
    <mergeCell ref="B42:I46"/>
    <mergeCell ref="E34:J34"/>
    <mergeCell ref="E35:J35"/>
    <mergeCell ref="E36:J36"/>
    <mergeCell ref="E37:J37"/>
    <mergeCell ref="E38:J38"/>
  </mergeCells>
  <conditionalFormatting sqref="B35:B38">
    <cfRule type="expression" dxfId="24" priority="9">
      <formula>$F$30="No"</formula>
    </cfRule>
  </conditionalFormatting>
  <conditionalFormatting sqref="B42">
    <cfRule type="expression" dxfId="23" priority="5">
      <formula>$F$30="No"</formula>
    </cfRule>
    <cfRule type="containsBlanks" dxfId="22" priority="6">
      <formula>LEN(TRIM(B42))=0</formula>
    </cfRule>
  </conditionalFormatting>
  <conditionalFormatting sqref="B35:E38">
    <cfRule type="containsBlanks" dxfId="21" priority="8">
      <formula>LEN(TRIM(B35))=0</formula>
    </cfRule>
  </conditionalFormatting>
  <conditionalFormatting sqref="C13:C20 F26:G26">
    <cfRule type="containsBlanks" dxfId="20" priority="34">
      <formula>LEN(TRIM(C13))=0</formula>
    </cfRule>
  </conditionalFormatting>
  <conditionalFormatting sqref="C39:D39">
    <cfRule type="containsBlanks" dxfId="19" priority="3">
      <formula>LEN(TRIM(C39))=0</formula>
    </cfRule>
  </conditionalFormatting>
  <conditionalFormatting sqref="E35:E38">
    <cfRule type="expression" dxfId="18" priority="7">
      <formula>$F$30="No"</formula>
    </cfRule>
  </conditionalFormatting>
  <conditionalFormatting sqref="F29:F30">
    <cfRule type="containsBlanks" dxfId="17" priority="1">
      <formula>LEN(TRIM(F29))=0</formula>
    </cfRule>
  </conditionalFormatting>
  <dataValidations count="5">
    <dataValidation type="list" allowBlank="1" showInputMessage="1" showErrorMessage="1" sqref="F31" xr:uid="{00000000-0002-0000-0D00-000000000000}">
      <formula1>$AA$25:$AA$27</formula1>
    </dataValidation>
    <dataValidation operator="equal" allowBlank="1" showInputMessage="1" showErrorMessage="1" promptTitle="CTD Number" prompt="This cell will only accept a CTD number of exactly 9 digits.  Enter 000 at the end of the charter number to fill the places of a school number." sqref="L1:L2" xr:uid="{00000000-0002-0000-0D00-000001000000}"/>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00000000-0002-0000-0D00-000002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00000000-0002-0000-0D00-000003000000}">
      <formula1>9</formula1>
    </dataValidation>
    <dataValidation type="list" allowBlank="1" showInputMessage="1" showErrorMessage="1" sqref="F26 F29:F30" xr:uid="{00000000-0002-0000-0D00-000004000000}">
      <formula1>$AA$25:$AA$26</formula1>
    </dataValidation>
  </dataValidations>
  <hyperlinks>
    <hyperlink ref="A12" location="ReserveBalSecAl3" display="FY 2023 ending reserve details:" xr:uid="{00000000-0004-0000-0D00-000000000000}"/>
    <hyperlink ref="A18" location="ReserveBalSecAl3f" display="3.f" xr:uid="{00000000-0004-0000-0D00-000001000000}"/>
    <hyperlink ref="A19" location="ReserveBalSecAl3g" display="3.g" xr:uid="{00000000-0004-0000-0D00-000002000000}"/>
    <hyperlink ref="A13" location="ReserveBalSecAl3a" display="3.a" xr:uid="{00000000-0004-0000-0D00-000003000000}"/>
    <hyperlink ref="A16" location="ReserveBalSecAl3d" display="3.d" xr:uid="{00000000-0004-0000-0D00-000004000000}"/>
    <hyperlink ref="A15" location="ReserveBalSecAl3c" display="3.c" xr:uid="{00000000-0004-0000-0D00-000005000000}"/>
    <hyperlink ref="A14" location="ReserveBalSecAl3b" display="3.b" xr:uid="{00000000-0004-0000-0D00-000006000000}"/>
    <hyperlink ref="A11" location="ReserveBalSecAl2" display="2." xr:uid="{00000000-0004-0000-0D00-000007000000}"/>
    <hyperlink ref="A9" location="ReserveBalSecAl1" display="1." xr:uid="{00000000-0004-0000-0D00-000008000000}"/>
    <hyperlink ref="A5" location="ReserveBalSecA" display="A. FY 2023 change in reserve amounts and planned allocations" xr:uid="{00000000-0004-0000-0D00-000009000000}"/>
    <hyperlink ref="A17" location="ReserveBalSecAl3e" display="3.e" xr:uid="{00000000-0004-0000-0D00-00000A000000}"/>
  </hyperlinks>
  <pageMargins left="0.7" right="0.7" top="0.75" bottom="0.75" header="0.3" footer="0.3"/>
  <pageSetup scale="55" orientation="landscape" r:id="rId1"/>
  <headerFooter>
    <oddFooter>&amp;LRev. 8/25 Arizona Department of Education and Auditor General&amp;CFY 2025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93F4-B000-4C4C-9537-728E81288F93}">
  <sheetPr>
    <pageSetUpPr fitToPage="1"/>
  </sheetPr>
  <dimension ref="A1:L99"/>
  <sheetViews>
    <sheetView showGridLines="0" workbookViewId="0">
      <selection activeCell="D12" sqref="D12"/>
    </sheetView>
  </sheetViews>
  <sheetFormatPr defaultColWidth="9.6640625" defaultRowHeight="13.8" x14ac:dyDescent="0.25"/>
  <cols>
    <col min="1" max="1" width="25.6640625" style="495" customWidth="1"/>
    <col min="2" max="2" width="76.6640625" style="495" customWidth="1"/>
    <col min="3" max="4" width="23.6640625" style="495" customWidth="1"/>
    <col min="5" max="6" width="26.77734375" style="495" customWidth="1"/>
    <col min="7" max="7" width="45.77734375" style="495" customWidth="1"/>
    <col min="8" max="11" width="9.6640625" style="495" customWidth="1"/>
    <col min="12" max="12" width="8.77734375" style="495" hidden="1" customWidth="1"/>
    <col min="13" max="16" width="9.6640625" style="495" customWidth="1"/>
    <col min="17" max="16384" width="9.6640625" style="495"/>
  </cols>
  <sheetData>
    <row r="1" spans="1:12" x14ac:dyDescent="0.25">
      <c r="A1" s="493" t="s">
        <v>4</v>
      </c>
      <c r="B1" s="494" t="str">
        <f>'Cover Page'!D1</f>
        <v>The Edge School, Inc</v>
      </c>
      <c r="D1" s="994" t="s">
        <v>726</v>
      </c>
      <c r="E1" s="994"/>
    </row>
    <row r="2" spans="1:12" x14ac:dyDescent="0.25">
      <c r="A2" s="496" t="s">
        <v>2</v>
      </c>
      <c r="B2" s="497" t="str">
        <f>'Cover Page'!R1</f>
        <v>108653000</v>
      </c>
      <c r="D2" s="641"/>
    </row>
    <row r="3" spans="1:12" x14ac:dyDescent="0.25">
      <c r="A3" s="496" t="s">
        <v>1</v>
      </c>
      <c r="B3" s="494" t="str">
        <f>'Cover Page'!M1</f>
        <v>Pima</v>
      </c>
    </row>
    <row r="4" spans="1:12" x14ac:dyDescent="0.25">
      <c r="D4" s="991" t="s">
        <v>530</v>
      </c>
      <c r="E4" s="992"/>
      <c r="F4" s="992"/>
      <c r="G4" s="993"/>
    </row>
    <row r="6" spans="1:12" ht="27.6" x14ac:dyDescent="0.25">
      <c r="A6" s="498" t="s">
        <v>531</v>
      </c>
      <c r="B6" s="499" t="s">
        <v>532</v>
      </c>
      <c r="C6" s="498" t="s">
        <v>533</v>
      </c>
      <c r="D6" s="500" t="s">
        <v>534</v>
      </c>
      <c r="E6" s="498" t="s">
        <v>535</v>
      </c>
      <c r="F6" s="498" t="s">
        <v>536</v>
      </c>
      <c r="G6" s="498" t="s">
        <v>537</v>
      </c>
    </row>
    <row r="7" spans="1:12" x14ac:dyDescent="0.25">
      <c r="A7" s="501" t="s">
        <v>538</v>
      </c>
      <c r="B7" s="502" t="s">
        <v>538</v>
      </c>
      <c r="C7" s="503" t="str">
        <f>B2</f>
        <v>108653000</v>
      </c>
      <c r="D7" s="695"/>
      <c r="E7" s="9"/>
      <c r="F7" s="11"/>
      <c r="G7" s="12"/>
      <c r="L7" s="495" t="s">
        <v>539</v>
      </c>
    </row>
    <row r="8" spans="1:12" ht="13.5" customHeight="1" x14ac:dyDescent="0.25">
      <c r="A8" s="507" t="s">
        <v>540</v>
      </c>
      <c r="B8" s="508"/>
      <c r="C8" s="508"/>
      <c r="D8" s="508"/>
      <c r="E8" s="9"/>
      <c r="F8" s="11"/>
      <c r="G8" s="9"/>
      <c r="L8" s="495" t="s">
        <v>541</v>
      </c>
    </row>
    <row r="9" spans="1:12" x14ac:dyDescent="0.25">
      <c r="A9" s="501" t="s">
        <v>542</v>
      </c>
      <c r="B9" s="508"/>
      <c r="C9" s="508"/>
      <c r="D9" s="508"/>
      <c r="E9" s="508"/>
      <c r="F9" s="11"/>
      <c r="G9" s="508"/>
      <c r="L9" s="495" t="s">
        <v>543</v>
      </c>
    </row>
    <row r="10" spans="1:12" x14ac:dyDescent="0.25">
      <c r="A10" s="501" t="s">
        <v>544</v>
      </c>
      <c r="B10" s="9" t="s">
        <v>1398</v>
      </c>
      <c r="C10" s="10" t="s">
        <v>1400</v>
      </c>
      <c r="D10" s="695">
        <v>84.260999999999996</v>
      </c>
      <c r="E10" s="9">
        <v>1</v>
      </c>
      <c r="F10" s="11">
        <v>101</v>
      </c>
      <c r="G10" s="12"/>
      <c r="L10" s="495" t="s">
        <v>545</v>
      </c>
    </row>
    <row r="11" spans="1:12" x14ac:dyDescent="0.25">
      <c r="A11" s="501" t="s">
        <v>546</v>
      </c>
      <c r="B11" s="9" t="s">
        <v>1399</v>
      </c>
      <c r="C11" s="10" t="s">
        <v>1401</v>
      </c>
      <c r="D11" s="695">
        <v>60.279000000000003</v>
      </c>
      <c r="E11" s="9">
        <v>5</v>
      </c>
      <c r="F11" s="11">
        <v>105</v>
      </c>
      <c r="G11" s="12"/>
      <c r="L11" s="495" t="s">
        <v>547</v>
      </c>
    </row>
    <row r="12" spans="1:12" x14ac:dyDescent="0.25">
      <c r="A12" s="501" t="s">
        <v>548</v>
      </c>
      <c r="B12" s="9"/>
      <c r="C12" s="10"/>
      <c r="D12" s="695"/>
      <c r="E12" s="9"/>
      <c r="F12" s="11"/>
      <c r="G12" s="12"/>
      <c r="L12" s="495" t="s">
        <v>549</v>
      </c>
    </row>
    <row r="13" spans="1:12" x14ac:dyDescent="0.25">
      <c r="A13" s="501" t="s">
        <v>550</v>
      </c>
      <c r="B13" s="9"/>
      <c r="C13" s="10"/>
      <c r="D13" s="695"/>
      <c r="E13" s="9"/>
      <c r="F13" s="11"/>
      <c r="G13" s="12"/>
      <c r="L13" s="495" t="s">
        <v>551</v>
      </c>
    </row>
    <row r="14" spans="1:12" x14ac:dyDescent="0.25">
      <c r="A14" s="501" t="s">
        <v>552</v>
      </c>
      <c r="B14" s="9"/>
      <c r="C14" s="10"/>
      <c r="D14" s="695"/>
      <c r="E14" s="9"/>
      <c r="F14" s="11"/>
      <c r="G14" s="12"/>
      <c r="L14" s="495" t="s">
        <v>553</v>
      </c>
    </row>
    <row r="15" spans="1:12" x14ac:dyDescent="0.25">
      <c r="A15" s="501" t="s">
        <v>554</v>
      </c>
      <c r="B15" s="9"/>
      <c r="C15" s="10"/>
      <c r="D15" s="695"/>
      <c r="E15" s="9"/>
      <c r="F15" s="11"/>
      <c r="G15" s="12"/>
      <c r="L15" s="495" t="s">
        <v>555</v>
      </c>
    </row>
    <row r="16" spans="1:12" x14ac:dyDescent="0.25">
      <c r="A16" s="501" t="s">
        <v>556</v>
      </c>
      <c r="B16" s="9"/>
      <c r="C16" s="10"/>
      <c r="D16" s="695"/>
      <c r="E16" s="9"/>
      <c r="F16" s="11"/>
      <c r="G16" s="12"/>
      <c r="L16" s="495" t="s">
        <v>557</v>
      </c>
    </row>
    <row r="17" spans="1:12" x14ac:dyDescent="0.25">
      <c r="A17" s="501" t="s">
        <v>558</v>
      </c>
      <c r="B17" s="9"/>
      <c r="C17" s="10"/>
      <c r="D17" s="695"/>
      <c r="E17" s="9"/>
      <c r="F17" s="11"/>
      <c r="G17" s="12"/>
      <c r="L17" s="495" t="s">
        <v>559</v>
      </c>
    </row>
    <row r="18" spans="1:12" x14ac:dyDescent="0.25">
      <c r="A18" s="501" t="s">
        <v>560</v>
      </c>
      <c r="B18" s="9"/>
      <c r="C18" s="10"/>
      <c r="D18" s="695"/>
      <c r="E18" s="9"/>
      <c r="F18" s="11"/>
      <c r="G18" s="12"/>
      <c r="L18" s="495" t="s">
        <v>561</v>
      </c>
    </row>
    <row r="19" spans="1:12" x14ac:dyDescent="0.25">
      <c r="A19" s="501" t="s">
        <v>562</v>
      </c>
      <c r="B19" s="9"/>
      <c r="C19" s="10"/>
      <c r="D19" s="695"/>
      <c r="E19" s="9"/>
      <c r="F19" s="11"/>
      <c r="G19" s="12"/>
      <c r="L19" s="495" t="s">
        <v>563</v>
      </c>
    </row>
    <row r="20" spans="1:12" x14ac:dyDescent="0.25">
      <c r="A20" s="501" t="s">
        <v>564</v>
      </c>
      <c r="B20" s="9"/>
      <c r="C20" s="10"/>
      <c r="D20" s="695"/>
      <c r="E20" s="9"/>
      <c r="F20" s="11"/>
      <c r="G20" s="12"/>
      <c r="L20" s="495" t="s">
        <v>565</v>
      </c>
    </row>
    <row r="21" spans="1:12" x14ac:dyDescent="0.25">
      <c r="A21" s="501" t="s">
        <v>566</v>
      </c>
      <c r="B21" s="9"/>
      <c r="C21" s="10"/>
      <c r="D21" s="695"/>
      <c r="E21" s="9"/>
      <c r="F21" s="11"/>
      <c r="G21" s="12"/>
      <c r="L21" s="495" t="s">
        <v>567</v>
      </c>
    </row>
    <row r="22" spans="1:12" x14ac:dyDescent="0.25">
      <c r="A22" s="501" t="s">
        <v>568</v>
      </c>
      <c r="B22" s="9"/>
      <c r="C22" s="10"/>
      <c r="D22" s="695"/>
      <c r="E22" s="9"/>
      <c r="F22" s="11"/>
      <c r="G22" s="12"/>
      <c r="L22" s="495" t="s">
        <v>569</v>
      </c>
    </row>
    <row r="23" spans="1:12" x14ac:dyDescent="0.25">
      <c r="A23" s="501" t="s">
        <v>570</v>
      </c>
      <c r="B23" s="9"/>
      <c r="C23" s="10"/>
      <c r="D23" s="695"/>
      <c r="E23" s="9"/>
      <c r="F23" s="11"/>
      <c r="G23" s="12"/>
      <c r="L23" s="495" t="s">
        <v>571</v>
      </c>
    </row>
    <row r="24" spans="1:12" x14ac:dyDescent="0.25">
      <c r="A24" s="501" t="s">
        <v>572</v>
      </c>
      <c r="B24" s="9"/>
      <c r="C24" s="10"/>
      <c r="D24" s="695"/>
      <c r="E24" s="9"/>
      <c r="F24" s="11"/>
      <c r="G24" s="12"/>
      <c r="L24" s="495" t="s">
        <v>573</v>
      </c>
    </row>
    <row r="25" spans="1:12" x14ac:dyDescent="0.25">
      <c r="A25" s="501" t="s">
        <v>574</v>
      </c>
      <c r="B25" s="9"/>
      <c r="C25" s="10"/>
      <c r="D25" s="695"/>
      <c r="E25" s="9"/>
      <c r="F25" s="11"/>
      <c r="G25" s="12"/>
      <c r="L25" s="495" t="s">
        <v>575</v>
      </c>
    </row>
    <row r="26" spans="1:12" x14ac:dyDescent="0.25">
      <c r="A26" s="501" t="s">
        <v>576</v>
      </c>
      <c r="B26" s="9"/>
      <c r="C26" s="10"/>
      <c r="D26" s="695"/>
      <c r="E26" s="9"/>
      <c r="F26" s="11"/>
      <c r="G26" s="12"/>
      <c r="L26" s="495" t="s">
        <v>577</v>
      </c>
    </row>
    <row r="27" spans="1:12" x14ac:dyDescent="0.25">
      <c r="A27" s="501" t="s">
        <v>578</v>
      </c>
      <c r="B27" s="9"/>
      <c r="C27" s="10"/>
      <c r="D27" s="695"/>
      <c r="E27" s="9"/>
      <c r="F27" s="11"/>
      <c r="G27" s="12"/>
      <c r="L27" s="495" t="s">
        <v>579</v>
      </c>
    </row>
    <row r="28" spans="1:12" x14ac:dyDescent="0.25">
      <c r="A28" s="501" t="s">
        <v>580</v>
      </c>
      <c r="B28" s="9"/>
      <c r="C28" s="10"/>
      <c r="D28" s="695"/>
      <c r="E28" s="9"/>
      <c r="F28" s="11"/>
      <c r="G28" s="12"/>
      <c r="L28" s="495" t="s">
        <v>581</v>
      </c>
    </row>
    <row r="29" spans="1:12" x14ac:dyDescent="0.25">
      <c r="A29" s="501" t="s">
        <v>582</v>
      </c>
      <c r="B29" s="9"/>
      <c r="C29" s="10"/>
      <c r="D29" s="695"/>
      <c r="E29" s="9"/>
      <c r="F29" s="11"/>
      <c r="G29" s="12"/>
      <c r="L29" s="495" t="s">
        <v>583</v>
      </c>
    </row>
    <row r="30" spans="1:12" x14ac:dyDescent="0.25">
      <c r="A30" s="501" t="s">
        <v>584</v>
      </c>
      <c r="B30" s="9"/>
      <c r="C30" s="10"/>
      <c r="D30" s="695"/>
      <c r="E30" s="9"/>
      <c r="F30" s="11"/>
      <c r="G30" s="12"/>
      <c r="L30" s="495" t="s">
        <v>585</v>
      </c>
    </row>
    <row r="31" spans="1:12" x14ac:dyDescent="0.25">
      <c r="A31" s="501" t="s">
        <v>586</v>
      </c>
      <c r="B31" s="9"/>
      <c r="C31" s="10"/>
      <c r="D31" s="695"/>
      <c r="E31" s="9"/>
      <c r="F31" s="11"/>
      <c r="G31" s="12"/>
      <c r="L31" s="495" t="s">
        <v>587</v>
      </c>
    </row>
    <row r="32" spans="1:12" x14ac:dyDescent="0.25">
      <c r="A32" s="501" t="s">
        <v>588</v>
      </c>
      <c r="B32" s="9"/>
      <c r="C32" s="10"/>
      <c r="D32" s="695"/>
      <c r="E32" s="9"/>
      <c r="F32" s="11"/>
      <c r="G32" s="12"/>
      <c r="L32" s="495" t="s">
        <v>589</v>
      </c>
    </row>
    <row r="33" spans="1:12" x14ac:dyDescent="0.25">
      <c r="A33" s="501" t="s">
        <v>590</v>
      </c>
      <c r="B33" s="9"/>
      <c r="C33" s="10"/>
      <c r="D33" s="695"/>
      <c r="E33" s="9"/>
      <c r="F33" s="11"/>
      <c r="G33" s="12"/>
      <c r="L33" s="495" t="s">
        <v>591</v>
      </c>
    </row>
    <row r="34" spans="1:12" x14ac:dyDescent="0.25">
      <c r="A34" s="501" t="s">
        <v>592</v>
      </c>
      <c r="B34" s="9"/>
      <c r="C34" s="10"/>
      <c r="D34" s="695"/>
      <c r="E34" s="9"/>
      <c r="F34" s="11"/>
      <c r="G34" s="12"/>
      <c r="L34" s="495" t="s">
        <v>593</v>
      </c>
    </row>
    <row r="35" spans="1:12" hidden="1" x14ac:dyDescent="0.25">
      <c r="A35" s="501" t="s">
        <v>594</v>
      </c>
      <c r="B35" s="501"/>
      <c r="C35" s="503"/>
      <c r="D35" s="504"/>
      <c r="E35" s="501"/>
      <c r="F35" s="505"/>
      <c r="G35" s="506"/>
      <c r="L35" s="495" t="s">
        <v>595</v>
      </c>
    </row>
    <row r="36" spans="1:12" hidden="1" x14ac:dyDescent="0.25">
      <c r="A36" s="501" t="s">
        <v>596</v>
      </c>
      <c r="B36" s="501"/>
      <c r="C36" s="503"/>
      <c r="D36" s="504"/>
      <c r="E36" s="501"/>
      <c r="F36" s="505"/>
      <c r="G36" s="506"/>
      <c r="L36" s="495" t="s">
        <v>597</v>
      </c>
    </row>
    <row r="37" spans="1:12" hidden="1" x14ac:dyDescent="0.25">
      <c r="A37" s="501" t="s">
        <v>598</v>
      </c>
      <c r="B37" s="501"/>
      <c r="C37" s="503"/>
      <c r="D37" s="504"/>
      <c r="E37" s="501"/>
      <c r="F37" s="505"/>
      <c r="G37" s="506"/>
      <c r="L37" s="495" t="s">
        <v>599</v>
      </c>
    </row>
    <row r="38" spans="1:12" hidden="1" x14ac:dyDescent="0.25">
      <c r="A38" s="501" t="s">
        <v>600</v>
      </c>
      <c r="B38" s="501"/>
      <c r="C38" s="503"/>
      <c r="D38" s="504"/>
      <c r="E38" s="501"/>
      <c r="F38" s="505"/>
      <c r="G38" s="506"/>
      <c r="L38" s="495" t="s">
        <v>601</v>
      </c>
    </row>
    <row r="39" spans="1:12" hidden="1" x14ac:dyDescent="0.25">
      <c r="A39" s="501" t="s">
        <v>602</v>
      </c>
      <c r="B39" s="501"/>
      <c r="C39" s="503"/>
      <c r="D39" s="504"/>
      <c r="E39" s="501"/>
      <c r="F39" s="505"/>
      <c r="G39" s="506"/>
      <c r="L39" s="495" t="s">
        <v>603</v>
      </c>
    </row>
    <row r="40" spans="1:12" hidden="1" x14ac:dyDescent="0.25">
      <c r="A40" s="501" t="s">
        <v>604</v>
      </c>
      <c r="B40" s="501"/>
      <c r="C40" s="503"/>
      <c r="D40" s="504"/>
      <c r="E40" s="501"/>
      <c r="F40" s="505"/>
      <c r="G40" s="506"/>
      <c r="L40" s="495" t="s">
        <v>605</v>
      </c>
    </row>
    <row r="41" spans="1:12" hidden="1" x14ac:dyDescent="0.25">
      <c r="A41" s="501" t="s">
        <v>606</v>
      </c>
      <c r="B41" s="501"/>
      <c r="C41" s="503"/>
      <c r="D41" s="504"/>
      <c r="E41" s="501"/>
      <c r="F41" s="505"/>
      <c r="G41" s="506"/>
      <c r="L41" s="495" t="s">
        <v>607</v>
      </c>
    </row>
    <row r="42" spans="1:12" hidden="1" x14ac:dyDescent="0.25">
      <c r="A42" s="501" t="s">
        <v>608</v>
      </c>
      <c r="B42" s="501"/>
      <c r="C42" s="503"/>
      <c r="D42" s="504"/>
      <c r="E42" s="501"/>
      <c r="F42" s="505"/>
      <c r="G42" s="506"/>
      <c r="L42" s="495" t="s">
        <v>609</v>
      </c>
    </row>
    <row r="43" spans="1:12" hidden="1" x14ac:dyDescent="0.25">
      <c r="A43" s="501" t="s">
        <v>610</v>
      </c>
      <c r="B43" s="501"/>
      <c r="C43" s="503"/>
      <c r="D43" s="504"/>
      <c r="E43" s="501"/>
      <c r="F43" s="505"/>
      <c r="G43" s="506"/>
      <c r="L43" s="495" t="s">
        <v>611</v>
      </c>
    </row>
    <row r="44" spans="1:12" hidden="1" x14ac:dyDescent="0.25">
      <c r="A44" s="501" t="s">
        <v>612</v>
      </c>
      <c r="B44" s="501"/>
      <c r="C44" s="503"/>
      <c r="D44" s="504"/>
      <c r="E44" s="501"/>
      <c r="F44" s="505"/>
      <c r="G44" s="506"/>
      <c r="L44" s="495" t="s">
        <v>613</v>
      </c>
    </row>
    <row r="45" spans="1:12" hidden="1" x14ac:dyDescent="0.25">
      <c r="A45" s="501" t="s">
        <v>614</v>
      </c>
      <c r="B45" s="501"/>
      <c r="C45" s="503"/>
      <c r="D45" s="504"/>
      <c r="E45" s="501"/>
      <c r="F45" s="505"/>
      <c r="G45" s="506"/>
      <c r="L45" s="495" t="s">
        <v>615</v>
      </c>
    </row>
    <row r="46" spans="1:12" hidden="1" x14ac:dyDescent="0.25">
      <c r="A46" s="501" t="s">
        <v>616</v>
      </c>
      <c r="B46" s="501"/>
      <c r="C46" s="503"/>
      <c r="D46" s="504"/>
      <c r="E46" s="501"/>
      <c r="F46" s="505"/>
      <c r="G46" s="506"/>
      <c r="L46" s="495" t="s">
        <v>617</v>
      </c>
    </row>
    <row r="47" spans="1:12" hidden="1" x14ac:dyDescent="0.25">
      <c r="A47" s="501" t="s">
        <v>618</v>
      </c>
      <c r="B47" s="501"/>
      <c r="C47" s="503"/>
      <c r="D47" s="504"/>
      <c r="E47" s="501"/>
      <c r="F47" s="505"/>
      <c r="G47" s="506"/>
      <c r="L47" s="495" t="s">
        <v>619</v>
      </c>
    </row>
    <row r="48" spans="1:12" hidden="1" x14ac:dyDescent="0.25">
      <c r="A48" s="501" t="s">
        <v>620</v>
      </c>
      <c r="B48" s="501"/>
      <c r="C48" s="503"/>
      <c r="D48" s="504"/>
      <c r="E48" s="501"/>
      <c r="F48" s="505"/>
      <c r="G48" s="506"/>
      <c r="L48" s="495" t="s">
        <v>621</v>
      </c>
    </row>
    <row r="49" spans="1:12" hidden="1" x14ac:dyDescent="0.25">
      <c r="A49" s="501" t="s">
        <v>622</v>
      </c>
      <c r="B49" s="501"/>
      <c r="C49" s="503"/>
      <c r="D49" s="504"/>
      <c r="E49" s="501"/>
      <c r="F49" s="505"/>
      <c r="G49" s="506"/>
      <c r="L49" s="495" t="s">
        <v>623</v>
      </c>
    </row>
    <row r="50" spans="1:12" hidden="1" x14ac:dyDescent="0.25">
      <c r="A50" s="501" t="s">
        <v>624</v>
      </c>
      <c r="B50" s="501"/>
      <c r="C50" s="503"/>
      <c r="D50" s="504"/>
      <c r="E50" s="501"/>
      <c r="F50" s="505"/>
      <c r="G50" s="506"/>
      <c r="L50" s="495" t="s">
        <v>625</v>
      </c>
    </row>
    <row r="51" spans="1:12" hidden="1" x14ac:dyDescent="0.25">
      <c r="A51" s="501" t="s">
        <v>626</v>
      </c>
      <c r="B51" s="501"/>
      <c r="C51" s="503"/>
      <c r="D51" s="504"/>
      <c r="E51" s="501"/>
      <c r="F51" s="505"/>
      <c r="G51" s="506"/>
      <c r="L51" s="495" t="s">
        <v>627</v>
      </c>
    </row>
    <row r="52" spans="1:12" hidden="1" x14ac:dyDescent="0.25">
      <c r="A52" s="501" t="s">
        <v>628</v>
      </c>
      <c r="B52" s="501"/>
      <c r="C52" s="503"/>
      <c r="D52" s="504"/>
      <c r="E52" s="501"/>
      <c r="F52" s="505"/>
      <c r="G52" s="506"/>
      <c r="L52" s="495" t="s">
        <v>629</v>
      </c>
    </row>
    <row r="53" spans="1:12" hidden="1" x14ac:dyDescent="0.25">
      <c r="A53" s="501" t="s">
        <v>630</v>
      </c>
      <c r="B53" s="501"/>
      <c r="C53" s="503"/>
      <c r="D53" s="504"/>
      <c r="E53" s="501"/>
      <c r="F53" s="505"/>
      <c r="G53" s="506"/>
      <c r="L53" s="495" t="s">
        <v>631</v>
      </c>
    </row>
    <row r="54" spans="1:12" hidden="1" x14ac:dyDescent="0.25">
      <c r="A54" s="501" t="s">
        <v>632</v>
      </c>
      <c r="B54" s="501"/>
      <c r="C54" s="503"/>
      <c r="D54" s="504"/>
      <c r="E54" s="501"/>
      <c r="F54" s="505"/>
      <c r="G54" s="506"/>
      <c r="L54" s="495" t="s">
        <v>633</v>
      </c>
    </row>
    <row r="55" spans="1:12" hidden="1" x14ac:dyDescent="0.25">
      <c r="A55" s="501" t="s">
        <v>634</v>
      </c>
      <c r="B55" s="501"/>
      <c r="C55" s="503"/>
      <c r="D55" s="504"/>
      <c r="E55" s="501"/>
      <c r="F55" s="505"/>
      <c r="G55" s="506"/>
      <c r="L55" s="495" t="s">
        <v>635</v>
      </c>
    </row>
    <row r="56" spans="1:12" hidden="1" x14ac:dyDescent="0.25">
      <c r="A56" s="501" t="s">
        <v>636</v>
      </c>
      <c r="B56" s="501"/>
      <c r="C56" s="503"/>
      <c r="D56" s="504"/>
      <c r="E56" s="501"/>
      <c r="F56" s="505"/>
      <c r="G56" s="506"/>
      <c r="L56" s="495" t="s">
        <v>637</v>
      </c>
    </row>
    <row r="57" spans="1:12" hidden="1" x14ac:dyDescent="0.25">
      <c r="A57" s="501" t="s">
        <v>638</v>
      </c>
      <c r="B57" s="501"/>
      <c r="C57" s="503"/>
      <c r="D57" s="504"/>
      <c r="E57" s="501"/>
      <c r="F57" s="505"/>
      <c r="G57" s="506"/>
      <c r="L57" s="495" t="s">
        <v>639</v>
      </c>
    </row>
    <row r="58" spans="1:12" hidden="1" x14ac:dyDescent="0.25">
      <c r="A58" s="501" t="s">
        <v>640</v>
      </c>
      <c r="B58" s="501"/>
      <c r="C58" s="503"/>
      <c r="D58" s="504"/>
      <c r="E58" s="501"/>
      <c r="F58" s="505"/>
      <c r="G58" s="506"/>
      <c r="L58" s="495" t="s">
        <v>641</v>
      </c>
    </row>
    <row r="59" spans="1:12" hidden="1" x14ac:dyDescent="0.25">
      <c r="A59" s="501" t="s">
        <v>642</v>
      </c>
      <c r="B59" s="501"/>
      <c r="C59" s="503"/>
      <c r="D59" s="504"/>
      <c r="E59" s="501"/>
      <c r="F59" s="505"/>
      <c r="G59" s="506"/>
      <c r="L59" s="495" t="s">
        <v>643</v>
      </c>
    </row>
    <row r="60" spans="1:12" hidden="1" x14ac:dyDescent="0.25">
      <c r="A60" s="501" t="s">
        <v>644</v>
      </c>
      <c r="B60" s="501"/>
      <c r="C60" s="503"/>
      <c r="D60" s="504"/>
      <c r="E60" s="501"/>
      <c r="F60" s="505"/>
      <c r="G60" s="506"/>
      <c r="L60" s="495" t="s">
        <v>645</v>
      </c>
    </row>
    <row r="61" spans="1:12" hidden="1" x14ac:dyDescent="0.25">
      <c r="A61" s="501" t="s">
        <v>646</v>
      </c>
      <c r="B61" s="501"/>
      <c r="C61" s="503"/>
      <c r="D61" s="504"/>
      <c r="E61" s="501"/>
      <c r="F61" s="505"/>
      <c r="G61" s="506"/>
      <c r="L61" s="495" t="s">
        <v>647</v>
      </c>
    </row>
    <row r="62" spans="1:12" hidden="1" x14ac:dyDescent="0.25">
      <c r="A62" s="501" t="s">
        <v>648</v>
      </c>
      <c r="B62" s="501"/>
      <c r="C62" s="503"/>
      <c r="D62" s="504"/>
      <c r="E62" s="501"/>
      <c r="F62" s="505"/>
      <c r="G62" s="506"/>
      <c r="L62" s="495" t="s">
        <v>649</v>
      </c>
    </row>
    <row r="63" spans="1:12" hidden="1" x14ac:dyDescent="0.25">
      <c r="A63" s="501" t="s">
        <v>650</v>
      </c>
      <c r="B63" s="501"/>
      <c r="C63" s="503"/>
      <c r="D63" s="504"/>
      <c r="E63" s="501"/>
      <c r="F63" s="505"/>
      <c r="G63" s="506"/>
      <c r="L63" s="495" t="s">
        <v>651</v>
      </c>
    </row>
    <row r="64" spans="1:12" hidden="1" x14ac:dyDescent="0.25">
      <c r="A64" s="501" t="s">
        <v>652</v>
      </c>
      <c r="B64" s="501"/>
      <c r="C64" s="503"/>
      <c r="D64" s="504"/>
      <c r="E64" s="501"/>
      <c r="F64" s="505"/>
      <c r="G64" s="506"/>
      <c r="L64" s="495" t="s">
        <v>653</v>
      </c>
    </row>
    <row r="65" spans="1:12" hidden="1" x14ac:dyDescent="0.25">
      <c r="A65" s="501" t="s">
        <v>654</v>
      </c>
      <c r="B65" s="501"/>
      <c r="C65" s="503"/>
      <c r="D65" s="504"/>
      <c r="E65" s="501"/>
      <c r="F65" s="505"/>
      <c r="G65" s="506"/>
      <c r="L65" s="495" t="s">
        <v>655</v>
      </c>
    </row>
    <row r="66" spans="1:12" hidden="1" x14ac:dyDescent="0.25">
      <c r="A66" s="501" t="s">
        <v>656</v>
      </c>
      <c r="B66" s="501"/>
      <c r="C66" s="503"/>
      <c r="D66" s="504"/>
      <c r="E66" s="501"/>
      <c r="F66" s="505"/>
      <c r="G66" s="506"/>
      <c r="L66" s="495" t="s">
        <v>657</v>
      </c>
    </row>
    <row r="67" spans="1:12" hidden="1" x14ac:dyDescent="0.25">
      <c r="A67" s="501" t="s">
        <v>658</v>
      </c>
      <c r="B67" s="501"/>
      <c r="C67" s="503"/>
      <c r="D67" s="504"/>
      <c r="E67" s="501"/>
      <c r="F67" s="505"/>
      <c r="G67" s="506"/>
      <c r="L67" s="495" t="s">
        <v>659</v>
      </c>
    </row>
    <row r="68" spans="1:12" hidden="1" x14ac:dyDescent="0.25">
      <c r="A68" s="501" t="s">
        <v>660</v>
      </c>
      <c r="B68" s="501"/>
      <c r="C68" s="503"/>
      <c r="D68" s="504"/>
      <c r="E68" s="501"/>
      <c r="F68" s="505"/>
      <c r="G68" s="506"/>
      <c r="L68" s="495" t="s">
        <v>661</v>
      </c>
    </row>
    <row r="69" spans="1:12" hidden="1" x14ac:dyDescent="0.25">
      <c r="A69" s="501" t="s">
        <v>662</v>
      </c>
      <c r="B69" s="501"/>
      <c r="C69" s="503"/>
      <c r="D69" s="504"/>
      <c r="E69" s="501"/>
      <c r="F69" s="505"/>
      <c r="G69" s="506"/>
      <c r="L69" s="495" t="s">
        <v>663</v>
      </c>
    </row>
    <row r="70" spans="1:12" hidden="1" x14ac:dyDescent="0.25">
      <c r="A70" s="501" t="s">
        <v>664</v>
      </c>
      <c r="B70" s="501"/>
      <c r="C70" s="503"/>
      <c r="D70" s="504"/>
      <c r="E70" s="501"/>
      <c r="F70" s="505"/>
      <c r="G70" s="506"/>
      <c r="L70" s="495" t="s">
        <v>665</v>
      </c>
    </row>
    <row r="71" spans="1:12" hidden="1" x14ac:dyDescent="0.25">
      <c r="A71" s="501" t="s">
        <v>666</v>
      </c>
      <c r="B71" s="501"/>
      <c r="C71" s="503"/>
      <c r="D71" s="504"/>
      <c r="E71" s="501"/>
      <c r="F71" s="505"/>
      <c r="G71" s="506"/>
      <c r="L71" s="495" t="s">
        <v>667</v>
      </c>
    </row>
    <row r="72" spans="1:12" hidden="1" x14ac:dyDescent="0.25">
      <c r="A72" s="501" t="s">
        <v>668</v>
      </c>
      <c r="B72" s="501"/>
      <c r="C72" s="503"/>
      <c r="D72" s="504"/>
      <c r="E72" s="501"/>
      <c r="F72" s="505"/>
      <c r="G72" s="506"/>
      <c r="L72" s="495" t="s">
        <v>669</v>
      </c>
    </row>
    <row r="73" spans="1:12" hidden="1" x14ac:dyDescent="0.25">
      <c r="A73" s="501" t="s">
        <v>670</v>
      </c>
      <c r="B73" s="501"/>
      <c r="C73" s="503"/>
      <c r="D73" s="504"/>
      <c r="E73" s="501"/>
      <c r="F73" s="505"/>
      <c r="G73" s="506"/>
      <c r="L73" s="495" t="s">
        <v>671</v>
      </c>
    </row>
    <row r="74" spans="1:12" hidden="1" x14ac:dyDescent="0.25">
      <c r="A74" s="501" t="s">
        <v>672</v>
      </c>
      <c r="B74" s="501"/>
      <c r="C74" s="503"/>
      <c r="D74" s="504"/>
      <c r="E74" s="501"/>
      <c r="F74" s="505"/>
      <c r="G74" s="506"/>
      <c r="L74" s="495" t="s">
        <v>673</v>
      </c>
    </row>
    <row r="75" spans="1:12" hidden="1" x14ac:dyDescent="0.25">
      <c r="A75" s="501" t="s">
        <v>674</v>
      </c>
      <c r="B75" s="501"/>
      <c r="C75" s="503"/>
      <c r="D75" s="504"/>
      <c r="E75" s="501"/>
      <c r="F75" s="505"/>
      <c r="G75" s="506"/>
      <c r="L75" s="495" t="s">
        <v>675</v>
      </c>
    </row>
    <row r="76" spans="1:12" hidden="1" x14ac:dyDescent="0.25">
      <c r="A76" s="501" t="s">
        <v>676</v>
      </c>
      <c r="B76" s="501"/>
      <c r="C76" s="503"/>
      <c r="D76" s="504"/>
      <c r="E76" s="501"/>
      <c r="F76" s="505"/>
      <c r="G76" s="506"/>
      <c r="L76" s="495" t="s">
        <v>677</v>
      </c>
    </row>
    <row r="77" spans="1:12" hidden="1" x14ac:dyDescent="0.25">
      <c r="A77" s="501" t="s">
        <v>678</v>
      </c>
      <c r="B77" s="501"/>
      <c r="C77" s="503"/>
      <c r="D77" s="504"/>
      <c r="E77" s="501"/>
      <c r="F77" s="505"/>
      <c r="G77" s="506"/>
      <c r="L77" s="495" t="s">
        <v>679</v>
      </c>
    </row>
    <row r="78" spans="1:12" hidden="1" x14ac:dyDescent="0.25">
      <c r="A78" s="501" t="s">
        <v>680</v>
      </c>
      <c r="B78" s="501"/>
      <c r="C78" s="503"/>
      <c r="D78" s="504"/>
      <c r="E78" s="501"/>
      <c r="F78" s="505"/>
      <c r="G78" s="506"/>
      <c r="L78" s="495" t="s">
        <v>681</v>
      </c>
    </row>
    <row r="79" spans="1:12" hidden="1" x14ac:dyDescent="0.25">
      <c r="A79" s="501" t="s">
        <v>682</v>
      </c>
      <c r="B79" s="501"/>
      <c r="C79" s="503"/>
      <c r="D79" s="504"/>
      <c r="E79" s="501"/>
      <c r="F79" s="505"/>
      <c r="G79" s="506"/>
      <c r="L79" s="495" t="s">
        <v>683</v>
      </c>
    </row>
    <row r="80" spans="1:12" hidden="1" x14ac:dyDescent="0.25">
      <c r="A80" s="501" t="s">
        <v>684</v>
      </c>
      <c r="B80" s="501"/>
      <c r="C80" s="503"/>
      <c r="D80" s="504"/>
      <c r="E80" s="501"/>
      <c r="F80" s="505"/>
      <c r="G80" s="506"/>
      <c r="L80" s="495" t="s">
        <v>685</v>
      </c>
    </row>
    <row r="81" spans="1:12" hidden="1" x14ac:dyDescent="0.25">
      <c r="A81" s="501" t="s">
        <v>686</v>
      </c>
      <c r="B81" s="501"/>
      <c r="C81" s="503"/>
      <c r="D81" s="504"/>
      <c r="E81" s="501"/>
      <c r="F81" s="505"/>
      <c r="G81" s="506"/>
      <c r="L81" s="495" t="s">
        <v>687</v>
      </c>
    </row>
    <row r="82" spans="1:12" hidden="1" x14ac:dyDescent="0.25">
      <c r="A82" s="501" t="s">
        <v>688</v>
      </c>
      <c r="B82" s="501"/>
      <c r="C82" s="503"/>
      <c r="D82" s="504"/>
      <c r="E82" s="501"/>
      <c r="F82" s="505"/>
      <c r="G82" s="506"/>
      <c r="L82" s="495" t="s">
        <v>689</v>
      </c>
    </row>
    <row r="83" spans="1:12" hidden="1" x14ac:dyDescent="0.25">
      <c r="A83" s="501" t="s">
        <v>690</v>
      </c>
      <c r="B83" s="501"/>
      <c r="C83" s="503"/>
      <c r="D83" s="504"/>
      <c r="E83" s="501"/>
      <c r="F83" s="505"/>
      <c r="G83" s="506"/>
      <c r="L83" s="495" t="s">
        <v>691</v>
      </c>
    </row>
    <row r="84" spans="1:12" hidden="1" x14ac:dyDescent="0.25">
      <c r="A84" s="501" t="s">
        <v>692</v>
      </c>
      <c r="B84" s="501"/>
      <c r="C84" s="503"/>
      <c r="D84" s="504"/>
      <c r="E84" s="501"/>
      <c r="F84" s="505"/>
      <c r="G84" s="506"/>
      <c r="L84" s="495" t="s">
        <v>693</v>
      </c>
    </row>
    <row r="85" spans="1:12" hidden="1" x14ac:dyDescent="0.25">
      <c r="A85" s="501" t="s">
        <v>694</v>
      </c>
      <c r="B85" s="501"/>
      <c r="C85" s="503"/>
      <c r="D85" s="504"/>
      <c r="E85" s="501"/>
      <c r="F85" s="505"/>
      <c r="G85" s="506"/>
      <c r="L85" s="495" t="s">
        <v>695</v>
      </c>
    </row>
    <row r="86" spans="1:12" hidden="1" x14ac:dyDescent="0.25">
      <c r="A86" s="501" t="s">
        <v>696</v>
      </c>
      <c r="B86" s="501"/>
      <c r="C86" s="503"/>
      <c r="D86" s="504"/>
      <c r="E86" s="501"/>
      <c r="F86" s="505"/>
      <c r="G86" s="506"/>
      <c r="L86" s="495" t="s">
        <v>697</v>
      </c>
    </row>
    <row r="87" spans="1:12" hidden="1" x14ac:dyDescent="0.25">
      <c r="A87" s="501" t="s">
        <v>698</v>
      </c>
      <c r="B87" s="501"/>
      <c r="C87" s="503"/>
      <c r="D87" s="504"/>
      <c r="E87" s="501"/>
      <c r="F87" s="505"/>
      <c r="G87" s="506"/>
      <c r="L87" s="495" t="s">
        <v>699</v>
      </c>
    </row>
    <row r="88" spans="1:12" hidden="1" x14ac:dyDescent="0.25">
      <c r="A88" s="501" t="s">
        <v>700</v>
      </c>
      <c r="B88" s="501"/>
      <c r="C88" s="503"/>
      <c r="D88" s="504"/>
      <c r="E88" s="501"/>
      <c r="F88" s="505"/>
      <c r="G88" s="506"/>
      <c r="L88" s="495" t="s">
        <v>701</v>
      </c>
    </row>
    <row r="89" spans="1:12" hidden="1" x14ac:dyDescent="0.25">
      <c r="A89" s="501" t="s">
        <v>702</v>
      </c>
      <c r="B89" s="501"/>
      <c r="C89" s="503"/>
      <c r="D89" s="504"/>
      <c r="E89" s="501"/>
      <c r="F89" s="505"/>
      <c r="G89" s="506"/>
      <c r="L89" s="495" t="s">
        <v>703</v>
      </c>
    </row>
    <row r="90" spans="1:12" hidden="1" x14ac:dyDescent="0.25">
      <c r="A90" s="501" t="s">
        <v>704</v>
      </c>
      <c r="B90" s="501"/>
      <c r="C90" s="503"/>
      <c r="D90" s="504"/>
      <c r="E90" s="501"/>
      <c r="F90" s="505"/>
      <c r="G90" s="506"/>
      <c r="L90" s="495" t="s">
        <v>705</v>
      </c>
    </row>
    <row r="91" spans="1:12" hidden="1" x14ac:dyDescent="0.25">
      <c r="A91" s="501" t="s">
        <v>706</v>
      </c>
      <c r="B91" s="501"/>
      <c r="C91" s="503"/>
      <c r="D91" s="504"/>
      <c r="E91" s="501"/>
      <c r="F91" s="505"/>
      <c r="G91" s="506"/>
      <c r="L91" s="495" t="s">
        <v>707</v>
      </c>
    </row>
    <row r="92" spans="1:12" hidden="1" x14ac:dyDescent="0.25">
      <c r="A92" s="501" t="s">
        <v>708</v>
      </c>
      <c r="B92" s="501"/>
      <c r="C92" s="503"/>
      <c r="D92" s="504"/>
      <c r="E92" s="501"/>
      <c r="F92" s="505"/>
      <c r="G92" s="506"/>
      <c r="L92" s="495" t="s">
        <v>709</v>
      </c>
    </row>
    <row r="93" spans="1:12" hidden="1" x14ac:dyDescent="0.25">
      <c r="A93" s="501" t="s">
        <v>710</v>
      </c>
      <c r="B93" s="501"/>
      <c r="C93" s="503"/>
      <c r="D93" s="504"/>
      <c r="E93" s="501"/>
      <c r="F93" s="505"/>
      <c r="G93" s="506"/>
      <c r="L93" s="495" t="s">
        <v>711</v>
      </c>
    </row>
    <row r="94" spans="1:12" hidden="1" x14ac:dyDescent="0.25">
      <c r="A94" s="501" t="s">
        <v>712</v>
      </c>
      <c r="B94" s="501"/>
      <c r="C94" s="503"/>
      <c r="D94" s="504"/>
      <c r="E94" s="501"/>
      <c r="F94" s="505"/>
      <c r="G94" s="506"/>
      <c r="L94" s="495" t="s">
        <v>713</v>
      </c>
    </row>
    <row r="95" spans="1:12" hidden="1" x14ac:dyDescent="0.25">
      <c r="A95" s="501" t="s">
        <v>714</v>
      </c>
      <c r="B95" s="501"/>
      <c r="C95" s="503"/>
      <c r="D95" s="504"/>
      <c r="E95" s="501"/>
      <c r="F95" s="505"/>
      <c r="G95" s="506"/>
      <c r="L95" s="495" t="s">
        <v>715</v>
      </c>
    </row>
    <row r="96" spans="1:12" hidden="1" x14ac:dyDescent="0.25">
      <c r="A96" s="501" t="s">
        <v>716</v>
      </c>
      <c r="B96" s="501"/>
      <c r="C96" s="503"/>
      <c r="D96" s="504"/>
      <c r="E96" s="501"/>
      <c r="F96" s="505"/>
      <c r="G96" s="506"/>
      <c r="L96" s="495" t="s">
        <v>717</v>
      </c>
    </row>
    <row r="97" spans="1:12" hidden="1" x14ac:dyDescent="0.25">
      <c r="A97" s="501" t="s">
        <v>718</v>
      </c>
      <c r="B97" s="501"/>
      <c r="C97" s="503"/>
      <c r="D97" s="504"/>
      <c r="E97" s="501"/>
      <c r="F97" s="505"/>
      <c r="G97" s="506"/>
      <c r="L97" s="495" t="s">
        <v>719</v>
      </c>
    </row>
    <row r="98" spans="1:12" hidden="1" x14ac:dyDescent="0.25">
      <c r="A98" s="501" t="s">
        <v>720</v>
      </c>
      <c r="B98" s="501"/>
      <c r="C98" s="503"/>
      <c r="D98" s="504"/>
      <c r="E98" s="501"/>
      <c r="F98" s="505"/>
      <c r="G98" s="506"/>
      <c r="L98" s="495" t="s">
        <v>721</v>
      </c>
    </row>
    <row r="99" spans="1:12" hidden="1" x14ac:dyDescent="0.25">
      <c r="A99" s="501" t="s">
        <v>722</v>
      </c>
      <c r="B99" s="501"/>
      <c r="C99" s="503"/>
      <c r="D99" s="504"/>
      <c r="E99" s="501"/>
      <c r="F99" s="505"/>
      <c r="G99" s="506"/>
      <c r="L99" s="495" t="s">
        <v>723</v>
      </c>
    </row>
  </sheetData>
  <sheetProtection sheet="1" objects="1" scenarios="1"/>
  <mergeCells count="2">
    <mergeCell ref="D4:G4"/>
    <mergeCell ref="D1:E1"/>
  </mergeCells>
  <conditionalFormatting sqref="F10:F24">
    <cfRule type="expression" dxfId="16" priority="2" stopIfTrue="1">
      <formula>AND($B10&lt;&gt;"",$F10="")</formula>
    </cfRule>
  </conditionalFormatting>
  <dataValidations count="9">
    <dataValidation allowBlank="1" showInputMessage="1" showErrorMessage="1" prompt="Enter the primary unit code for Charterwide, Private School, and each school. Only 1 unit code should be entered for each, and a primary unit code can only be used once. Please refer to the USFRCS, page III-E-4 for guidance." sqref="F7" xr:uid="{00000000-0002-0000-0E00-000000000000}"/>
    <dataValidation allowBlank="1" showInputMessage="1" showErrorMessage="1" prompt="Enter the applicable unit code(s) used to code Charterwide, Private Schools, and school expenses. If more than one unit code was used for each, separate each unit code with a comma. For example (100, 101, 102)." sqref="E7:E24" xr:uid="{00000000-0002-0000-0E00-000001000000}"/>
    <dataValidation allowBlank="1" showInputMessage="1" showErrorMessage="1" prompt="Click on this line for detailed instructions." sqref="A1" xr:uid="{00000000-0002-0000-0E00-000002000000}"/>
    <dataValidation allowBlank="1" showInputMessage="1" showErrorMessage="1" prompt="Enter the 100th (or 200th) day student count." sqref="D10:D99" xr:uid="{00000000-0002-0000-0E00-000003000000}"/>
    <dataValidation type="textLength" operator="equal" allowBlank="1" showInputMessage="1" showErrorMessage="1" error="This cell will only accept entries equal to 9 digits." prompt="This cell will only accept entries equal to 9 digits. This number should not contain any slashes, dashes, etc." sqref="C10:C99" xr:uid="{00000000-0002-0000-0E00-000004000000}">
      <formula1>9</formula1>
    </dataValidation>
    <dataValidation allowBlank="1" showInputMessage="1" showErrorMessage="1" prompt="Enter the primary unit code for Districtwide, Private School, CTED (Member Districts) and each school. Only 1 unit code should be entered for each, and a primary unit code can only be used once." sqref="F25:F99" xr:uid="{00000000-0002-0000-0E00-000005000000}"/>
    <dataValidation allowBlank="1" showInputMessage="1" showErrorMessage="1" prompt="Enter the applicable unit code(s) used to code Districtwide, Private Schools, CTED (Member Districts) and school expenditures. If more than one unit code was used for each, separate each unit code with a comma. For example (100, 101, 102)." sqref="E25:E99" xr:uid="{00000000-0002-0000-0E00-000006000000}"/>
    <dataValidation operator="equal" allowBlank="1" showInputMessage="1" showErrorMessage="1" error="This cell will only accept entries equal to 9 digits." sqref="B2 C7" xr:uid="{00000000-0002-0000-0E00-000007000000}"/>
    <dataValidation type="whole" allowBlank="1" showInputMessage="1" showErrorMessage="1" errorTitle="Invalid primary unit code" error="Primary unit code should be a 3 digit number" prompt="Enter the primary unit code for Charterwide, Private School, and each school. Only 1 unit code should be entered for each, and a primary unit code can only be used once. Please refer to the USFRCS, page III-E-4 for guidance." sqref="F8:F24" xr:uid="{00000000-0002-0000-0E00-000008000000}">
      <formula1>100</formula1>
      <formula2>999</formula2>
    </dataValidation>
  </dataValidations>
  <hyperlinks>
    <hyperlink ref="A1" location="School_Listing_Tab" display="Charter name" xr:uid="{00000000-0004-0000-0E00-000000000000}"/>
    <hyperlink ref="D1" location="School_Listing_Tab" display="Instructions" xr:uid="{5BC37BC3-0C44-418C-B4FB-B28E87F53DE0}"/>
  </hyperlinks>
  <pageMargins left="0.7" right="0.7" top="0.75" bottom="0.75" header="0.3" footer="0.3"/>
  <pageSetup scale="54" orientation="landscape" r:id="rId1"/>
  <headerFooter>
    <oddFooter>&amp;LRev. 8/25 Arizona Department of Education and Auditor General&amp;CFY 2025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A252-750E-456B-B819-59FA95A19E5D}">
  <sheetPr>
    <pageSetUpPr fitToPage="1"/>
  </sheetPr>
  <dimension ref="A1:C17"/>
  <sheetViews>
    <sheetView showGridLines="0" workbookViewId="0">
      <selection activeCell="A3" sqref="A3"/>
    </sheetView>
  </sheetViews>
  <sheetFormatPr defaultColWidth="9.33203125" defaultRowHeight="63" customHeight="1" x14ac:dyDescent="0.25"/>
  <cols>
    <col min="1" max="1" width="132" customWidth="1"/>
    <col min="2" max="2" width="18.44140625" customWidth="1"/>
    <col min="3" max="3" width="71" hidden="1" customWidth="1"/>
  </cols>
  <sheetData>
    <row r="1" spans="1:3" ht="30" customHeight="1" x14ac:dyDescent="0.25">
      <c r="A1" s="490" t="str">
        <f>IF('Page 2'!J48=0,"",IF(OR(,Alerts!A3&lt;&gt;"",Alerts!A4&lt;&gt;"",Alerts!A5&lt;&gt;"",Alerts!A6&lt;&gt;"",Alerts!A7&lt;&gt;"",Alerts!A8&lt;&gt;"",Alerts!A9&lt;&gt;"",Alerts!A10&lt;&gt;"",Alerts!A11&lt;&gt;"",Alerts!A12&lt;&gt;"",Alerts!A13&lt;&gt;"",Alerts!A14&lt;&gt;"",Alerts!A15&lt;&gt;"",Alerts!A16&lt;&gt;""),"ALERT: The following items need to be addressed before the AFR is submitted",""))</f>
        <v>ALERT: The following items need to be addressed before the AFR is submitted</v>
      </c>
    </row>
    <row r="2" spans="1:3" s="8" customFormat="1" ht="93" customHeight="1" x14ac:dyDescent="0.25">
      <c r="A2" s="586"/>
      <c r="B2" s="586"/>
      <c r="C2" s="485"/>
    </row>
    <row r="3" spans="1:3" s="8" customFormat="1" ht="112.5" customHeight="1" x14ac:dyDescent="0.25">
      <c r="A3" s="586" t="str">
        <f>IF('Page 2'!J48=0,"",IF(SUM('Page 3'!F26)+SUM('Page 4'!F17)+SUM('Page 5'!H8)+SUM('Page 5'!H30)&gt;'Page 1'!H30,C3,""))</f>
        <v>Page 1, line 21. 3200-Restricted revenues should be greater than or equal to total revenue amounts on pages 3-5 for CSP, IIP, ELLP and CIP. Ensure revenues are properly recorded for Classroom Site Project on page 3, line 11; Instructional Improvement Project on page 4, line 7; English Language Learner Project on page 5, line 1 and Compensatory Instruction Project, page 5, line 15. As these revenues are all considered restricted revenues from State sources, these amounts should be included in the amount reported on page 1, line 21. In addition, any restricted revenues received for State projects, as reported on page 8, should also be included, as appropriate.</v>
      </c>
      <c r="B3" s="586" t="str">
        <f>IF(A3="","","Restricted revenues-3200 on page 1 are not complete.")</f>
        <v>Restricted revenues-3200 on page 1 are not complete.</v>
      </c>
      <c r="C3" s="491" t="s">
        <v>1146</v>
      </c>
    </row>
    <row r="4" spans="1:3" s="8" customFormat="1" ht="63" customHeight="1" x14ac:dyDescent="0.25">
      <c r="A4" s="586" t="str">
        <f>IF('Page 2'!J48=0,"",IF('Page 3'!F28&lt;=0,C4,""))</f>
        <v/>
      </c>
      <c r="B4" s="586" t="str">
        <f>IF(A4="","","Classroom Site Project revenue information on page 3 is not complete.")</f>
        <v/>
      </c>
      <c r="C4" s="491" t="s">
        <v>520</v>
      </c>
    </row>
    <row r="5" spans="1:3" s="8" customFormat="1" ht="78.75" customHeight="1" x14ac:dyDescent="0.25">
      <c r="A5" s="586" t="str">
        <f>IF('Page 2'!J48=0,"",IF('Page 4'!F17&lt;=0,C5,""))</f>
        <v/>
      </c>
      <c r="B5" s="586" t="str">
        <f>IF(A5="","","Instructional Improvement Project revenue on page 4 is not complete.")</f>
        <v/>
      </c>
      <c r="C5" s="491" t="s">
        <v>521</v>
      </c>
    </row>
    <row r="6" spans="1:3" s="8" customFormat="1" ht="55.5" customHeight="1" x14ac:dyDescent="0.25">
      <c r="A6" s="586" t="str">
        <f>IF('Page 2'!J48=0,"",IF(OR('Page 6'!G15="",'Page 6'!G16="",'Page 6'!G17="",'Page 6'!G18="",'Page 6'!G19=""),C6,""))</f>
        <v/>
      </c>
      <c r="B6" s="586" t="str">
        <f>IF(A6="","","Capital acquisition information on page 6, section C is not complete.")</f>
        <v/>
      </c>
      <c r="C6" s="491" t="s">
        <v>1147</v>
      </c>
    </row>
    <row r="7" spans="1:3" s="8" customFormat="1" ht="48.75" customHeight="1" x14ac:dyDescent="0.25">
      <c r="A7" s="586" t="str">
        <f>IF('Page 2'!J48=0,"",IF(OR('Page 6'!G33&lt;=0,'Page 6'!G35&lt;=0,'Page 6'!G34&lt;=0,'Page 6'!G38&lt;=0),C7,""))</f>
        <v/>
      </c>
      <c r="B7" s="586" t="str">
        <f>IF(A7="","","Current expenses on page 6, section E are not complete.")</f>
        <v/>
      </c>
      <c r="C7" s="491" t="s">
        <v>1148</v>
      </c>
    </row>
    <row r="8" spans="1:3" s="8" customFormat="1" ht="70.5" customHeight="1" x14ac:dyDescent="0.25">
      <c r="A8" s="586" t="str">
        <f>IF('Page 2'!J48=0,"",IF((SUM('Page 2'!J11,'Page 2'!J12,'Page 2'!J13,'Page 2'!J15,'Page 2'!J29,'Page 2'!J30,'Page 2'!J31,'Page 2'!J33))&gt;('Page 6'!G35),C8,""))</f>
        <v/>
      </c>
      <c r="B8" s="586" t="str">
        <f>IF(A8="","","Current administration expense on page 6, section E is not complete.")</f>
        <v/>
      </c>
      <c r="C8" s="491" t="s">
        <v>522</v>
      </c>
    </row>
    <row r="9" spans="1:3" s="8" customFormat="1" ht="39.75" customHeight="1" x14ac:dyDescent="0.25">
      <c r="A9" s="586" t="str">
        <f>IF('Page 2'!J48=0,"",IF(SUM('Page 6'!T6:T8)&lt;=0,C9,""))</f>
        <v/>
      </c>
      <c r="B9" s="586" t="str">
        <f>IF(A9="","","Page 6, section F, lines 1-3 are not complete.")</f>
        <v/>
      </c>
      <c r="C9" s="491" t="s">
        <v>523</v>
      </c>
    </row>
    <row r="10" spans="1:3" s="8" customFormat="1" ht="55.5" customHeight="1" x14ac:dyDescent="0.25">
      <c r="A10" s="586" t="str">
        <f>IF('Page 2'!J48=0,"",IF(SUM('Page 6'!M19:T23)&lt;=0,C10,""))</f>
        <v/>
      </c>
      <c r="B10" s="586" t="str">
        <f>IF(A10="","","Teacher salary information on page 6, section G is not complete.")</f>
        <v/>
      </c>
      <c r="C10" s="491" t="s">
        <v>524</v>
      </c>
    </row>
    <row r="11" spans="1:3" s="8" customFormat="1" ht="50.25" customHeight="1" x14ac:dyDescent="0.25">
      <c r="A11" s="586" t="str">
        <f>IF(SUM('Page 6'!T6:T8)=0,"",IF(AND(((SUM('Page 6'!M19:Q24,'Page 6'!T19:T24)/SUM('Page 6'!T6:T8))&gt;10000),(SUM('Page 6'!M19:Q24,'Page 6'!T19:T24)/SUM('Page 6'!T6:T8))&lt;80000),"",C11))</f>
        <v/>
      </c>
      <c r="B11" s="586" t="str">
        <f>IF(A11="","","Teacher FTE and salary information on page 6, sections F and G is not appropriate.")</f>
        <v/>
      </c>
      <c r="C11" s="491" t="s">
        <v>525</v>
      </c>
    </row>
    <row r="12" spans="1:3" s="8" customFormat="1" ht="57" customHeight="1" x14ac:dyDescent="0.25">
      <c r="A12" s="586" t="str">
        <f>IF('Page 2'!J48=0,"",IF(OR('Page 6'!T29="",'Page 6'!T29&lt;10000),C12,""))</f>
        <v/>
      </c>
      <c r="B12" s="586" t="str">
        <f>IF(A12="","","Average teacher salary information on page 6, section H is not complete.")</f>
        <v/>
      </c>
      <c r="C12" s="690" t="s">
        <v>1379</v>
      </c>
    </row>
    <row r="13" spans="1:3" s="8" customFormat="1" ht="84.75" customHeight="1" x14ac:dyDescent="0.25">
      <c r="A13" s="586" t="str">
        <f>IF('Page 2'!J48=0,"",IF(AND('Page 2'!J37&gt;0,'Page 7'!T23&lt;'Page 2'!J37),C13,""))</f>
        <v/>
      </c>
      <c r="B13" s="586" t="str">
        <f>IF(A13="","","Special education program information on page 7 is not complete.")</f>
        <v/>
      </c>
      <c r="C13" s="491" t="s">
        <v>526</v>
      </c>
    </row>
    <row r="14" spans="1:3" s="8" customFormat="1" ht="84.75" customHeight="1" x14ac:dyDescent="0.25">
      <c r="A14" s="586" t="str">
        <f>IF('Page 2'!J48=0,"",IF(OR('Page 9'!E41="",'Page 9'!E42="",'Page 9'!E43="",'Page 9'!E44="",('Page 9'!K23+'Page 9'!K26+SUM('Page 9'!E33:E36))&lt;&gt;(SUM('Page 9'!E41:E44))),C14,""))</f>
        <v/>
      </c>
      <c r="B14" s="586" t="str">
        <f>IF(A14="","","Property disbursement information on page 9 is not complete.")</f>
        <v/>
      </c>
      <c r="C14" s="491" t="s">
        <v>527</v>
      </c>
    </row>
    <row r="15" spans="1:3" s="8" customFormat="1" ht="90" customHeight="1" x14ac:dyDescent="0.25">
      <c r="A15" s="586" t="str">
        <f>IF('Page 2'!J48=0,"",IF((SUM('Page 2'!J48))&gt;(SUM('Page 9'!D23:J23)+SUM('Page 9'!D26:J26)+SUM('Page 9'!D33:D36)+'Page 9'!E48+'Page 9'!E50),C15,""))</f>
        <v/>
      </c>
      <c r="B15" s="586" t="str">
        <f>IF(A15="","","NPEFS information on page 9 is not complete.")</f>
        <v/>
      </c>
      <c r="C15" s="491" t="s">
        <v>528</v>
      </c>
    </row>
    <row r="16" spans="1:3" s="8" customFormat="1" ht="41.25" customHeight="1" x14ac:dyDescent="0.25">
      <c r="A16" s="586" t="str">
        <f>IF('Page 2'!J48=0,"",IF(OR('Page 8'!G25="",'Page 8'!H25="",'Page 8'!I25="",'Page 8'!K25="",'Page 8'!M25=""),C16,""))</f>
        <v>Page 8, line 19 is not complete. Ensure all COVID-19 amounts are reported on line 19. If the Charter does not have any activity to report, enter a 0 on the line item(s) as applicable. Line 19 cannot be left blank.</v>
      </c>
      <c r="B16" s="586" t="str">
        <f>IF(A16="","","COVID-19 information on page 8, line 19 is not complete.")</f>
        <v>COVID-19 information on page 8, line 19 is not complete.</v>
      </c>
      <c r="C16" s="491" t="s">
        <v>529</v>
      </c>
    </row>
    <row r="17" spans="1:1" ht="43.5" customHeight="1" x14ac:dyDescent="0.25">
      <c r="A17" s="492"/>
    </row>
  </sheetData>
  <sheetProtection sheet="1" formatCells="0" formatColumns="0" formatRows="0"/>
  <printOptions horizontalCentered="1"/>
  <pageMargins left="0.7" right="0.7" top="0.75" bottom="0.75" header="0.3" footer="0.3"/>
  <pageSetup scale="64" orientation="portrait" r:id="rId1"/>
  <headerFooter>
    <oddFooter>&amp;LRev. 8/25 Arizona Department of Education and Auditor General&amp;CFY 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2CBE-2C82-46A1-A9FD-F3420802E110}">
  <sheetPr filterMode="1">
    <pageSetUpPr fitToPage="1"/>
  </sheetPr>
  <dimension ref="A1:Y270"/>
  <sheetViews>
    <sheetView showGridLines="0" tabSelected="1" topLeftCell="A41" zoomScaleNormal="100" workbookViewId="0">
      <selection activeCell="G254" activeCellId="11" sqref="G16:G17 G19:G20 G22:G23 G26 G25 G28:G32 G35:G40 G44:G45 G48:G50 G52:G197 G250:G251 G254:G255"/>
    </sheetView>
  </sheetViews>
  <sheetFormatPr defaultColWidth="9.6640625" defaultRowHeight="14.4" x14ac:dyDescent="0.3"/>
  <cols>
    <col min="1" max="1" width="16.44140625" style="14" customWidth="1"/>
    <col min="2" max="2" width="16.109375" style="14" customWidth="1"/>
    <col min="3" max="3" width="15.88671875" style="14" customWidth="1"/>
    <col min="4" max="4" width="13.88671875" style="14" customWidth="1"/>
    <col min="5" max="5" width="18.6640625" style="14" customWidth="1"/>
    <col min="6" max="6" width="19.6640625" style="14" customWidth="1"/>
    <col min="7" max="7" width="17.33203125" style="20" customWidth="1"/>
    <col min="8" max="8" width="24.6640625" style="14" bestFit="1" customWidth="1"/>
    <col min="9" max="9" width="22.33203125" style="14" bestFit="1" customWidth="1"/>
    <col min="10" max="10" width="16.33203125" style="14" bestFit="1" customWidth="1"/>
    <col min="11" max="11" width="13.33203125" style="14" bestFit="1" customWidth="1"/>
    <col min="12" max="12" width="9.6640625" style="14" customWidth="1"/>
    <col min="13" max="13" width="58.77734375" style="14" hidden="1" customWidth="1"/>
    <col min="14" max="14" width="55.33203125" style="14" hidden="1" customWidth="1"/>
    <col min="15" max="15" width="45.33203125" style="14" hidden="1" customWidth="1"/>
    <col min="16" max="16" width="90.21875" style="14" hidden="1" customWidth="1"/>
    <col min="17" max="24" width="9.6640625" style="14" customWidth="1"/>
    <col min="25" max="25" width="21.33203125" style="14" hidden="1" customWidth="1"/>
    <col min="26" max="29" width="9.6640625" style="14" customWidth="1"/>
    <col min="30" max="16384" width="9.6640625" style="14"/>
  </cols>
  <sheetData>
    <row r="1" spans="1:25" ht="48" customHeight="1" x14ac:dyDescent="0.3">
      <c r="A1" s="13" t="s">
        <v>859</v>
      </c>
      <c r="B1" s="13" t="s">
        <v>860</v>
      </c>
      <c r="C1" s="13" t="s">
        <v>861</v>
      </c>
      <c r="D1" s="13" t="s">
        <v>862</v>
      </c>
      <c r="E1" s="13" t="s">
        <v>863</v>
      </c>
      <c r="F1" s="13" t="s">
        <v>864</v>
      </c>
      <c r="G1" s="18" t="s">
        <v>865</v>
      </c>
      <c r="H1" s="13" t="s">
        <v>866</v>
      </c>
      <c r="I1" s="13" t="s">
        <v>867</v>
      </c>
      <c r="J1" s="13" t="s">
        <v>868</v>
      </c>
      <c r="K1" s="13" t="s">
        <v>869</v>
      </c>
      <c r="L1" s="13" t="s">
        <v>870</v>
      </c>
      <c r="M1" s="21" t="s">
        <v>871</v>
      </c>
      <c r="N1" s="21" t="s">
        <v>872</v>
      </c>
      <c r="O1" s="21" t="s">
        <v>873</v>
      </c>
      <c r="P1" s="21" t="s">
        <v>874</v>
      </c>
    </row>
    <row r="2" spans="1:25" ht="14.25" hidden="1" customHeight="1" x14ac:dyDescent="0.3">
      <c r="A2" s="768" t="s">
        <v>1402</v>
      </c>
      <c r="C2" s="15"/>
      <c r="D2" s="15"/>
      <c r="E2" s="15"/>
      <c r="F2" s="769" t="s">
        <v>1406</v>
      </c>
      <c r="G2" s="778">
        <v>135.54</v>
      </c>
      <c r="H2" s="15" t="s">
        <v>876</v>
      </c>
      <c r="I2" s="15" t="s">
        <v>880</v>
      </c>
      <c r="J2" s="15" t="s">
        <v>889</v>
      </c>
      <c r="K2" s="15" t="s">
        <v>890</v>
      </c>
      <c r="L2" s="15">
        <v>105</v>
      </c>
      <c r="Y2" s="14" t="s">
        <v>875</v>
      </c>
    </row>
    <row r="3" spans="1:25" ht="14.25" hidden="1" customHeight="1" x14ac:dyDescent="0.3">
      <c r="A3" s="768" t="s">
        <v>1403</v>
      </c>
      <c r="C3" s="15"/>
      <c r="D3" s="15"/>
      <c r="E3" s="15"/>
      <c r="F3" s="769" t="s">
        <v>1406</v>
      </c>
      <c r="G3" s="778">
        <v>133.91999999999999</v>
      </c>
      <c r="H3" s="15" t="s">
        <v>876</v>
      </c>
      <c r="I3" s="15" t="s">
        <v>880</v>
      </c>
      <c r="J3" s="15" t="s">
        <v>893</v>
      </c>
      <c r="K3" s="15" t="s">
        <v>890</v>
      </c>
      <c r="L3" s="15">
        <v>105</v>
      </c>
      <c r="M3" s="16" t="s">
        <v>876</v>
      </c>
      <c r="N3" s="22" t="s">
        <v>875</v>
      </c>
      <c r="O3" s="22" t="s">
        <v>875</v>
      </c>
      <c r="P3" s="22" t="s">
        <v>875</v>
      </c>
      <c r="Y3" s="14" t="s">
        <v>21</v>
      </c>
    </row>
    <row r="4" spans="1:25" ht="14.25" hidden="1" customHeight="1" x14ac:dyDescent="0.3">
      <c r="A4" s="768" t="s">
        <v>1404</v>
      </c>
      <c r="C4" s="15"/>
      <c r="D4" s="15"/>
      <c r="E4" s="15"/>
      <c r="F4" s="769" t="s">
        <v>1406</v>
      </c>
      <c r="G4" s="778">
        <v>200</v>
      </c>
      <c r="H4" s="15" t="s">
        <v>876</v>
      </c>
      <c r="I4" s="15" t="s">
        <v>880</v>
      </c>
      <c r="J4" s="15" t="s">
        <v>909</v>
      </c>
      <c r="K4" s="15" t="s">
        <v>890</v>
      </c>
      <c r="L4" s="15">
        <v>105</v>
      </c>
      <c r="M4" s="22" t="s">
        <v>877</v>
      </c>
      <c r="N4" s="22" t="s">
        <v>21</v>
      </c>
      <c r="O4" s="22" t="s">
        <v>21</v>
      </c>
      <c r="P4" s="22" t="s">
        <v>878</v>
      </c>
      <c r="Y4" s="14">
        <f>'School listing'!F7</f>
        <v>0</v>
      </c>
    </row>
    <row r="5" spans="1:25" ht="14.25" hidden="1" customHeight="1" x14ac:dyDescent="0.3">
      <c r="A5" s="768" t="s">
        <v>1405</v>
      </c>
      <c r="C5" s="25"/>
      <c r="D5" s="25"/>
      <c r="E5" s="25"/>
      <c r="F5" s="769" t="s">
        <v>1406</v>
      </c>
      <c r="G5" s="778">
        <v>291.05</v>
      </c>
      <c r="H5" s="15" t="s">
        <v>876</v>
      </c>
      <c r="I5" s="15" t="s">
        <v>880</v>
      </c>
      <c r="J5" s="15" t="s">
        <v>909</v>
      </c>
      <c r="K5" s="15" t="s">
        <v>890</v>
      </c>
      <c r="L5" s="15">
        <v>105</v>
      </c>
      <c r="M5" s="22" t="s">
        <v>879</v>
      </c>
      <c r="N5" s="22" t="s">
        <v>880</v>
      </c>
      <c r="O5" s="22" t="s">
        <v>881</v>
      </c>
      <c r="P5" s="22" t="s">
        <v>882</v>
      </c>
      <c r="Y5" s="14">
        <f>'School listing'!F8</f>
        <v>0</v>
      </c>
    </row>
    <row r="6" spans="1:25" ht="14.25" hidden="1" customHeight="1" x14ac:dyDescent="0.3">
      <c r="A6" s="768" t="s">
        <v>1407</v>
      </c>
      <c r="C6" s="15"/>
      <c r="D6" s="15"/>
      <c r="E6" s="15"/>
      <c r="F6" s="769" t="s">
        <v>1410</v>
      </c>
      <c r="G6" s="778">
        <v>24.95</v>
      </c>
      <c r="H6" s="15" t="s">
        <v>876</v>
      </c>
      <c r="I6" s="15" t="s">
        <v>880</v>
      </c>
      <c r="J6" s="15" t="s">
        <v>881</v>
      </c>
      <c r="K6" s="15" t="s">
        <v>886</v>
      </c>
      <c r="L6" s="15">
        <v>101</v>
      </c>
      <c r="M6" s="22" t="s">
        <v>883</v>
      </c>
      <c r="N6" s="22" t="s">
        <v>884</v>
      </c>
      <c r="O6" s="22" t="s">
        <v>885</v>
      </c>
      <c r="P6" s="22" t="s">
        <v>886</v>
      </c>
      <c r="Y6" s="14">
        <f>'School listing'!F9</f>
        <v>0</v>
      </c>
    </row>
    <row r="7" spans="1:25" ht="14.25" hidden="1" customHeight="1" x14ac:dyDescent="0.3">
      <c r="A7" s="768" t="s">
        <v>1408</v>
      </c>
      <c r="C7" s="15"/>
      <c r="D7" s="15"/>
      <c r="E7" s="15"/>
      <c r="F7" s="769" t="s">
        <v>1409</v>
      </c>
      <c r="G7" s="778">
        <v>1881</v>
      </c>
      <c r="H7" s="15" t="s">
        <v>876</v>
      </c>
      <c r="I7" s="15" t="s">
        <v>880</v>
      </c>
      <c r="J7" s="15" t="s">
        <v>889</v>
      </c>
      <c r="K7" s="15" t="s">
        <v>890</v>
      </c>
      <c r="L7" s="15">
        <v>101</v>
      </c>
      <c r="M7" s="22" t="s">
        <v>887</v>
      </c>
      <c r="N7" s="23" t="s">
        <v>888</v>
      </c>
      <c r="O7" s="22" t="s">
        <v>889</v>
      </c>
      <c r="P7" s="22" t="s">
        <v>890</v>
      </c>
      <c r="Y7" s="14">
        <f>'School listing'!F10</f>
        <v>101</v>
      </c>
    </row>
    <row r="8" spans="1:25" ht="14.25" hidden="1" customHeight="1" x14ac:dyDescent="0.3">
      <c r="A8" s="768" t="s">
        <v>1402</v>
      </c>
      <c r="C8" s="15"/>
      <c r="D8" s="15"/>
      <c r="E8" s="15"/>
      <c r="F8" s="769" t="s">
        <v>1409</v>
      </c>
      <c r="G8" s="778">
        <v>1453.57</v>
      </c>
      <c r="H8" s="15" t="s">
        <v>876</v>
      </c>
      <c r="I8" s="15" t="s">
        <v>880</v>
      </c>
      <c r="J8" s="15" t="s">
        <v>889</v>
      </c>
      <c r="K8" s="15" t="s">
        <v>890</v>
      </c>
      <c r="L8" s="15">
        <v>101</v>
      </c>
      <c r="M8" s="22" t="s">
        <v>891</v>
      </c>
      <c r="N8" s="23" t="s">
        <v>892</v>
      </c>
      <c r="O8" s="22" t="s">
        <v>893</v>
      </c>
      <c r="P8" s="22" t="s">
        <v>894</v>
      </c>
      <c r="Y8" s="14">
        <f>'School listing'!F11</f>
        <v>105</v>
      </c>
    </row>
    <row r="9" spans="1:25" ht="14.25" hidden="1" customHeight="1" x14ac:dyDescent="0.3">
      <c r="A9" s="768" t="s">
        <v>1403</v>
      </c>
      <c r="C9" s="17"/>
      <c r="D9" s="15"/>
      <c r="E9" s="15"/>
      <c r="F9" s="769" t="s">
        <v>1409</v>
      </c>
      <c r="G9" s="778">
        <v>284.58999999999997</v>
      </c>
      <c r="H9" s="15" t="s">
        <v>876</v>
      </c>
      <c r="I9" s="15" t="s">
        <v>880</v>
      </c>
      <c r="J9" s="15" t="s">
        <v>893</v>
      </c>
      <c r="K9" s="15" t="s">
        <v>890</v>
      </c>
      <c r="L9" s="15">
        <v>101</v>
      </c>
      <c r="M9" s="22" t="s">
        <v>895</v>
      </c>
      <c r="N9" s="23" t="s">
        <v>896</v>
      </c>
      <c r="O9" s="22" t="s">
        <v>897</v>
      </c>
      <c r="P9" s="22" t="s">
        <v>898</v>
      </c>
      <c r="Y9" s="14">
        <f>'School listing'!F12</f>
        <v>0</v>
      </c>
    </row>
    <row r="10" spans="1:25" hidden="1" x14ac:dyDescent="0.3">
      <c r="A10" s="768" t="s">
        <v>1404</v>
      </c>
      <c r="F10" s="769" t="s">
        <v>1409</v>
      </c>
      <c r="G10" s="778">
        <v>450</v>
      </c>
      <c r="H10" s="15" t="s">
        <v>876</v>
      </c>
      <c r="I10" s="15" t="s">
        <v>880</v>
      </c>
      <c r="J10" s="15" t="s">
        <v>909</v>
      </c>
      <c r="K10" s="15" t="s">
        <v>890</v>
      </c>
      <c r="L10" s="15">
        <v>101</v>
      </c>
      <c r="M10" s="22" t="s">
        <v>899</v>
      </c>
      <c r="N10" s="22" t="s">
        <v>900</v>
      </c>
      <c r="O10" s="22" t="s">
        <v>901</v>
      </c>
      <c r="P10" s="22" t="s">
        <v>902</v>
      </c>
      <c r="Y10" s="14">
        <f>'School listing'!F13</f>
        <v>0</v>
      </c>
    </row>
    <row r="11" spans="1:25" hidden="1" x14ac:dyDescent="0.3">
      <c r="A11" s="768" t="s">
        <v>1405</v>
      </c>
      <c r="F11" s="769" t="s">
        <v>1409</v>
      </c>
      <c r="G11" s="778">
        <v>243.71</v>
      </c>
      <c r="H11" s="15" t="s">
        <v>876</v>
      </c>
      <c r="I11" s="15" t="s">
        <v>880</v>
      </c>
      <c r="J11" s="15" t="s">
        <v>909</v>
      </c>
      <c r="K11" s="15" t="s">
        <v>890</v>
      </c>
      <c r="L11" s="15">
        <v>101</v>
      </c>
      <c r="M11" s="22" t="s">
        <v>903</v>
      </c>
      <c r="N11" s="23" t="s">
        <v>904</v>
      </c>
      <c r="O11" s="22" t="s">
        <v>905</v>
      </c>
      <c r="P11" s="22" t="s">
        <v>906</v>
      </c>
      <c r="Y11" s="14">
        <f>'School listing'!F14</f>
        <v>0</v>
      </c>
    </row>
    <row r="12" spans="1:25" hidden="1" x14ac:dyDescent="0.3">
      <c r="A12" s="768" t="s">
        <v>1408</v>
      </c>
      <c r="F12" s="769" t="s">
        <v>1409</v>
      </c>
      <c r="G12" s="778">
        <v>200</v>
      </c>
      <c r="H12" s="15" t="s">
        <v>876</v>
      </c>
      <c r="I12" s="15" t="s">
        <v>880</v>
      </c>
      <c r="J12" s="15" t="s">
        <v>889</v>
      </c>
      <c r="K12" s="15" t="s">
        <v>890</v>
      </c>
      <c r="L12" s="15">
        <v>101</v>
      </c>
      <c r="M12" s="22" t="s">
        <v>907</v>
      </c>
      <c r="N12" s="23" t="s">
        <v>908</v>
      </c>
      <c r="O12" s="22" t="s">
        <v>909</v>
      </c>
      <c r="P12" s="22" t="s">
        <v>910</v>
      </c>
      <c r="Y12" s="14">
        <f>'School listing'!F15</f>
        <v>0</v>
      </c>
    </row>
    <row r="13" spans="1:25" hidden="1" x14ac:dyDescent="0.3">
      <c r="A13" s="768" t="s">
        <v>1411</v>
      </c>
      <c r="F13" s="772" t="s">
        <v>1414</v>
      </c>
      <c r="G13" s="19">
        <v>-3857.24</v>
      </c>
      <c r="H13" s="15" t="s">
        <v>876</v>
      </c>
      <c r="I13" s="15" t="s">
        <v>21</v>
      </c>
      <c r="J13" s="15" t="s">
        <v>21</v>
      </c>
      <c r="K13" s="15" t="s">
        <v>955</v>
      </c>
      <c r="L13" s="15">
        <v>101</v>
      </c>
      <c r="M13" s="22" t="s">
        <v>911</v>
      </c>
      <c r="N13" s="22" t="s">
        <v>912</v>
      </c>
      <c r="O13" s="22" t="s">
        <v>913</v>
      </c>
      <c r="P13" s="22" t="s">
        <v>914</v>
      </c>
      <c r="Y13" s="14">
        <f>'School listing'!F16</f>
        <v>0</v>
      </c>
    </row>
    <row r="14" spans="1:25" hidden="1" x14ac:dyDescent="0.3">
      <c r="A14" s="768" t="s">
        <v>1412</v>
      </c>
      <c r="B14" s="770"/>
      <c r="C14" s="771"/>
      <c r="D14" s="770"/>
      <c r="F14" s="772" t="s">
        <v>1413</v>
      </c>
      <c r="G14" s="19">
        <v>-1.33</v>
      </c>
      <c r="H14" s="15" t="s">
        <v>876</v>
      </c>
      <c r="I14" s="15" t="s">
        <v>21</v>
      </c>
      <c r="J14" s="15" t="s">
        <v>21</v>
      </c>
      <c r="K14" s="15" t="s">
        <v>938</v>
      </c>
      <c r="L14" s="15">
        <v>101</v>
      </c>
      <c r="M14" s="22" t="s">
        <v>915</v>
      </c>
      <c r="N14" s="22" t="s">
        <v>916</v>
      </c>
      <c r="O14" s="22" t="s">
        <v>917</v>
      </c>
      <c r="P14" s="22" t="s">
        <v>918</v>
      </c>
      <c r="Y14" s="14">
        <f>'School listing'!F17</f>
        <v>0</v>
      </c>
    </row>
    <row r="15" spans="1:25" x14ac:dyDescent="0.3">
      <c r="A15" s="768" t="s">
        <v>1415</v>
      </c>
      <c r="B15" s="770"/>
      <c r="C15" s="771"/>
      <c r="D15" s="770"/>
      <c r="F15" s="772" t="s">
        <v>1418</v>
      </c>
      <c r="G15" s="19">
        <v>-17200</v>
      </c>
      <c r="H15" s="15" t="s">
        <v>956</v>
      </c>
      <c r="I15" s="15" t="s">
        <v>21</v>
      </c>
      <c r="J15" s="15" t="s">
        <v>21</v>
      </c>
      <c r="K15" s="15" t="s">
        <v>976</v>
      </c>
      <c r="L15" s="15">
        <v>101</v>
      </c>
      <c r="M15" s="22" t="s">
        <v>919</v>
      </c>
      <c r="N15" s="22" t="s">
        <v>920</v>
      </c>
      <c r="O15" s="22" t="s">
        <v>921</v>
      </c>
      <c r="P15" s="24" t="s">
        <v>922</v>
      </c>
      <c r="Y15" s="14">
        <f>'School listing'!F18</f>
        <v>0</v>
      </c>
    </row>
    <row r="16" spans="1:25" x14ac:dyDescent="0.3">
      <c r="A16" s="768" t="s">
        <v>1416</v>
      </c>
      <c r="C16" s="771"/>
      <c r="D16" s="770"/>
      <c r="F16" s="772" t="s">
        <v>1418</v>
      </c>
      <c r="G16" s="775">
        <v>12835.82</v>
      </c>
      <c r="H16" s="15" t="s">
        <v>956</v>
      </c>
      <c r="I16" s="15" t="s">
        <v>880</v>
      </c>
      <c r="J16" s="15" t="s">
        <v>889</v>
      </c>
      <c r="K16" s="15" t="s">
        <v>878</v>
      </c>
      <c r="L16" s="15">
        <v>101</v>
      </c>
      <c r="M16" s="22" t="s">
        <v>923</v>
      </c>
      <c r="N16" s="22" t="s">
        <v>924</v>
      </c>
      <c r="O16" s="22" t="s">
        <v>925</v>
      </c>
      <c r="P16" s="24" t="s">
        <v>926</v>
      </c>
      <c r="Y16" s="14">
        <f>'School listing'!F19</f>
        <v>0</v>
      </c>
    </row>
    <row r="17" spans="1:25" x14ac:dyDescent="0.3">
      <c r="A17" s="768" t="s">
        <v>1417</v>
      </c>
      <c r="C17" s="771"/>
      <c r="D17" s="770"/>
      <c r="F17" s="772" t="s">
        <v>1418</v>
      </c>
      <c r="G17" s="775">
        <v>4364.18</v>
      </c>
      <c r="H17" s="15" t="s">
        <v>956</v>
      </c>
      <c r="I17" s="15" t="s">
        <v>880</v>
      </c>
      <c r="J17" s="15" t="s">
        <v>889</v>
      </c>
      <c r="K17" s="15" t="s">
        <v>882</v>
      </c>
      <c r="L17" s="15">
        <v>101</v>
      </c>
      <c r="M17" s="22" t="s">
        <v>927</v>
      </c>
      <c r="N17" s="22" t="s">
        <v>928</v>
      </c>
      <c r="O17" s="22" t="s">
        <v>929</v>
      </c>
      <c r="P17" s="24" t="s">
        <v>930</v>
      </c>
      <c r="Y17" s="14">
        <f>'School listing'!F20</f>
        <v>0</v>
      </c>
    </row>
    <row r="18" spans="1:25" x14ac:dyDescent="0.3">
      <c r="A18" s="768" t="s">
        <v>1415</v>
      </c>
      <c r="B18" s="770"/>
      <c r="C18" s="771"/>
      <c r="F18" s="772" t="s">
        <v>1428</v>
      </c>
      <c r="G18" s="19">
        <v>-12600</v>
      </c>
      <c r="H18" s="15" t="s">
        <v>956</v>
      </c>
      <c r="I18" s="15" t="s">
        <v>21</v>
      </c>
      <c r="J18" s="15" t="s">
        <v>21</v>
      </c>
      <c r="K18" s="15" t="s">
        <v>976</v>
      </c>
      <c r="L18" s="15">
        <v>105</v>
      </c>
      <c r="M18" s="22" t="s">
        <v>931</v>
      </c>
      <c r="N18" s="22" t="s">
        <v>932</v>
      </c>
      <c r="O18" s="22" t="s">
        <v>933</v>
      </c>
      <c r="P18" s="24" t="s">
        <v>934</v>
      </c>
      <c r="Y18" s="14">
        <f>'School listing'!F21</f>
        <v>0</v>
      </c>
    </row>
    <row r="19" spans="1:25" x14ac:dyDescent="0.3">
      <c r="A19" s="768" t="s">
        <v>1416</v>
      </c>
      <c r="C19" s="771"/>
      <c r="D19" s="770"/>
      <c r="F19" s="772" t="s">
        <v>1428</v>
      </c>
      <c r="G19" s="775">
        <v>9402.99</v>
      </c>
      <c r="H19" s="15" t="s">
        <v>956</v>
      </c>
      <c r="I19" s="15" t="s">
        <v>880</v>
      </c>
      <c r="J19" s="15" t="s">
        <v>889</v>
      </c>
      <c r="K19" s="15" t="s">
        <v>878</v>
      </c>
      <c r="L19" s="15">
        <v>105</v>
      </c>
      <c r="M19" s="22" t="s">
        <v>935</v>
      </c>
      <c r="N19" s="22" t="s">
        <v>936</v>
      </c>
      <c r="O19" s="22" t="s">
        <v>937</v>
      </c>
      <c r="P19" s="24" t="s">
        <v>938</v>
      </c>
      <c r="Y19" s="14">
        <f>'School listing'!F22</f>
        <v>0</v>
      </c>
    </row>
    <row r="20" spans="1:25" x14ac:dyDescent="0.3">
      <c r="A20" s="768" t="s">
        <v>1417</v>
      </c>
      <c r="C20" s="771"/>
      <c r="D20" s="770"/>
      <c r="F20" s="772" t="s">
        <v>1428</v>
      </c>
      <c r="G20" s="775">
        <v>3197.01</v>
      </c>
      <c r="H20" s="15" t="s">
        <v>956</v>
      </c>
      <c r="I20" s="15" t="s">
        <v>880</v>
      </c>
      <c r="J20" s="15" t="s">
        <v>889</v>
      </c>
      <c r="K20" s="15" t="s">
        <v>882</v>
      </c>
      <c r="L20" s="15">
        <v>105</v>
      </c>
      <c r="M20" s="22" t="s">
        <v>939</v>
      </c>
      <c r="N20" s="22" t="s">
        <v>940</v>
      </c>
      <c r="O20" s="22" t="s">
        <v>941</v>
      </c>
      <c r="P20" s="24" t="s">
        <v>942</v>
      </c>
      <c r="Y20" s="14">
        <f>'School listing'!F23</f>
        <v>0</v>
      </c>
    </row>
    <row r="21" spans="1:25" x14ac:dyDescent="0.3">
      <c r="A21" s="768" t="s">
        <v>1419</v>
      </c>
      <c r="B21" s="770"/>
      <c r="C21" s="771"/>
      <c r="D21" s="770"/>
      <c r="F21" s="772" t="s">
        <v>1429</v>
      </c>
      <c r="G21" s="19">
        <v>-40000</v>
      </c>
      <c r="H21" s="15" t="s">
        <v>956</v>
      </c>
      <c r="I21" s="15" t="s">
        <v>21</v>
      </c>
      <c r="J21" s="15" t="s">
        <v>21</v>
      </c>
      <c r="K21" s="15" t="s">
        <v>976</v>
      </c>
      <c r="L21" s="15">
        <v>101</v>
      </c>
      <c r="M21" s="22" t="s">
        <v>943</v>
      </c>
      <c r="N21" s="22" t="s">
        <v>944</v>
      </c>
      <c r="O21" s="22" t="s">
        <v>945</v>
      </c>
      <c r="P21" s="24" t="s">
        <v>946</v>
      </c>
      <c r="Y21" s="14">
        <f>'School listing'!F24</f>
        <v>0</v>
      </c>
    </row>
    <row r="22" spans="1:25" x14ac:dyDescent="0.3">
      <c r="A22" s="768" t="s">
        <v>1416</v>
      </c>
      <c r="C22" s="771"/>
      <c r="D22" s="770"/>
      <c r="F22" s="772" t="s">
        <v>1429</v>
      </c>
      <c r="G22" s="775">
        <v>29850.75</v>
      </c>
      <c r="H22" s="15" t="s">
        <v>956</v>
      </c>
      <c r="I22" s="15" t="s">
        <v>880</v>
      </c>
      <c r="J22" s="15" t="s">
        <v>889</v>
      </c>
      <c r="K22" s="15" t="s">
        <v>878</v>
      </c>
      <c r="L22" s="15">
        <v>101</v>
      </c>
      <c r="M22" s="22" t="s">
        <v>947</v>
      </c>
      <c r="P22" s="24" t="s">
        <v>948</v>
      </c>
    </row>
    <row r="23" spans="1:25" x14ac:dyDescent="0.3">
      <c r="A23" s="768" t="s">
        <v>1417</v>
      </c>
      <c r="C23" s="771"/>
      <c r="D23" s="770"/>
      <c r="F23" s="772" t="s">
        <v>1429</v>
      </c>
      <c r="G23" s="775">
        <v>10149.25</v>
      </c>
      <c r="H23" s="15" t="s">
        <v>956</v>
      </c>
      <c r="I23" s="15" t="s">
        <v>880</v>
      </c>
      <c r="J23" s="15" t="s">
        <v>889</v>
      </c>
      <c r="K23" s="15" t="s">
        <v>882</v>
      </c>
      <c r="L23" s="15">
        <v>101</v>
      </c>
      <c r="M23" s="22" t="s">
        <v>949</v>
      </c>
      <c r="P23" s="24" t="s">
        <v>950</v>
      </c>
    </row>
    <row r="24" spans="1:25" x14ac:dyDescent="0.3">
      <c r="A24" s="768" t="s">
        <v>1419</v>
      </c>
      <c r="B24" s="770"/>
      <c r="C24" s="771"/>
      <c r="D24" s="770"/>
      <c r="F24" s="772" t="s">
        <v>1430</v>
      </c>
      <c r="G24" s="19">
        <v>-40000</v>
      </c>
      <c r="H24" s="15" t="s">
        <v>956</v>
      </c>
      <c r="I24" s="15" t="s">
        <v>21</v>
      </c>
      <c r="J24" s="15" t="s">
        <v>21</v>
      </c>
      <c r="K24" s="15" t="s">
        <v>976</v>
      </c>
      <c r="L24" s="15">
        <v>105</v>
      </c>
      <c r="M24" s="22" t="s">
        <v>951</v>
      </c>
      <c r="P24" s="24" t="s">
        <v>952</v>
      </c>
    </row>
    <row r="25" spans="1:25" x14ac:dyDescent="0.3">
      <c r="A25" s="768" t="s">
        <v>1416</v>
      </c>
      <c r="C25" s="771"/>
      <c r="D25" s="770"/>
      <c r="F25" s="772" t="s">
        <v>1430</v>
      </c>
      <c r="G25" s="775">
        <v>29850.75</v>
      </c>
      <c r="H25" s="15" t="s">
        <v>956</v>
      </c>
      <c r="I25" s="15" t="s">
        <v>880</v>
      </c>
      <c r="J25" s="15" t="s">
        <v>889</v>
      </c>
      <c r="K25" s="15" t="s">
        <v>878</v>
      </c>
      <c r="L25" s="15">
        <v>105</v>
      </c>
      <c r="M25" s="22" t="s">
        <v>953</v>
      </c>
      <c r="P25" s="668" t="s">
        <v>1292</v>
      </c>
    </row>
    <row r="26" spans="1:25" x14ac:dyDescent="0.3">
      <c r="A26" s="768" t="s">
        <v>1417</v>
      </c>
      <c r="C26" s="771"/>
      <c r="D26" s="770"/>
      <c r="F26" s="772" t="s">
        <v>1430</v>
      </c>
      <c r="G26" s="775">
        <v>10149.25</v>
      </c>
      <c r="H26" s="15" t="s">
        <v>956</v>
      </c>
      <c r="I26" s="15" t="s">
        <v>880</v>
      </c>
      <c r="J26" s="15" t="s">
        <v>889</v>
      </c>
      <c r="K26" s="15" t="s">
        <v>882</v>
      </c>
      <c r="L26" s="15">
        <v>105</v>
      </c>
      <c r="M26" s="22" t="s">
        <v>954</v>
      </c>
      <c r="P26" s="658" t="s">
        <v>1283</v>
      </c>
    </row>
    <row r="27" spans="1:25" x14ac:dyDescent="0.3">
      <c r="A27" s="768" t="s">
        <v>1420</v>
      </c>
      <c r="B27" s="770"/>
      <c r="C27" s="771"/>
      <c r="D27" s="770"/>
      <c r="F27" s="772" t="s">
        <v>1433</v>
      </c>
      <c r="G27" s="19">
        <v>-20308.71</v>
      </c>
      <c r="H27" s="15" t="s">
        <v>956</v>
      </c>
      <c r="I27" s="15" t="s">
        <v>21</v>
      </c>
      <c r="J27" s="15" t="s">
        <v>21</v>
      </c>
      <c r="K27" s="15" t="s">
        <v>976</v>
      </c>
      <c r="L27" s="15">
        <v>101</v>
      </c>
      <c r="M27" s="22" t="s">
        <v>956</v>
      </c>
      <c r="P27" s="24" t="s">
        <v>955</v>
      </c>
    </row>
    <row r="28" spans="1:25" x14ac:dyDescent="0.3">
      <c r="A28" s="768" t="s">
        <v>1421</v>
      </c>
      <c r="C28" s="771"/>
      <c r="D28" s="770"/>
      <c r="F28" s="772" t="s">
        <v>1433</v>
      </c>
      <c r="G28" s="775">
        <v>468.75</v>
      </c>
      <c r="H28" s="15" t="s">
        <v>956</v>
      </c>
      <c r="I28" s="15" t="s">
        <v>880</v>
      </c>
      <c r="J28" s="15" t="s">
        <v>889</v>
      </c>
      <c r="K28" s="15" t="s">
        <v>878</v>
      </c>
      <c r="L28" s="15">
        <v>101</v>
      </c>
      <c r="M28" s="22" t="s">
        <v>958</v>
      </c>
      <c r="P28" s="658" t="s">
        <v>1284</v>
      </c>
    </row>
    <row r="29" spans="1:25" x14ac:dyDescent="0.3">
      <c r="A29" s="768" t="s">
        <v>1416</v>
      </c>
      <c r="C29" s="771"/>
      <c r="D29" s="770"/>
      <c r="F29" s="772" t="s">
        <v>1433</v>
      </c>
      <c r="G29" s="775">
        <v>10593.43</v>
      </c>
      <c r="H29" s="15" t="s">
        <v>956</v>
      </c>
      <c r="I29" s="15" t="s">
        <v>880</v>
      </c>
      <c r="J29" s="15" t="s">
        <v>889</v>
      </c>
      <c r="K29" s="15" t="s">
        <v>878</v>
      </c>
      <c r="L29" s="15">
        <v>101</v>
      </c>
      <c r="M29" s="22" t="s">
        <v>960</v>
      </c>
      <c r="P29" s="658" t="s">
        <v>1285</v>
      </c>
    </row>
    <row r="30" spans="1:25" x14ac:dyDescent="0.3">
      <c r="A30" s="768" t="s">
        <v>1417</v>
      </c>
      <c r="C30" s="771"/>
      <c r="D30" s="770"/>
      <c r="F30" s="772" t="s">
        <v>1433</v>
      </c>
      <c r="G30" s="775">
        <v>5996.75</v>
      </c>
      <c r="H30" s="15" t="s">
        <v>956</v>
      </c>
      <c r="I30" s="15" t="s">
        <v>880</v>
      </c>
      <c r="J30" s="15" t="s">
        <v>889</v>
      </c>
      <c r="K30" s="15" t="s">
        <v>882</v>
      </c>
      <c r="L30" s="15">
        <v>101</v>
      </c>
      <c r="M30" s="22" t="s">
        <v>962</v>
      </c>
      <c r="P30" s="24" t="s">
        <v>957</v>
      </c>
    </row>
    <row r="31" spans="1:25" x14ac:dyDescent="0.3">
      <c r="A31" s="768" t="s">
        <v>1422</v>
      </c>
      <c r="C31" s="771"/>
      <c r="D31" s="770"/>
      <c r="F31" s="772" t="s">
        <v>1433</v>
      </c>
      <c r="G31" s="775">
        <v>1312.5</v>
      </c>
      <c r="H31" s="15" t="s">
        <v>956</v>
      </c>
      <c r="I31" s="15" t="s">
        <v>880</v>
      </c>
      <c r="J31" s="15" t="s">
        <v>893</v>
      </c>
      <c r="K31" s="15" t="s">
        <v>878</v>
      </c>
      <c r="L31" s="15">
        <v>101</v>
      </c>
      <c r="M31" s="22" t="s">
        <v>964</v>
      </c>
      <c r="P31" s="24" t="s">
        <v>959</v>
      </c>
    </row>
    <row r="32" spans="1:25" x14ac:dyDescent="0.3">
      <c r="A32" s="768" t="s">
        <v>1423</v>
      </c>
      <c r="C32" s="771"/>
      <c r="D32" s="770"/>
      <c r="F32" s="772" t="s">
        <v>1433</v>
      </c>
      <c r="G32" s="775">
        <v>318.77</v>
      </c>
      <c r="H32" s="15" t="s">
        <v>956</v>
      </c>
      <c r="I32" s="15" t="s">
        <v>880</v>
      </c>
      <c r="J32" s="15" t="s">
        <v>893</v>
      </c>
      <c r="K32" s="15" t="s">
        <v>882</v>
      </c>
      <c r="L32" s="15">
        <v>101</v>
      </c>
      <c r="M32" s="22" t="s">
        <v>966</v>
      </c>
      <c r="P32" s="24" t="s">
        <v>961</v>
      </c>
    </row>
    <row r="33" spans="1:16" x14ac:dyDescent="0.3">
      <c r="A33" s="768" t="s">
        <v>1424</v>
      </c>
      <c r="C33" s="771"/>
      <c r="D33" s="770"/>
      <c r="F33" s="772" t="s">
        <v>1433</v>
      </c>
      <c r="G33" s="770">
        <v>1618.51</v>
      </c>
      <c r="H33" s="15" t="s">
        <v>956</v>
      </c>
      <c r="I33" s="15" t="s">
        <v>880</v>
      </c>
      <c r="J33" s="15" t="s">
        <v>913</v>
      </c>
      <c r="K33" s="15" t="s">
        <v>918</v>
      </c>
      <c r="L33" s="15">
        <v>101</v>
      </c>
      <c r="M33" s="22" t="s">
        <v>968</v>
      </c>
      <c r="P33" s="24" t="s">
        <v>963</v>
      </c>
    </row>
    <row r="34" spans="1:16" x14ac:dyDescent="0.3">
      <c r="A34" s="768" t="s">
        <v>1420</v>
      </c>
      <c r="B34" s="770"/>
      <c r="C34" s="771"/>
      <c r="D34" s="770"/>
      <c r="F34" s="772" t="s">
        <v>1434</v>
      </c>
      <c r="G34" s="19">
        <v>-19837.189999999999</v>
      </c>
      <c r="H34" s="15" t="s">
        <v>956</v>
      </c>
      <c r="I34" s="15" t="s">
        <v>21</v>
      </c>
      <c r="J34" s="15" t="s">
        <v>21</v>
      </c>
      <c r="K34" s="15" t="s">
        <v>976</v>
      </c>
      <c r="L34" s="15">
        <v>105</v>
      </c>
      <c r="M34" s="22" t="s">
        <v>970</v>
      </c>
      <c r="P34" s="24" t="s">
        <v>965</v>
      </c>
    </row>
    <row r="35" spans="1:16" x14ac:dyDescent="0.3">
      <c r="A35" s="768" t="s">
        <v>1425</v>
      </c>
      <c r="C35" s="771"/>
      <c r="D35" s="770"/>
      <c r="F35" s="772" t="s">
        <v>1434</v>
      </c>
      <c r="G35" s="775">
        <v>750</v>
      </c>
      <c r="H35" s="15" t="s">
        <v>956</v>
      </c>
      <c r="I35" s="15" t="s">
        <v>880</v>
      </c>
      <c r="J35" s="15" t="s">
        <v>881</v>
      </c>
      <c r="K35" s="15" t="s">
        <v>878</v>
      </c>
      <c r="L35" s="15">
        <v>105</v>
      </c>
      <c r="M35" s="22" t="s">
        <v>972</v>
      </c>
      <c r="P35" s="24" t="s">
        <v>967</v>
      </c>
    </row>
    <row r="36" spans="1:16" x14ac:dyDescent="0.3">
      <c r="A36" s="768" t="s">
        <v>1426</v>
      </c>
      <c r="C36" s="771"/>
      <c r="D36" s="770"/>
      <c r="F36" s="772" t="s">
        <v>1434</v>
      </c>
      <c r="G36" s="775">
        <v>139.63999999999999</v>
      </c>
      <c r="H36" s="15" t="s">
        <v>956</v>
      </c>
      <c r="I36" s="15" t="s">
        <v>880</v>
      </c>
      <c r="J36" s="15" t="s">
        <v>881</v>
      </c>
      <c r="K36" s="15" t="s">
        <v>882</v>
      </c>
      <c r="L36" s="15">
        <v>105</v>
      </c>
      <c r="M36" s="22" t="s">
        <v>975</v>
      </c>
      <c r="P36" s="24" t="s">
        <v>969</v>
      </c>
    </row>
    <row r="37" spans="1:16" x14ac:dyDescent="0.3">
      <c r="A37" s="768" t="s">
        <v>1421</v>
      </c>
      <c r="C37" s="771"/>
      <c r="D37" s="770"/>
      <c r="F37" s="772" t="s">
        <v>1434</v>
      </c>
      <c r="G37" s="775">
        <v>412.5</v>
      </c>
      <c r="H37" s="15" t="s">
        <v>956</v>
      </c>
      <c r="I37" s="15" t="s">
        <v>880</v>
      </c>
      <c r="J37" s="15" t="s">
        <v>889</v>
      </c>
      <c r="K37" s="15" t="s">
        <v>878</v>
      </c>
      <c r="L37" s="15">
        <v>105</v>
      </c>
      <c r="M37" s="22" t="s">
        <v>977</v>
      </c>
      <c r="P37" s="24" t="s">
        <v>971</v>
      </c>
    </row>
    <row r="38" spans="1:16" x14ac:dyDescent="0.3">
      <c r="A38" s="768" t="s">
        <v>1416</v>
      </c>
      <c r="C38" s="771"/>
      <c r="D38" s="770"/>
      <c r="F38" s="772" t="s">
        <v>1434</v>
      </c>
      <c r="G38" s="775">
        <v>9968.1200000000008</v>
      </c>
      <c r="H38" s="15" t="s">
        <v>956</v>
      </c>
      <c r="I38" s="15" t="s">
        <v>880</v>
      </c>
      <c r="J38" s="15" t="s">
        <v>889</v>
      </c>
      <c r="K38" s="15" t="s">
        <v>878</v>
      </c>
      <c r="L38" s="15">
        <v>105</v>
      </c>
      <c r="M38" s="22" t="s">
        <v>979</v>
      </c>
      <c r="P38" s="24" t="s">
        <v>973</v>
      </c>
    </row>
    <row r="39" spans="1:16" x14ac:dyDescent="0.3">
      <c r="A39" s="768" t="s">
        <v>1417</v>
      </c>
      <c r="C39" s="771"/>
      <c r="D39" s="770"/>
      <c r="F39" s="772" t="s">
        <v>1434</v>
      </c>
      <c r="G39" s="775">
        <v>5097.51</v>
      </c>
      <c r="H39" s="15" t="s">
        <v>956</v>
      </c>
      <c r="I39" s="15" t="s">
        <v>880</v>
      </c>
      <c r="J39" s="15" t="s">
        <v>889</v>
      </c>
      <c r="K39" s="15" t="s">
        <v>882</v>
      </c>
      <c r="L39" s="15">
        <v>105</v>
      </c>
      <c r="M39" s="22" t="s">
        <v>981</v>
      </c>
      <c r="P39" s="24" t="s">
        <v>974</v>
      </c>
    </row>
    <row r="40" spans="1:16" x14ac:dyDescent="0.3">
      <c r="A40" s="768" t="s">
        <v>1427</v>
      </c>
      <c r="C40" s="771"/>
      <c r="D40" s="770"/>
      <c r="F40" s="772" t="s">
        <v>1434</v>
      </c>
      <c r="G40" s="775">
        <v>2000</v>
      </c>
      <c r="H40" s="15" t="s">
        <v>956</v>
      </c>
      <c r="I40" s="15" t="s">
        <v>880</v>
      </c>
      <c r="J40" s="15" t="s">
        <v>889</v>
      </c>
      <c r="K40" s="15" t="s">
        <v>890</v>
      </c>
      <c r="L40" s="15">
        <v>105</v>
      </c>
      <c r="M40" s="22" t="s">
        <v>983</v>
      </c>
      <c r="P40" s="24" t="s">
        <v>976</v>
      </c>
    </row>
    <row r="41" spans="1:16" x14ac:dyDescent="0.3">
      <c r="A41" s="768" t="s">
        <v>1424</v>
      </c>
      <c r="C41" s="771"/>
      <c r="D41" s="770"/>
      <c r="F41" s="772" t="s">
        <v>1434</v>
      </c>
      <c r="G41" s="770">
        <v>1469.42</v>
      </c>
      <c r="H41" s="15" t="s">
        <v>956</v>
      </c>
      <c r="I41" s="15" t="s">
        <v>880</v>
      </c>
      <c r="J41" s="15" t="s">
        <v>913</v>
      </c>
      <c r="K41" s="15" t="s">
        <v>918</v>
      </c>
      <c r="L41" s="15">
        <v>105</v>
      </c>
      <c r="M41" s="22" t="s">
        <v>985</v>
      </c>
      <c r="P41" s="24" t="s">
        <v>978</v>
      </c>
    </row>
    <row r="42" spans="1:16" ht="15" hidden="1" thickTop="1" x14ac:dyDescent="0.3">
      <c r="A42" s="768" t="s">
        <v>1431</v>
      </c>
      <c r="B42" s="773"/>
      <c r="C42" s="771"/>
      <c r="D42" s="773"/>
      <c r="F42" s="772" t="s">
        <v>1432</v>
      </c>
      <c r="G42" s="20">
        <v>-64750</v>
      </c>
      <c r="H42" s="14" t="s">
        <v>876</v>
      </c>
      <c r="I42" s="14" t="s">
        <v>21</v>
      </c>
      <c r="J42" s="14" t="s">
        <v>21</v>
      </c>
      <c r="K42" s="14" t="s">
        <v>955</v>
      </c>
      <c r="L42" s="15">
        <v>101</v>
      </c>
      <c r="P42" s="24" t="s">
        <v>980</v>
      </c>
    </row>
    <row r="43" spans="1:16" x14ac:dyDescent="0.3">
      <c r="A43" s="768" t="s">
        <v>1435</v>
      </c>
      <c r="B43" s="770"/>
      <c r="C43" s="771"/>
      <c r="D43" s="770"/>
      <c r="F43" s="772" t="s">
        <v>1437</v>
      </c>
      <c r="G43" s="20">
        <v>-1428.38</v>
      </c>
      <c r="H43" s="15" t="s">
        <v>954</v>
      </c>
      <c r="I43" s="15" t="s">
        <v>21</v>
      </c>
      <c r="J43" s="15" t="s">
        <v>21</v>
      </c>
      <c r="K43" s="15" t="s">
        <v>976</v>
      </c>
      <c r="L43" s="15">
        <v>101</v>
      </c>
      <c r="P43" s="24" t="s">
        <v>982</v>
      </c>
    </row>
    <row r="44" spans="1:16" x14ac:dyDescent="0.3">
      <c r="A44" s="768" t="s">
        <v>1416</v>
      </c>
      <c r="C44" s="771"/>
      <c r="D44" s="770"/>
      <c r="F44" s="772" t="s">
        <v>1437</v>
      </c>
      <c r="G44" s="775">
        <v>1098.75</v>
      </c>
      <c r="H44" s="15" t="s">
        <v>954</v>
      </c>
      <c r="I44" s="15" t="s">
        <v>880</v>
      </c>
      <c r="J44" s="15" t="s">
        <v>889</v>
      </c>
      <c r="K44" s="15" t="s">
        <v>878</v>
      </c>
      <c r="L44" s="15">
        <v>101</v>
      </c>
      <c r="P44" s="24" t="s">
        <v>984</v>
      </c>
    </row>
    <row r="45" spans="1:16" x14ac:dyDescent="0.3">
      <c r="A45" s="768" t="s">
        <v>1417</v>
      </c>
      <c r="C45" s="771"/>
      <c r="D45" s="770"/>
      <c r="F45" s="772" t="s">
        <v>1437</v>
      </c>
      <c r="G45" s="775">
        <v>329</v>
      </c>
      <c r="H45" s="15" t="s">
        <v>954</v>
      </c>
      <c r="I45" s="15" t="s">
        <v>880</v>
      </c>
      <c r="J45" s="15" t="s">
        <v>889</v>
      </c>
      <c r="K45" s="15" t="s">
        <v>882</v>
      </c>
      <c r="L45" s="15">
        <v>101</v>
      </c>
    </row>
    <row r="46" spans="1:16" ht="15" hidden="1" thickTop="1" x14ac:dyDescent="0.3">
      <c r="A46" s="768" t="s">
        <v>1436</v>
      </c>
      <c r="B46" s="773"/>
      <c r="C46" s="771"/>
      <c r="D46" s="773"/>
      <c r="F46" s="772" t="s">
        <v>1438</v>
      </c>
      <c r="G46" s="20">
        <v>-10000</v>
      </c>
      <c r="H46" s="14" t="s">
        <v>876</v>
      </c>
      <c r="I46" s="14" t="s">
        <v>21</v>
      </c>
      <c r="J46" s="14" t="s">
        <v>21</v>
      </c>
      <c r="K46" s="14" t="s">
        <v>955</v>
      </c>
      <c r="L46" s="15">
        <v>101</v>
      </c>
    </row>
    <row r="47" spans="1:16" x14ac:dyDescent="0.3">
      <c r="A47" s="768" t="s">
        <v>1439</v>
      </c>
      <c r="B47" s="770"/>
      <c r="C47" s="771"/>
      <c r="D47" s="770"/>
      <c r="F47" s="772" t="s">
        <v>1515</v>
      </c>
      <c r="G47" s="20">
        <v>-19642.810000000001</v>
      </c>
      <c r="H47" s="14" t="s">
        <v>919</v>
      </c>
      <c r="I47" s="14" t="s">
        <v>21</v>
      </c>
      <c r="J47" s="14" t="s">
        <v>21</v>
      </c>
      <c r="K47" s="14" t="s">
        <v>976</v>
      </c>
      <c r="L47" s="14">
        <v>101</v>
      </c>
    </row>
    <row r="48" spans="1:16" x14ac:dyDescent="0.3">
      <c r="A48" s="768" t="s">
        <v>1440</v>
      </c>
      <c r="C48" s="771"/>
      <c r="D48" s="770"/>
      <c r="F48" s="772" t="s">
        <v>1515</v>
      </c>
      <c r="G48" s="775">
        <v>11395</v>
      </c>
      <c r="H48" s="14" t="s">
        <v>919</v>
      </c>
      <c r="I48" s="14" t="s">
        <v>884</v>
      </c>
      <c r="J48" s="14" t="s">
        <v>881</v>
      </c>
      <c r="K48" s="14" t="s">
        <v>878</v>
      </c>
      <c r="L48" s="14">
        <v>101</v>
      </c>
    </row>
    <row r="49" spans="1:12" x14ac:dyDescent="0.3">
      <c r="A49" s="768" t="s">
        <v>1441</v>
      </c>
      <c r="C49" s="771"/>
      <c r="D49" s="770"/>
      <c r="F49" s="772" t="s">
        <v>1515</v>
      </c>
      <c r="G49" s="775">
        <v>2303</v>
      </c>
      <c r="H49" s="14" t="s">
        <v>919</v>
      </c>
      <c r="I49" s="14" t="s">
        <v>884</v>
      </c>
      <c r="J49" s="14" t="s">
        <v>881</v>
      </c>
      <c r="K49" s="14" t="s">
        <v>882</v>
      </c>
      <c r="L49" s="14">
        <v>101</v>
      </c>
    </row>
    <row r="50" spans="1:12" x14ac:dyDescent="0.3">
      <c r="A50" s="768" t="s">
        <v>1442</v>
      </c>
      <c r="C50" s="771"/>
      <c r="D50" s="770"/>
      <c r="F50" s="772" t="s">
        <v>1515</v>
      </c>
      <c r="G50" s="775">
        <v>5944.81</v>
      </c>
      <c r="H50" s="14" t="s">
        <v>919</v>
      </c>
      <c r="I50" s="14" t="s">
        <v>884</v>
      </c>
      <c r="J50" s="14" t="s">
        <v>889</v>
      </c>
      <c r="K50" s="14" t="s">
        <v>886</v>
      </c>
      <c r="L50" s="14">
        <v>101</v>
      </c>
    </row>
    <row r="51" spans="1:12" x14ac:dyDescent="0.3">
      <c r="A51" s="768" t="s">
        <v>1439</v>
      </c>
      <c r="B51" s="770"/>
      <c r="C51" s="771"/>
      <c r="D51" s="770"/>
      <c r="F51" s="772" t="s">
        <v>1516</v>
      </c>
      <c r="G51" s="20">
        <v>-6246</v>
      </c>
      <c r="H51" s="14" t="s">
        <v>919</v>
      </c>
      <c r="I51" s="14" t="s">
        <v>21</v>
      </c>
      <c r="J51" s="14" t="s">
        <v>21</v>
      </c>
      <c r="K51" s="14" t="s">
        <v>976</v>
      </c>
      <c r="L51" s="14">
        <v>105</v>
      </c>
    </row>
    <row r="52" spans="1:12" x14ac:dyDescent="0.3">
      <c r="A52" s="768" t="s">
        <v>1440</v>
      </c>
      <c r="C52" s="771"/>
      <c r="D52" s="770"/>
      <c r="F52" s="772" t="s">
        <v>1516</v>
      </c>
      <c r="G52" s="775">
        <v>5040</v>
      </c>
      <c r="H52" s="14" t="s">
        <v>919</v>
      </c>
      <c r="I52" s="14" t="s">
        <v>884</v>
      </c>
      <c r="J52" s="14" t="s">
        <v>881</v>
      </c>
      <c r="K52" s="14" t="s">
        <v>878</v>
      </c>
      <c r="L52" s="14">
        <v>105</v>
      </c>
    </row>
    <row r="53" spans="1:12" x14ac:dyDescent="0.3">
      <c r="A53" s="768" t="s">
        <v>1441</v>
      </c>
      <c r="C53" s="771"/>
      <c r="D53" s="770"/>
      <c r="F53" s="772" t="s">
        <v>1516</v>
      </c>
      <c r="G53" s="775">
        <v>936</v>
      </c>
      <c r="H53" s="14" t="s">
        <v>919</v>
      </c>
      <c r="I53" s="14" t="s">
        <v>884</v>
      </c>
      <c r="J53" s="14" t="s">
        <v>881</v>
      </c>
      <c r="K53" s="14" t="s">
        <v>882</v>
      </c>
      <c r="L53" s="14">
        <v>105</v>
      </c>
    </row>
    <row r="54" spans="1:12" x14ac:dyDescent="0.3">
      <c r="A54" s="768" t="s">
        <v>1442</v>
      </c>
      <c r="C54" s="771"/>
      <c r="D54" s="770"/>
      <c r="F54" s="772" t="s">
        <v>1516</v>
      </c>
      <c r="G54" s="775">
        <v>270</v>
      </c>
      <c r="H54" s="14" t="s">
        <v>919</v>
      </c>
      <c r="I54" s="14" t="s">
        <v>884</v>
      </c>
      <c r="J54" s="14" t="s">
        <v>889</v>
      </c>
      <c r="K54" s="14" t="s">
        <v>886</v>
      </c>
      <c r="L54" s="14">
        <v>105</v>
      </c>
    </row>
    <row r="55" spans="1:12" hidden="1" x14ac:dyDescent="0.3">
      <c r="A55" s="768" t="s">
        <v>1443</v>
      </c>
      <c r="B55" s="770"/>
      <c r="C55" s="771"/>
      <c r="D55" s="770"/>
      <c r="F55" s="772" t="s">
        <v>1514</v>
      </c>
      <c r="G55" s="20">
        <v>-10929.28</v>
      </c>
      <c r="H55" s="14" t="s">
        <v>879</v>
      </c>
      <c r="I55" s="15" t="s">
        <v>21</v>
      </c>
      <c r="J55" s="14" t="s">
        <v>21</v>
      </c>
      <c r="K55" s="14" t="s">
        <v>971</v>
      </c>
      <c r="L55" s="14">
        <v>101</v>
      </c>
    </row>
    <row r="56" spans="1:12" hidden="1" x14ac:dyDescent="0.3">
      <c r="A56" s="768" t="s">
        <v>1416</v>
      </c>
      <c r="B56" s="770"/>
      <c r="C56" s="771"/>
      <c r="D56" s="770"/>
      <c r="F56" s="772" t="s">
        <v>1514</v>
      </c>
      <c r="G56" s="777">
        <v>9185.24</v>
      </c>
      <c r="H56" s="14" t="s">
        <v>879</v>
      </c>
      <c r="I56" s="15" t="s">
        <v>880</v>
      </c>
      <c r="J56" s="14" t="s">
        <v>889</v>
      </c>
      <c r="K56" s="14" t="s">
        <v>878</v>
      </c>
      <c r="L56" s="14">
        <v>101</v>
      </c>
    </row>
    <row r="57" spans="1:12" hidden="1" x14ac:dyDescent="0.3">
      <c r="A57" s="768" t="s">
        <v>1417</v>
      </c>
      <c r="B57" s="770"/>
      <c r="C57" s="771"/>
      <c r="D57" s="770"/>
      <c r="F57" s="772" t="s">
        <v>1514</v>
      </c>
      <c r="G57" s="777">
        <v>1837.05</v>
      </c>
      <c r="H57" s="14" t="s">
        <v>879</v>
      </c>
      <c r="I57" s="15" t="s">
        <v>880</v>
      </c>
      <c r="J57" s="14" t="s">
        <v>889</v>
      </c>
      <c r="K57" s="14" t="s">
        <v>882</v>
      </c>
      <c r="L57" s="14">
        <v>101</v>
      </c>
    </row>
    <row r="58" spans="1:12" hidden="1" x14ac:dyDescent="0.3">
      <c r="A58" s="768" t="s">
        <v>1444</v>
      </c>
      <c r="F58" s="772" t="s">
        <v>1517</v>
      </c>
      <c r="G58" s="778">
        <v>103645.9</v>
      </c>
      <c r="H58" s="14" t="s">
        <v>876</v>
      </c>
      <c r="I58" s="15" t="s">
        <v>880</v>
      </c>
      <c r="J58" s="14" t="s">
        <v>881</v>
      </c>
      <c r="K58" s="14" t="s">
        <v>878</v>
      </c>
      <c r="L58" s="14">
        <v>101</v>
      </c>
    </row>
    <row r="59" spans="1:12" hidden="1" x14ac:dyDescent="0.3">
      <c r="A59" s="768" t="s">
        <v>1445</v>
      </c>
      <c r="F59" s="772" t="s">
        <v>1517</v>
      </c>
      <c r="G59" s="778">
        <v>630</v>
      </c>
      <c r="H59" s="14" t="s">
        <v>876</v>
      </c>
      <c r="I59" s="15" t="s">
        <v>880</v>
      </c>
      <c r="J59" s="14" t="s">
        <v>881</v>
      </c>
      <c r="K59" s="14" t="s">
        <v>878</v>
      </c>
      <c r="L59" s="14">
        <v>101</v>
      </c>
    </row>
    <row r="60" spans="1:12" hidden="1" x14ac:dyDescent="0.3">
      <c r="A60" s="768" t="s">
        <v>1425</v>
      </c>
      <c r="F60" s="772" t="s">
        <v>1517</v>
      </c>
      <c r="G60" s="778">
        <f>47686.5-4230-4540</f>
        <v>38916.5</v>
      </c>
      <c r="H60" s="14" t="s">
        <v>876</v>
      </c>
      <c r="I60" s="15" t="s">
        <v>880</v>
      </c>
      <c r="J60" s="14" t="s">
        <v>881</v>
      </c>
      <c r="K60" s="14" t="s">
        <v>878</v>
      </c>
      <c r="L60" s="14">
        <v>101</v>
      </c>
    </row>
    <row r="61" spans="1:12" hidden="1" x14ac:dyDescent="0.3">
      <c r="A61" s="768" t="s">
        <v>1446</v>
      </c>
      <c r="F61" s="772" t="s">
        <v>1517</v>
      </c>
      <c r="G61" s="778">
        <v>39601.050000000003</v>
      </c>
      <c r="H61" s="14" t="s">
        <v>876</v>
      </c>
      <c r="I61" s="15" t="s">
        <v>880</v>
      </c>
      <c r="J61" s="14" t="s">
        <v>881</v>
      </c>
      <c r="K61" s="14" t="s">
        <v>878</v>
      </c>
      <c r="L61" s="14">
        <v>101</v>
      </c>
    </row>
    <row r="62" spans="1:12" hidden="1" x14ac:dyDescent="0.3">
      <c r="A62" s="768" t="s">
        <v>1447</v>
      </c>
      <c r="F62" s="772" t="s">
        <v>1517</v>
      </c>
      <c r="G62" s="778">
        <v>2370</v>
      </c>
      <c r="H62" s="14" t="s">
        <v>876</v>
      </c>
      <c r="I62" s="15" t="s">
        <v>880</v>
      </c>
      <c r="J62" s="14" t="s">
        <v>881</v>
      </c>
      <c r="K62" s="14" t="s">
        <v>878</v>
      </c>
      <c r="L62" s="14">
        <v>101</v>
      </c>
    </row>
    <row r="63" spans="1:12" hidden="1" x14ac:dyDescent="0.3">
      <c r="A63" s="768" t="s">
        <v>1426</v>
      </c>
      <c r="F63" s="772" t="s">
        <v>1517</v>
      </c>
      <c r="G63" s="778">
        <v>66044.87</v>
      </c>
      <c r="H63" s="14" t="s">
        <v>876</v>
      </c>
      <c r="I63" s="15" t="s">
        <v>880</v>
      </c>
      <c r="J63" s="14" t="s">
        <v>881</v>
      </c>
      <c r="K63" s="14" t="s">
        <v>882</v>
      </c>
      <c r="L63" s="14">
        <v>101</v>
      </c>
    </row>
    <row r="64" spans="1:12" hidden="1" x14ac:dyDescent="0.3">
      <c r="A64" s="768" t="s">
        <v>1448</v>
      </c>
      <c r="F64" s="772" t="s">
        <v>1517</v>
      </c>
      <c r="G64" s="778">
        <v>5939.82</v>
      </c>
      <c r="H64" s="14" t="s">
        <v>876</v>
      </c>
      <c r="I64" s="15" t="s">
        <v>880</v>
      </c>
      <c r="J64" s="14" t="s">
        <v>881</v>
      </c>
      <c r="K64" s="14" t="s">
        <v>886</v>
      </c>
      <c r="L64" s="14">
        <v>101</v>
      </c>
    </row>
    <row r="65" spans="1:12" hidden="1" x14ac:dyDescent="0.3">
      <c r="A65" s="768" t="s">
        <v>1449</v>
      </c>
      <c r="F65" s="772" t="s">
        <v>1517</v>
      </c>
      <c r="G65" s="778">
        <v>1938.28</v>
      </c>
      <c r="H65" s="14" t="s">
        <v>876</v>
      </c>
      <c r="I65" s="15" t="s">
        <v>880</v>
      </c>
      <c r="J65" s="14" t="s">
        <v>881</v>
      </c>
      <c r="K65" s="14" t="s">
        <v>886</v>
      </c>
      <c r="L65" s="14">
        <v>101</v>
      </c>
    </row>
    <row r="66" spans="1:12" hidden="1" x14ac:dyDescent="0.3">
      <c r="A66" s="768" t="s">
        <v>1450</v>
      </c>
      <c r="F66" s="772" t="s">
        <v>1517</v>
      </c>
      <c r="G66" s="778">
        <v>149.55000000000001</v>
      </c>
      <c r="H66" s="14" t="s">
        <v>876</v>
      </c>
      <c r="I66" s="15" t="s">
        <v>880</v>
      </c>
      <c r="J66" s="14" t="s">
        <v>881</v>
      </c>
      <c r="K66" s="14" t="s">
        <v>886</v>
      </c>
      <c r="L66" s="14">
        <v>101</v>
      </c>
    </row>
    <row r="67" spans="1:12" hidden="1" x14ac:dyDescent="0.3">
      <c r="A67" s="768" t="s">
        <v>1407</v>
      </c>
      <c r="F67" s="772" t="s">
        <v>1517</v>
      </c>
      <c r="G67" s="778">
        <v>3.99</v>
      </c>
      <c r="H67" s="14" t="s">
        <v>876</v>
      </c>
      <c r="I67" s="15" t="s">
        <v>880</v>
      </c>
      <c r="J67" s="14" t="s">
        <v>881</v>
      </c>
      <c r="K67" s="14" t="s">
        <v>886</v>
      </c>
      <c r="L67" s="14">
        <v>101</v>
      </c>
    </row>
    <row r="68" spans="1:12" hidden="1" x14ac:dyDescent="0.3">
      <c r="A68" s="768" t="s">
        <v>1451</v>
      </c>
      <c r="F68" s="772" t="s">
        <v>1517</v>
      </c>
      <c r="G68" s="778">
        <v>1342.01</v>
      </c>
      <c r="H68" s="14" t="s">
        <v>876</v>
      </c>
      <c r="I68" s="15" t="s">
        <v>880</v>
      </c>
      <c r="J68" s="14" t="s">
        <v>881</v>
      </c>
      <c r="K68" s="14" t="s">
        <v>890</v>
      </c>
      <c r="L68" s="14">
        <v>101</v>
      </c>
    </row>
    <row r="69" spans="1:12" hidden="1" x14ac:dyDescent="0.3">
      <c r="A69" s="768" t="s">
        <v>1452</v>
      </c>
      <c r="F69" s="772" t="s">
        <v>1517</v>
      </c>
      <c r="G69" s="778">
        <v>104.32</v>
      </c>
      <c r="H69" s="14" t="s">
        <v>876</v>
      </c>
      <c r="I69" s="15" t="s">
        <v>880</v>
      </c>
      <c r="J69" s="14" t="s">
        <v>881</v>
      </c>
      <c r="K69" s="14" t="s">
        <v>890</v>
      </c>
      <c r="L69" s="14">
        <v>101</v>
      </c>
    </row>
    <row r="70" spans="1:12" hidden="1" x14ac:dyDescent="0.3">
      <c r="A70" s="768" t="s">
        <v>1453</v>
      </c>
      <c r="F70" s="772" t="s">
        <v>1517</v>
      </c>
      <c r="G70" s="778">
        <v>50.55</v>
      </c>
      <c r="H70" s="14" t="s">
        <v>876</v>
      </c>
      <c r="I70" s="15" t="s">
        <v>880</v>
      </c>
      <c r="J70" s="14" t="s">
        <v>881</v>
      </c>
      <c r="K70" s="14" t="s">
        <v>890</v>
      </c>
      <c r="L70" s="14">
        <v>101</v>
      </c>
    </row>
    <row r="71" spans="1:12" hidden="1" x14ac:dyDescent="0.3">
      <c r="A71" s="768" t="s">
        <v>1454</v>
      </c>
      <c r="F71" s="772" t="s">
        <v>1517</v>
      </c>
      <c r="G71" s="778">
        <v>164.58</v>
      </c>
      <c r="H71" s="14" t="s">
        <v>876</v>
      </c>
      <c r="I71" s="15" t="s">
        <v>880</v>
      </c>
      <c r="J71" s="14" t="s">
        <v>881</v>
      </c>
      <c r="K71" s="14" t="s">
        <v>890</v>
      </c>
      <c r="L71" s="14">
        <v>101</v>
      </c>
    </row>
    <row r="72" spans="1:12" hidden="1" x14ac:dyDescent="0.3">
      <c r="A72" s="768" t="s">
        <v>1455</v>
      </c>
      <c r="F72" s="772" t="s">
        <v>1517</v>
      </c>
      <c r="G72" s="778">
        <v>27542.03</v>
      </c>
      <c r="H72" s="14" t="s">
        <v>876</v>
      </c>
      <c r="I72" s="15" t="s">
        <v>880</v>
      </c>
      <c r="J72" s="14" t="s">
        <v>881</v>
      </c>
      <c r="K72" s="14" t="s">
        <v>890</v>
      </c>
      <c r="L72" s="14">
        <v>101</v>
      </c>
    </row>
    <row r="73" spans="1:12" hidden="1" x14ac:dyDescent="0.3">
      <c r="A73" s="768" t="s">
        <v>1456</v>
      </c>
      <c r="F73" s="772" t="s">
        <v>1517</v>
      </c>
      <c r="G73" s="778">
        <v>25.05</v>
      </c>
      <c r="H73" s="14" t="s">
        <v>876</v>
      </c>
      <c r="I73" s="15" t="s">
        <v>880</v>
      </c>
      <c r="J73" s="14" t="s">
        <v>881</v>
      </c>
      <c r="K73" s="14" t="s">
        <v>890</v>
      </c>
      <c r="L73" s="14">
        <v>101</v>
      </c>
    </row>
    <row r="74" spans="1:12" hidden="1" x14ac:dyDescent="0.3">
      <c r="A74" s="768" t="s">
        <v>1457</v>
      </c>
      <c r="F74" s="772" t="s">
        <v>1517</v>
      </c>
      <c r="G74" s="778">
        <v>740.7</v>
      </c>
      <c r="H74" s="14" t="s">
        <v>876</v>
      </c>
      <c r="I74" s="15" t="s">
        <v>880</v>
      </c>
      <c r="J74" s="14" t="s">
        <v>881</v>
      </c>
      <c r="K74" s="14" t="s">
        <v>898</v>
      </c>
      <c r="L74" s="14">
        <v>101</v>
      </c>
    </row>
    <row r="75" spans="1:12" hidden="1" x14ac:dyDescent="0.3">
      <c r="A75" s="768" t="s">
        <v>1421</v>
      </c>
      <c r="F75" s="772" t="s">
        <v>1517</v>
      </c>
      <c r="G75" s="778">
        <v>181.25</v>
      </c>
      <c r="H75" s="14" t="s">
        <v>876</v>
      </c>
      <c r="I75" s="15" t="s">
        <v>880</v>
      </c>
      <c r="J75" s="14" t="s">
        <v>889</v>
      </c>
      <c r="K75" s="14" t="s">
        <v>878</v>
      </c>
      <c r="L75" s="14">
        <v>101</v>
      </c>
    </row>
    <row r="76" spans="1:12" hidden="1" x14ac:dyDescent="0.3">
      <c r="A76" s="768" t="s">
        <v>1458</v>
      </c>
      <c r="F76" s="772" t="s">
        <v>1517</v>
      </c>
      <c r="G76" s="778">
        <v>1320</v>
      </c>
      <c r="H76" s="14" t="s">
        <v>876</v>
      </c>
      <c r="I76" s="15" t="s">
        <v>880</v>
      </c>
      <c r="J76" s="14" t="s">
        <v>889</v>
      </c>
      <c r="K76" s="14" t="s">
        <v>878</v>
      </c>
      <c r="L76" s="14">
        <v>101</v>
      </c>
    </row>
    <row r="77" spans="1:12" hidden="1" x14ac:dyDescent="0.3">
      <c r="A77" s="768" t="s">
        <v>1459</v>
      </c>
      <c r="F77" s="772" t="s">
        <v>1517</v>
      </c>
      <c r="G77" s="778">
        <v>63240.9</v>
      </c>
      <c r="H77" s="14" t="s">
        <v>876</v>
      </c>
      <c r="I77" s="15" t="s">
        <v>880</v>
      </c>
      <c r="J77" s="14" t="s">
        <v>889</v>
      </c>
      <c r="K77" s="14" t="s">
        <v>878</v>
      </c>
      <c r="L77" s="14">
        <v>101</v>
      </c>
    </row>
    <row r="78" spans="1:12" hidden="1" x14ac:dyDescent="0.3">
      <c r="A78" s="768" t="s">
        <v>1416</v>
      </c>
      <c r="F78" s="772" t="s">
        <v>1517</v>
      </c>
      <c r="G78" s="778">
        <v>23772.62</v>
      </c>
      <c r="H78" s="14" t="s">
        <v>876</v>
      </c>
      <c r="I78" s="15" t="s">
        <v>880</v>
      </c>
      <c r="J78" s="14" t="s">
        <v>889</v>
      </c>
      <c r="K78" s="14" t="s">
        <v>878</v>
      </c>
      <c r="L78" s="14">
        <v>101</v>
      </c>
    </row>
    <row r="79" spans="1:12" hidden="1" x14ac:dyDescent="0.3">
      <c r="A79" s="768" t="s">
        <v>1417</v>
      </c>
      <c r="F79" s="772" t="s">
        <v>1517</v>
      </c>
      <c r="G79" s="778">
        <f>24095.83</f>
        <v>24095.83</v>
      </c>
      <c r="H79" s="14" t="s">
        <v>876</v>
      </c>
      <c r="I79" s="15" t="s">
        <v>880</v>
      </c>
      <c r="J79" s="14" t="s">
        <v>889</v>
      </c>
      <c r="K79" s="14" t="s">
        <v>882</v>
      </c>
      <c r="L79" s="14">
        <v>101</v>
      </c>
    </row>
    <row r="80" spans="1:12" hidden="1" x14ac:dyDescent="0.3">
      <c r="A80" s="768" t="s">
        <v>1460</v>
      </c>
      <c r="F80" s="772" t="s">
        <v>1517</v>
      </c>
      <c r="G80" s="778">
        <v>3730.78</v>
      </c>
      <c r="H80" s="14" t="s">
        <v>876</v>
      </c>
      <c r="I80" s="15" t="s">
        <v>880</v>
      </c>
      <c r="J80" s="14" t="s">
        <v>889</v>
      </c>
      <c r="K80" s="14" t="s">
        <v>886</v>
      </c>
      <c r="L80" s="14">
        <v>101</v>
      </c>
    </row>
    <row r="81" spans="1:12" hidden="1" x14ac:dyDescent="0.3">
      <c r="A81" s="768" t="s">
        <v>1461</v>
      </c>
      <c r="F81" s="772" t="s">
        <v>1517</v>
      </c>
      <c r="G81" s="778">
        <v>11499.12</v>
      </c>
      <c r="H81" s="14" t="s">
        <v>876</v>
      </c>
      <c r="I81" s="15" t="s">
        <v>880</v>
      </c>
      <c r="J81" s="14" t="s">
        <v>889</v>
      </c>
      <c r="K81" s="14" t="s">
        <v>886</v>
      </c>
      <c r="L81" s="14">
        <v>101</v>
      </c>
    </row>
    <row r="82" spans="1:12" hidden="1" x14ac:dyDescent="0.3">
      <c r="A82" s="768" t="s">
        <v>1408</v>
      </c>
      <c r="F82" s="772" t="s">
        <v>1517</v>
      </c>
      <c r="G82" s="778">
        <v>1226.8599999999999</v>
      </c>
      <c r="H82" s="14" t="s">
        <v>876</v>
      </c>
      <c r="I82" s="15" t="s">
        <v>880</v>
      </c>
      <c r="J82" s="14" t="s">
        <v>889</v>
      </c>
      <c r="K82" s="14" t="s">
        <v>890</v>
      </c>
      <c r="L82" s="14">
        <v>101</v>
      </c>
    </row>
    <row r="83" spans="1:12" hidden="1" x14ac:dyDescent="0.3">
      <c r="A83" s="768" t="s">
        <v>1402</v>
      </c>
      <c r="F83" s="772" t="s">
        <v>1517</v>
      </c>
      <c r="G83" s="778">
        <v>491.35</v>
      </c>
      <c r="H83" s="14" t="s">
        <v>876</v>
      </c>
      <c r="I83" s="15" t="s">
        <v>880</v>
      </c>
      <c r="J83" s="14" t="s">
        <v>889</v>
      </c>
      <c r="K83" s="14" t="s">
        <v>890</v>
      </c>
      <c r="L83" s="14">
        <v>101</v>
      </c>
    </row>
    <row r="84" spans="1:12" hidden="1" x14ac:dyDescent="0.3">
      <c r="A84" s="768" t="s">
        <v>1427</v>
      </c>
      <c r="F84" s="772" t="s">
        <v>1517</v>
      </c>
      <c r="G84" s="778">
        <v>3000</v>
      </c>
      <c r="H84" s="14" t="s">
        <v>876</v>
      </c>
      <c r="I84" s="15" t="s">
        <v>880</v>
      </c>
      <c r="J84" s="14" t="s">
        <v>889</v>
      </c>
      <c r="K84" s="14" t="s">
        <v>890</v>
      </c>
      <c r="L84" s="14">
        <v>101</v>
      </c>
    </row>
    <row r="85" spans="1:12" hidden="1" x14ac:dyDescent="0.3">
      <c r="A85" s="768" t="s">
        <v>1462</v>
      </c>
      <c r="F85" s="772" t="s">
        <v>1517</v>
      </c>
      <c r="G85" s="778">
        <v>99</v>
      </c>
      <c r="H85" s="14" t="s">
        <v>876</v>
      </c>
      <c r="I85" s="15" t="s">
        <v>880</v>
      </c>
      <c r="J85" s="14" t="s">
        <v>889</v>
      </c>
      <c r="K85" s="14" t="s">
        <v>898</v>
      </c>
      <c r="L85" s="14">
        <v>101</v>
      </c>
    </row>
    <row r="86" spans="1:12" hidden="1" x14ac:dyDescent="0.3">
      <c r="A86" s="768" t="s">
        <v>1463</v>
      </c>
      <c r="F86" s="772" t="s">
        <v>1517</v>
      </c>
      <c r="G86" s="778">
        <v>6000</v>
      </c>
      <c r="H86" s="14" t="s">
        <v>876</v>
      </c>
      <c r="I86" s="15" t="s">
        <v>880</v>
      </c>
      <c r="J86" s="14" t="s">
        <v>893</v>
      </c>
      <c r="K86" s="14" t="s">
        <v>878</v>
      </c>
      <c r="L86" s="14">
        <v>101</v>
      </c>
    </row>
    <row r="87" spans="1:12" hidden="1" x14ac:dyDescent="0.3">
      <c r="A87" s="768" t="s">
        <v>1422</v>
      </c>
      <c r="F87" s="772" t="s">
        <v>1517</v>
      </c>
      <c r="G87" s="778">
        <v>186.06</v>
      </c>
      <c r="H87" s="14" t="s">
        <v>876</v>
      </c>
      <c r="I87" s="15" t="s">
        <v>880</v>
      </c>
      <c r="J87" s="14" t="s">
        <v>893</v>
      </c>
      <c r="K87" s="14" t="s">
        <v>878</v>
      </c>
      <c r="L87" s="14">
        <v>101</v>
      </c>
    </row>
    <row r="88" spans="1:12" hidden="1" x14ac:dyDescent="0.3">
      <c r="A88" s="768" t="s">
        <v>1423</v>
      </c>
      <c r="F88" s="772" t="s">
        <v>1517</v>
      </c>
      <c r="G88" s="778">
        <v>1576.39</v>
      </c>
      <c r="H88" s="14" t="s">
        <v>876</v>
      </c>
      <c r="I88" s="15" t="s">
        <v>880</v>
      </c>
      <c r="J88" s="14" t="s">
        <v>893</v>
      </c>
      <c r="K88" s="14" t="s">
        <v>882</v>
      </c>
      <c r="L88" s="14">
        <v>101</v>
      </c>
    </row>
    <row r="89" spans="1:12" hidden="1" x14ac:dyDescent="0.3">
      <c r="A89" s="768" t="s">
        <v>1464</v>
      </c>
      <c r="F89" s="772" t="s">
        <v>1517</v>
      </c>
      <c r="G89" s="778">
        <v>3877.66</v>
      </c>
      <c r="H89" s="14" t="s">
        <v>876</v>
      </c>
      <c r="I89" s="15" t="s">
        <v>880</v>
      </c>
      <c r="J89" s="14" t="s">
        <v>893</v>
      </c>
      <c r="K89" s="14" t="s">
        <v>886</v>
      </c>
      <c r="L89" s="14">
        <v>101</v>
      </c>
    </row>
    <row r="90" spans="1:12" hidden="1" x14ac:dyDescent="0.3">
      <c r="A90" s="768" t="s">
        <v>1465</v>
      </c>
      <c r="F90" s="772" t="s">
        <v>1517</v>
      </c>
      <c r="G90" s="778">
        <v>10434.879999999999</v>
      </c>
      <c r="H90" s="14" t="s">
        <v>876</v>
      </c>
      <c r="I90" s="15" t="s">
        <v>880</v>
      </c>
      <c r="J90" s="14" t="s">
        <v>893</v>
      </c>
      <c r="K90" s="14" t="s">
        <v>886</v>
      </c>
      <c r="L90" s="14">
        <v>101</v>
      </c>
    </row>
    <row r="91" spans="1:12" hidden="1" x14ac:dyDescent="0.3">
      <c r="A91" s="768" t="s">
        <v>1466</v>
      </c>
      <c r="F91" s="772" t="s">
        <v>1517</v>
      </c>
      <c r="G91" s="778">
        <v>141.77000000000001</v>
      </c>
      <c r="H91" s="14" t="s">
        <v>876</v>
      </c>
      <c r="I91" s="15" t="s">
        <v>880</v>
      </c>
      <c r="J91" s="14" t="s">
        <v>893</v>
      </c>
      <c r="K91" s="14" t="s">
        <v>890</v>
      </c>
      <c r="L91" s="14">
        <v>101</v>
      </c>
    </row>
    <row r="92" spans="1:12" hidden="1" x14ac:dyDescent="0.3">
      <c r="A92" s="768" t="s">
        <v>1403</v>
      </c>
      <c r="F92" s="772" t="s">
        <v>1517</v>
      </c>
      <c r="G92" s="778">
        <v>2055.66</v>
      </c>
      <c r="H92" s="14" t="s">
        <v>876</v>
      </c>
      <c r="I92" s="15" t="s">
        <v>880</v>
      </c>
      <c r="J92" s="14" t="s">
        <v>893</v>
      </c>
      <c r="K92" s="14" t="s">
        <v>890</v>
      </c>
      <c r="L92" s="14">
        <v>101</v>
      </c>
    </row>
    <row r="93" spans="1:12" hidden="1" x14ac:dyDescent="0.3">
      <c r="A93" s="768" t="s">
        <v>1467</v>
      </c>
      <c r="F93" s="772" t="s">
        <v>1517</v>
      </c>
      <c r="G93" s="778">
        <v>83.65</v>
      </c>
      <c r="H93" s="14" t="s">
        <v>876</v>
      </c>
      <c r="I93" s="15" t="s">
        <v>880</v>
      </c>
      <c r="J93" s="14" t="s">
        <v>905</v>
      </c>
      <c r="K93" s="14" t="s">
        <v>886</v>
      </c>
      <c r="L93" s="14">
        <v>101</v>
      </c>
    </row>
    <row r="94" spans="1:12" hidden="1" x14ac:dyDescent="0.3">
      <c r="A94" s="768" t="s">
        <v>1468</v>
      </c>
      <c r="F94" s="772" t="s">
        <v>1517</v>
      </c>
      <c r="G94" s="778">
        <v>5358</v>
      </c>
      <c r="H94" s="14" t="s">
        <v>876</v>
      </c>
      <c r="I94" s="15" t="s">
        <v>880</v>
      </c>
      <c r="J94" s="14" t="s">
        <v>905</v>
      </c>
      <c r="K94" s="14" t="s">
        <v>886</v>
      </c>
      <c r="L94" s="14">
        <v>101</v>
      </c>
    </row>
    <row r="95" spans="1:12" hidden="1" x14ac:dyDescent="0.3">
      <c r="A95" s="768" t="s">
        <v>1469</v>
      </c>
      <c r="F95" s="772" t="s">
        <v>1517</v>
      </c>
      <c r="G95" s="778">
        <v>5435</v>
      </c>
      <c r="H95" s="14" t="s">
        <v>876</v>
      </c>
      <c r="I95" s="15" t="s">
        <v>880</v>
      </c>
      <c r="J95" s="14" t="s">
        <v>905</v>
      </c>
      <c r="K95" s="14" t="s">
        <v>886</v>
      </c>
      <c r="L95" s="14">
        <v>101</v>
      </c>
    </row>
    <row r="96" spans="1:12" hidden="1" x14ac:dyDescent="0.3">
      <c r="A96" s="768" t="s">
        <v>1470</v>
      </c>
      <c r="F96" s="772" t="s">
        <v>1517</v>
      </c>
      <c r="G96" s="778">
        <v>13.4</v>
      </c>
      <c r="H96" s="14" t="s">
        <v>876</v>
      </c>
      <c r="I96" s="15" t="s">
        <v>880</v>
      </c>
      <c r="J96" s="14" t="s">
        <v>905</v>
      </c>
      <c r="K96" s="14" t="s">
        <v>886</v>
      </c>
      <c r="L96" s="14">
        <v>101</v>
      </c>
    </row>
    <row r="97" spans="1:12" hidden="1" x14ac:dyDescent="0.3">
      <c r="A97" s="768" t="s">
        <v>1471</v>
      </c>
      <c r="F97" s="772" t="s">
        <v>1517</v>
      </c>
      <c r="G97" s="778">
        <v>87.48</v>
      </c>
      <c r="H97" s="14" t="s">
        <v>876</v>
      </c>
      <c r="I97" s="15" t="s">
        <v>880</v>
      </c>
      <c r="J97" s="14" t="s">
        <v>905</v>
      </c>
      <c r="K97" s="14" t="s">
        <v>890</v>
      </c>
      <c r="L97" s="14">
        <v>101</v>
      </c>
    </row>
    <row r="98" spans="1:12" hidden="1" x14ac:dyDescent="0.3">
      <c r="A98" s="768" t="s">
        <v>1472</v>
      </c>
      <c r="F98" s="772" t="s">
        <v>1517</v>
      </c>
      <c r="G98" s="778">
        <v>211.27</v>
      </c>
      <c r="H98" s="14" t="s">
        <v>876</v>
      </c>
      <c r="I98" s="15" t="s">
        <v>880</v>
      </c>
      <c r="J98" s="14" t="s">
        <v>905</v>
      </c>
      <c r="K98" s="14" t="s">
        <v>890</v>
      </c>
      <c r="L98" s="14">
        <v>101</v>
      </c>
    </row>
    <row r="99" spans="1:12" hidden="1" x14ac:dyDescent="0.3">
      <c r="A99" s="768" t="s">
        <v>1473</v>
      </c>
      <c r="F99" s="772" t="s">
        <v>1517</v>
      </c>
      <c r="G99" s="778">
        <v>1110</v>
      </c>
      <c r="H99" s="14" t="s">
        <v>876</v>
      </c>
      <c r="I99" s="15" t="s">
        <v>880</v>
      </c>
      <c r="J99" s="14" t="s">
        <v>905</v>
      </c>
      <c r="K99" s="14" t="s">
        <v>898</v>
      </c>
      <c r="L99" s="14">
        <v>101</v>
      </c>
    </row>
    <row r="100" spans="1:12" hidden="1" x14ac:dyDescent="0.3">
      <c r="A100" s="768" t="s">
        <v>1474</v>
      </c>
      <c r="F100" s="772" t="s">
        <v>1517</v>
      </c>
      <c r="G100" s="778">
        <v>925</v>
      </c>
      <c r="H100" s="14" t="s">
        <v>876</v>
      </c>
      <c r="I100" s="15" t="s">
        <v>880</v>
      </c>
      <c r="J100" s="14" t="s">
        <v>909</v>
      </c>
      <c r="K100" s="14" t="s">
        <v>878</v>
      </c>
      <c r="L100" s="14">
        <v>101</v>
      </c>
    </row>
    <row r="101" spans="1:12" hidden="1" x14ac:dyDescent="0.3">
      <c r="A101" s="768" t="s">
        <v>1475</v>
      </c>
      <c r="F101" s="772" t="s">
        <v>1517</v>
      </c>
      <c r="G101" s="778">
        <v>91388.82</v>
      </c>
      <c r="H101" s="14" t="s">
        <v>876</v>
      </c>
      <c r="I101" s="15" t="s">
        <v>880</v>
      </c>
      <c r="J101" s="14" t="s">
        <v>909</v>
      </c>
      <c r="K101" s="14" t="s">
        <v>878</v>
      </c>
      <c r="L101" s="14">
        <v>101</v>
      </c>
    </row>
    <row r="102" spans="1:12" hidden="1" x14ac:dyDescent="0.3">
      <c r="A102" s="768" t="s">
        <v>1476</v>
      </c>
      <c r="F102" s="772" t="s">
        <v>1517</v>
      </c>
      <c r="G102" s="778">
        <v>44350.99</v>
      </c>
      <c r="H102" s="14" t="s">
        <v>876</v>
      </c>
      <c r="I102" s="15" t="s">
        <v>880</v>
      </c>
      <c r="J102" s="14" t="s">
        <v>909</v>
      </c>
      <c r="K102" s="14" t="s">
        <v>878</v>
      </c>
      <c r="L102" s="14">
        <v>101</v>
      </c>
    </row>
    <row r="103" spans="1:12" hidden="1" x14ac:dyDescent="0.3">
      <c r="A103" s="768" t="s">
        <v>1477</v>
      </c>
      <c r="F103" s="772" t="s">
        <v>1517</v>
      </c>
      <c r="G103" s="778">
        <v>40989.300000000003</v>
      </c>
      <c r="H103" s="14" t="s">
        <v>876</v>
      </c>
      <c r="I103" s="15" t="s">
        <v>880</v>
      </c>
      <c r="J103" s="14" t="s">
        <v>909</v>
      </c>
      <c r="K103" s="14" t="s">
        <v>882</v>
      </c>
      <c r="L103" s="14">
        <v>101</v>
      </c>
    </row>
    <row r="104" spans="1:12" hidden="1" x14ac:dyDescent="0.3">
      <c r="A104" s="768" t="s">
        <v>1478</v>
      </c>
      <c r="F104" s="772" t="s">
        <v>1517</v>
      </c>
      <c r="G104" s="778">
        <v>6240.71</v>
      </c>
      <c r="H104" s="14" t="s">
        <v>876</v>
      </c>
      <c r="I104" s="15" t="s">
        <v>880</v>
      </c>
      <c r="J104" s="14" t="s">
        <v>909</v>
      </c>
      <c r="K104" s="14" t="s">
        <v>886</v>
      </c>
      <c r="L104" s="14">
        <v>101</v>
      </c>
    </row>
    <row r="105" spans="1:12" hidden="1" x14ac:dyDescent="0.3">
      <c r="A105" s="768" t="s">
        <v>1404</v>
      </c>
      <c r="F105" s="772" t="s">
        <v>1517</v>
      </c>
      <c r="G105" s="778">
        <v>1119.23</v>
      </c>
      <c r="H105" s="14" t="s">
        <v>876</v>
      </c>
      <c r="I105" s="15" t="s">
        <v>880</v>
      </c>
      <c r="J105" s="14" t="s">
        <v>909</v>
      </c>
      <c r="K105" s="14" t="s">
        <v>890</v>
      </c>
      <c r="L105" s="14">
        <v>101</v>
      </c>
    </row>
    <row r="106" spans="1:12" hidden="1" x14ac:dyDescent="0.3">
      <c r="A106" s="768" t="s">
        <v>1405</v>
      </c>
      <c r="F106" s="772" t="s">
        <v>1517</v>
      </c>
      <c r="G106" s="778">
        <v>1405.01</v>
      </c>
      <c r="H106" s="14" t="s">
        <v>876</v>
      </c>
      <c r="I106" s="15" t="s">
        <v>880</v>
      </c>
      <c r="J106" s="14" t="s">
        <v>909</v>
      </c>
      <c r="K106" s="14" t="s">
        <v>890</v>
      </c>
      <c r="L106" s="14">
        <v>101</v>
      </c>
    </row>
    <row r="107" spans="1:12" hidden="1" x14ac:dyDescent="0.3">
      <c r="A107" s="768" t="s">
        <v>1479</v>
      </c>
      <c r="F107" s="772" t="s">
        <v>1517</v>
      </c>
      <c r="G107" s="778">
        <v>1818</v>
      </c>
      <c r="H107" s="14" t="s">
        <v>876</v>
      </c>
      <c r="I107" s="15" t="s">
        <v>880</v>
      </c>
      <c r="J107" s="14" t="s">
        <v>909</v>
      </c>
      <c r="K107" s="14" t="s">
        <v>898</v>
      </c>
      <c r="L107" s="14">
        <v>101</v>
      </c>
    </row>
    <row r="108" spans="1:12" hidden="1" x14ac:dyDescent="0.3">
      <c r="A108" s="768" t="s">
        <v>1480</v>
      </c>
      <c r="F108" s="772" t="s">
        <v>1517</v>
      </c>
      <c r="G108" s="778">
        <v>77629.570000000007</v>
      </c>
      <c r="H108" s="14" t="s">
        <v>876</v>
      </c>
      <c r="I108" s="15" t="s">
        <v>880</v>
      </c>
      <c r="J108" s="14" t="s">
        <v>913</v>
      </c>
      <c r="K108" s="14" t="s">
        <v>878</v>
      </c>
      <c r="L108" s="14">
        <v>101</v>
      </c>
    </row>
    <row r="109" spans="1:12" hidden="1" x14ac:dyDescent="0.3">
      <c r="A109" s="768" t="s">
        <v>1481</v>
      </c>
      <c r="F109" s="772" t="s">
        <v>1517</v>
      </c>
      <c r="G109" s="778">
        <v>22646.31</v>
      </c>
      <c r="H109" s="14" t="s">
        <v>876</v>
      </c>
      <c r="I109" s="15" t="s">
        <v>880</v>
      </c>
      <c r="J109" s="14" t="s">
        <v>913</v>
      </c>
      <c r="K109" s="14" t="s">
        <v>882</v>
      </c>
      <c r="L109" s="14">
        <v>101</v>
      </c>
    </row>
    <row r="110" spans="1:12" hidden="1" x14ac:dyDescent="0.3">
      <c r="A110" s="768" t="s">
        <v>1482</v>
      </c>
      <c r="F110" s="772" t="s">
        <v>1517</v>
      </c>
      <c r="G110" s="778">
        <v>23264.959999999999</v>
      </c>
      <c r="H110" s="14" t="s">
        <v>876</v>
      </c>
      <c r="I110" s="15" t="s">
        <v>880</v>
      </c>
      <c r="J110" s="14" t="s">
        <v>913</v>
      </c>
      <c r="K110" s="14" t="s">
        <v>886</v>
      </c>
      <c r="L110" s="14">
        <v>101</v>
      </c>
    </row>
    <row r="111" spans="1:12" hidden="1" x14ac:dyDescent="0.3">
      <c r="A111" s="768" t="s">
        <v>1483</v>
      </c>
      <c r="F111" s="772" t="s">
        <v>1517</v>
      </c>
      <c r="G111" s="778">
        <v>399</v>
      </c>
      <c r="H111" s="14" t="s">
        <v>876</v>
      </c>
      <c r="I111" s="15" t="s">
        <v>880</v>
      </c>
      <c r="J111" s="14" t="s">
        <v>913</v>
      </c>
      <c r="K111" s="14" t="s">
        <v>886</v>
      </c>
      <c r="L111" s="14">
        <v>101</v>
      </c>
    </row>
    <row r="112" spans="1:12" hidden="1" x14ac:dyDescent="0.3">
      <c r="A112" s="768" t="s">
        <v>1484</v>
      </c>
      <c r="F112" s="772" t="s">
        <v>1517</v>
      </c>
      <c r="G112" s="778">
        <v>137.94999999999999</v>
      </c>
      <c r="H112" s="14" t="s">
        <v>876</v>
      </c>
      <c r="I112" s="15" t="s">
        <v>880</v>
      </c>
      <c r="J112" s="14" t="s">
        <v>913</v>
      </c>
      <c r="K112" s="14" t="s">
        <v>890</v>
      </c>
      <c r="L112" s="14">
        <v>101</v>
      </c>
    </row>
    <row r="113" spans="1:12" hidden="1" x14ac:dyDescent="0.3">
      <c r="A113" s="768" t="s">
        <v>1485</v>
      </c>
      <c r="F113" s="772" t="s">
        <v>1517</v>
      </c>
      <c r="G113" s="778">
        <v>511.29</v>
      </c>
      <c r="H113" s="14" t="s">
        <v>876</v>
      </c>
      <c r="I113" s="15" t="s">
        <v>880</v>
      </c>
      <c r="J113" s="14" t="s">
        <v>913</v>
      </c>
      <c r="K113" s="14" t="s">
        <v>898</v>
      </c>
      <c r="L113" s="14">
        <v>101</v>
      </c>
    </row>
    <row r="114" spans="1:12" hidden="1" x14ac:dyDescent="0.3">
      <c r="A114" s="768" t="s">
        <v>1486</v>
      </c>
      <c r="F114" s="772" t="s">
        <v>1517</v>
      </c>
      <c r="G114" s="778">
        <v>12080</v>
      </c>
      <c r="H114" s="14" t="s">
        <v>876</v>
      </c>
      <c r="I114" s="15" t="s">
        <v>880</v>
      </c>
      <c r="J114" s="14" t="s">
        <v>913</v>
      </c>
      <c r="K114" s="14" t="s">
        <v>898</v>
      </c>
      <c r="L114" s="14">
        <v>101</v>
      </c>
    </row>
    <row r="115" spans="1:12" hidden="1" x14ac:dyDescent="0.3">
      <c r="A115" s="768" t="s">
        <v>1487</v>
      </c>
      <c r="F115" s="772" t="s">
        <v>1517</v>
      </c>
      <c r="G115" s="778">
        <v>4196.1899999999996</v>
      </c>
      <c r="H115" s="14" t="s">
        <v>876</v>
      </c>
      <c r="I115" s="15" t="s">
        <v>880</v>
      </c>
      <c r="J115" s="14" t="s">
        <v>913</v>
      </c>
      <c r="K115" s="14" t="s">
        <v>898</v>
      </c>
      <c r="L115" s="14">
        <v>101</v>
      </c>
    </row>
    <row r="116" spans="1:12" hidden="1" x14ac:dyDescent="0.3">
      <c r="A116" s="768" t="s">
        <v>1424</v>
      </c>
      <c r="F116" s="772" t="s">
        <v>1517</v>
      </c>
      <c r="G116" s="778"/>
      <c r="H116" s="14" t="s">
        <v>876</v>
      </c>
      <c r="I116" s="15" t="s">
        <v>880</v>
      </c>
      <c r="J116" s="14" t="s">
        <v>913</v>
      </c>
      <c r="K116" s="14" t="s">
        <v>918</v>
      </c>
      <c r="L116" s="14">
        <v>101</v>
      </c>
    </row>
    <row r="117" spans="1:12" hidden="1" x14ac:dyDescent="0.3">
      <c r="A117" s="768" t="s">
        <v>1488</v>
      </c>
      <c r="F117" s="772" t="s">
        <v>1517</v>
      </c>
      <c r="G117" s="778">
        <v>1503.87</v>
      </c>
      <c r="H117" s="14" t="s">
        <v>876</v>
      </c>
      <c r="I117" s="15" t="s">
        <v>880</v>
      </c>
      <c r="J117" s="14" t="s">
        <v>917</v>
      </c>
      <c r="K117" s="14" t="s">
        <v>878</v>
      </c>
      <c r="L117" s="14">
        <v>101</v>
      </c>
    </row>
    <row r="118" spans="1:12" hidden="1" x14ac:dyDescent="0.3">
      <c r="A118" s="768" t="s">
        <v>1489</v>
      </c>
      <c r="F118" s="772" t="s">
        <v>1517</v>
      </c>
      <c r="G118" s="778">
        <v>300.60000000000002</v>
      </c>
      <c r="H118" s="14" t="s">
        <v>876</v>
      </c>
      <c r="I118" s="15" t="s">
        <v>880</v>
      </c>
      <c r="J118" s="14" t="s">
        <v>917</v>
      </c>
      <c r="K118" s="14" t="s">
        <v>882</v>
      </c>
      <c r="L118" s="14">
        <v>101</v>
      </c>
    </row>
    <row r="119" spans="1:12" hidden="1" x14ac:dyDescent="0.3">
      <c r="A119" s="768" t="s">
        <v>1490</v>
      </c>
      <c r="F119" s="772" t="s">
        <v>1517</v>
      </c>
      <c r="G119" s="778">
        <v>1022.23</v>
      </c>
      <c r="H119" s="14" t="s">
        <v>876</v>
      </c>
      <c r="I119" s="15" t="s">
        <v>880</v>
      </c>
      <c r="J119" s="14" t="s">
        <v>917</v>
      </c>
      <c r="K119" s="14" t="s">
        <v>886</v>
      </c>
      <c r="L119" s="14">
        <v>101</v>
      </c>
    </row>
    <row r="120" spans="1:12" hidden="1" x14ac:dyDescent="0.3">
      <c r="A120" s="768" t="s">
        <v>1491</v>
      </c>
      <c r="F120" s="772" t="s">
        <v>1517</v>
      </c>
      <c r="G120" s="778">
        <v>2689.78</v>
      </c>
      <c r="H120" s="14" t="s">
        <v>876</v>
      </c>
      <c r="I120" s="15" t="s">
        <v>880</v>
      </c>
      <c r="J120" s="14" t="s">
        <v>917</v>
      </c>
      <c r="K120" s="14" t="s">
        <v>886</v>
      </c>
      <c r="L120" s="14">
        <v>101</v>
      </c>
    </row>
    <row r="121" spans="1:12" hidden="1" x14ac:dyDescent="0.3">
      <c r="A121" s="768" t="s">
        <v>1492</v>
      </c>
      <c r="F121" s="772" t="s">
        <v>1517</v>
      </c>
      <c r="G121" s="778">
        <v>2673.26</v>
      </c>
      <c r="H121" s="14" t="s">
        <v>876</v>
      </c>
      <c r="I121" s="15" t="s">
        <v>880</v>
      </c>
      <c r="J121" s="14" t="s">
        <v>917</v>
      </c>
      <c r="K121" s="14" t="s">
        <v>886</v>
      </c>
      <c r="L121" s="14">
        <v>101</v>
      </c>
    </row>
    <row r="122" spans="1:12" hidden="1" x14ac:dyDescent="0.3">
      <c r="A122" s="768" t="s">
        <v>1493</v>
      </c>
      <c r="F122" s="772" t="s">
        <v>1517</v>
      </c>
      <c r="G122" s="778">
        <v>1401</v>
      </c>
      <c r="H122" s="14" t="s">
        <v>876</v>
      </c>
      <c r="I122" s="15" t="s">
        <v>880</v>
      </c>
      <c r="J122" s="14" t="s">
        <v>917</v>
      </c>
      <c r="K122" s="14" t="s">
        <v>886</v>
      </c>
      <c r="L122" s="14">
        <v>101</v>
      </c>
    </row>
    <row r="123" spans="1:12" hidden="1" x14ac:dyDescent="0.3">
      <c r="A123" s="768" t="s">
        <v>1494</v>
      </c>
      <c r="F123" s="772" t="s">
        <v>1517</v>
      </c>
      <c r="G123" s="778">
        <v>30985.599999999999</v>
      </c>
      <c r="H123" s="14" t="s">
        <v>876</v>
      </c>
      <c r="I123" s="15" t="s">
        <v>880</v>
      </c>
      <c r="J123" s="14" t="s">
        <v>917</v>
      </c>
      <c r="K123" s="14" t="s">
        <v>886</v>
      </c>
      <c r="L123" s="14">
        <v>101</v>
      </c>
    </row>
    <row r="124" spans="1:12" hidden="1" x14ac:dyDescent="0.3">
      <c r="A124" s="768" t="s">
        <v>1495</v>
      </c>
      <c r="F124" s="772" t="s">
        <v>1517</v>
      </c>
      <c r="G124" s="778">
        <v>439.88</v>
      </c>
      <c r="H124" s="14" t="s">
        <v>876</v>
      </c>
      <c r="I124" s="15" t="s">
        <v>880</v>
      </c>
      <c r="J124" s="14" t="s">
        <v>917</v>
      </c>
      <c r="K124" s="14" t="s">
        <v>886</v>
      </c>
      <c r="L124" s="14">
        <v>101</v>
      </c>
    </row>
    <row r="125" spans="1:12" hidden="1" x14ac:dyDescent="0.3">
      <c r="A125" s="768" t="s">
        <v>1496</v>
      </c>
      <c r="F125" s="772" t="s">
        <v>1517</v>
      </c>
      <c r="G125" s="778">
        <v>17917.939999999999</v>
      </c>
      <c r="H125" s="14" t="s">
        <v>876</v>
      </c>
      <c r="I125" s="15" t="s">
        <v>880</v>
      </c>
      <c r="J125" s="14" t="s">
        <v>917</v>
      </c>
      <c r="K125" s="14" t="s">
        <v>886</v>
      </c>
      <c r="L125" s="14">
        <v>101</v>
      </c>
    </row>
    <row r="126" spans="1:12" hidden="1" x14ac:dyDescent="0.3">
      <c r="A126" s="768" t="s">
        <v>1497</v>
      </c>
      <c r="F126" s="772" t="s">
        <v>1517</v>
      </c>
      <c r="G126" s="778">
        <v>6358.36</v>
      </c>
      <c r="H126" s="14" t="s">
        <v>876</v>
      </c>
      <c r="I126" s="15" t="s">
        <v>880</v>
      </c>
      <c r="J126" s="14" t="s">
        <v>917</v>
      </c>
      <c r="K126" s="14" t="s">
        <v>886</v>
      </c>
      <c r="L126" s="14">
        <v>101</v>
      </c>
    </row>
    <row r="127" spans="1:12" hidden="1" x14ac:dyDescent="0.3">
      <c r="A127" s="768" t="s">
        <v>1498</v>
      </c>
      <c r="F127" s="772" t="s">
        <v>1517</v>
      </c>
      <c r="G127" s="778">
        <v>14481</v>
      </c>
      <c r="H127" s="14" t="s">
        <v>876</v>
      </c>
      <c r="I127" s="15" t="s">
        <v>880</v>
      </c>
      <c r="J127" s="14" t="s">
        <v>917</v>
      </c>
      <c r="K127" s="14" t="s">
        <v>886</v>
      </c>
      <c r="L127" s="14">
        <v>101</v>
      </c>
    </row>
    <row r="128" spans="1:12" hidden="1" x14ac:dyDescent="0.3">
      <c r="A128" s="768" t="s">
        <v>1499</v>
      </c>
      <c r="F128" s="772" t="s">
        <v>1517</v>
      </c>
      <c r="G128" s="778">
        <v>6.7</v>
      </c>
      <c r="H128" s="14" t="s">
        <v>876</v>
      </c>
      <c r="I128" s="15" t="s">
        <v>880</v>
      </c>
      <c r="J128" s="14" t="s">
        <v>917</v>
      </c>
      <c r="K128" s="14" t="s">
        <v>886</v>
      </c>
      <c r="L128" s="14">
        <v>101</v>
      </c>
    </row>
    <row r="129" spans="1:12" hidden="1" x14ac:dyDescent="0.3">
      <c r="A129" s="768" t="s">
        <v>1500</v>
      </c>
      <c r="F129" s="772" t="s">
        <v>1517</v>
      </c>
      <c r="G129" s="778">
        <f>36378.34-5760</f>
        <v>30618.34</v>
      </c>
      <c r="H129" s="14" t="s">
        <v>876</v>
      </c>
      <c r="I129" s="15" t="s">
        <v>880</v>
      </c>
      <c r="J129" s="14" t="s">
        <v>917</v>
      </c>
      <c r="K129" s="14" t="s">
        <v>886</v>
      </c>
      <c r="L129" s="14">
        <v>101</v>
      </c>
    </row>
    <row r="130" spans="1:12" x14ac:dyDescent="0.3">
      <c r="A130" s="768" t="s">
        <v>1500</v>
      </c>
      <c r="F130" s="772" t="s">
        <v>1572</v>
      </c>
      <c r="G130" s="775">
        <f>400*12+80*12</f>
        <v>5760</v>
      </c>
      <c r="H130" s="14" t="s">
        <v>956</v>
      </c>
      <c r="I130" s="15" t="s">
        <v>880</v>
      </c>
      <c r="J130" s="14" t="s">
        <v>917</v>
      </c>
      <c r="K130" s="14" t="s">
        <v>886</v>
      </c>
      <c r="L130" s="14">
        <v>101</v>
      </c>
    </row>
    <row r="131" spans="1:12" hidden="1" x14ac:dyDescent="0.3">
      <c r="A131" s="768" t="s">
        <v>1501</v>
      </c>
      <c r="F131" s="772" t="s">
        <v>1517</v>
      </c>
      <c r="G131" s="778">
        <v>1219.82</v>
      </c>
      <c r="H131" s="14" t="s">
        <v>876</v>
      </c>
      <c r="I131" s="15" t="s">
        <v>880</v>
      </c>
      <c r="J131" s="14" t="s">
        <v>917</v>
      </c>
      <c r="K131" s="14" t="s">
        <v>890</v>
      </c>
      <c r="L131" s="14">
        <v>101</v>
      </c>
    </row>
    <row r="132" spans="1:12" hidden="1" x14ac:dyDescent="0.3">
      <c r="A132" s="768" t="s">
        <v>1502</v>
      </c>
      <c r="F132" s="772" t="s">
        <v>1517</v>
      </c>
      <c r="G132" s="778">
        <v>2739.78</v>
      </c>
      <c r="H132" s="14" t="s">
        <v>876</v>
      </c>
      <c r="I132" s="15" t="s">
        <v>880</v>
      </c>
      <c r="J132" s="14" t="s">
        <v>917</v>
      </c>
      <c r="K132" s="14" t="s">
        <v>890</v>
      </c>
      <c r="L132" s="14">
        <v>101</v>
      </c>
    </row>
    <row r="133" spans="1:12" hidden="1" x14ac:dyDescent="0.3">
      <c r="A133" s="768" t="s">
        <v>1503</v>
      </c>
      <c r="F133" s="772" t="s">
        <v>1517</v>
      </c>
      <c r="G133" s="778">
        <v>2720.52</v>
      </c>
      <c r="H133" s="14" t="s">
        <v>876</v>
      </c>
      <c r="I133" s="15" t="s">
        <v>880</v>
      </c>
      <c r="J133" s="14" t="s">
        <v>917</v>
      </c>
      <c r="K133" s="14" t="s">
        <v>890</v>
      </c>
      <c r="L133" s="14">
        <v>101</v>
      </c>
    </row>
    <row r="134" spans="1:12" hidden="1" x14ac:dyDescent="0.3">
      <c r="A134" s="768" t="s">
        <v>1504</v>
      </c>
      <c r="F134" s="772" t="s">
        <v>1517</v>
      </c>
      <c r="G134" s="778">
        <v>3250.9</v>
      </c>
      <c r="H134" s="14" t="s">
        <v>876</v>
      </c>
      <c r="I134" s="15" t="s">
        <v>880</v>
      </c>
      <c r="J134" s="14" t="s">
        <v>917</v>
      </c>
      <c r="K134" s="14" t="s">
        <v>890</v>
      </c>
      <c r="L134" s="14">
        <v>101</v>
      </c>
    </row>
    <row r="135" spans="1:12" hidden="1" x14ac:dyDescent="0.3">
      <c r="A135" s="768" t="s">
        <v>1505</v>
      </c>
      <c r="F135" s="772" t="s">
        <v>1517</v>
      </c>
      <c r="G135" s="778">
        <v>705.21</v>
      </c>
      <c r="H135" s="14" t="s">
        <v>876</v>
      </c>
      <c r="I135" s="15" t="s">
        <v>880</v>
      </c>
      <c r="J135" s="14" t="s">
        <v>917</v>
      </c>
      <c r="K135" s="14" t="s">
        <v>898</v>
      </c>
      <c r="L135" s="14">
        <v>101</v>
      </c>
    </row>
    <row r="136" spans="1:12" hidden="1" x14ac:dyDescent="0.3">
      <c r="A136" s="768" t="s">
        <v>1506</v>
      </c>
      <c r="F136" s="772" t="s">
        <v>1517</v>
      </c>
      <c r="G136" s="778">
        <v>0</v>
      </c>
      <c r="H136" s="14" t="s">
        <v>876</v>
      </c>
      <c r="I136" s="14" t="s">
        <v>884</v>
      </c>
      <c r="J136" s="14" t="s">
        <v>881</v>
      </c>
      <c r="K136" s="14" t="s">
        <v>878</v>
      </c>
      <c r="L136" s="14">
        <v>101</v>
      </c>
    </row>
    <row r="137" spans="1:12" hidden="1" x14ac:dyDescent="0.3">
      <c r="A137" s="768" t="s">
        <v>1507</v>
      </c>
      <c r="F137" s="772" t="s">
        <v>1517</v>
      </c>
      <c r="G137" s="778">
        <v>3430</v>
      </c>
      <c r="H137" s="14" t="s">
        <v>876</v>
      </c>
      <c r="I137" s="14" t="s">
        <v>884</v>
      </c>
      <c r="J137" s="14" t="s">
        <v>881</v>
      </c>
      <c r="K137" s="14" t="s">
        <v>878</v>
      </c>
      <c r="L137" s="14">
        <v>101</v>
      </c>
    </row>
    <row r="138" spans="1:12" hidden="1" x14ac:dyDescent="0.3">
      <c r="A138" s="768" t="s">
        <v>1440</v>
      </c>
      <c r="F138" s="772" t="s">
        <v>1517</v>
      </c>
      <c r="G138" s="778">
        <f>7405+4230+4540</f>
        <v>16175</v>
      </c>
      <c r="H138" s="14" t="s">
        <v>876</v>
      </c>
      <c r="I138" s="14" t="s">
        <v>884</v>
      </c>
      <c r="J138" s="14" t="s">
        <v>881</v>
      </c>
      <c r="K138" s="14" t="s">
        <v>878</v>
      </c>
      <c r="L138" s="14">
        <v>101</v>
      </c>
    </row>
    <row r="139" spans="1:12" hidden="1" x14ac:dyDescent="0.3">
      <c r="A139" s="768" t="s">
        <v>1508</v>
      </c>
      <c r="F139" s="772" t="s">
        <v>1517</v>
      </c>
      <c r="G139" s="778">
        <v>41480.54</v>
      </c>
      <c r="H139" s="14" t="s">
        <v>876</v>
      </c>
      <c r="I139" s="14" t="s">
        <v>884</v>
      </c>
      <c r="J139" s="14" t="s">
        <v>881</v>
      </c>
      <c r="K139" s="14" t="s">
        <v>878</v>
      </c>
      <c r="L139" s="14">
        <v>101</v>
      </c>
    </row>
    <row r="140" spans="1:12" hidden="1" x14ac:dyDescent="0.3">
      <c r="A140" s="768" t="s">
        <v>1441</v>
      </c>
      <c r="F140" s="772" t="s">
        <v>1517</v>
      </c>
      <c r="G140" s="778">
        <v>17480.509999999998</v>
      </c>
      <c r="H140" s="14" t="s">
        <v>876</v>
      </c>
      <c r="I140" s="14" t="s">
        <v>884</v>
      </c>
      <c r="J140" s="14" t="s">
        <v>881</v>
      </c>
      <c r="K140" s="14" t="s">
        <v>882</v>
      </c>
      <c r="L140" s="14">
        <v>101</v>
      </c>
    </row>
    <row r="141" spans="1:12" hidden="1" x14ac:dyDescent="0.3">
      <c r="A141" s="768" t="s">
        <v>1509</v>
      </c>
      <c r="F141" s="772" t="s">
        <v>1517</v>
      </c>
      <c r="G141" s="778">
        <v>121.73</v>
      </c>
      <c r="H141" s="14" t="s">
        <v>876</v>
      </c>
      <c r="I141" s="14" t="s">
        <v>884</v>
      </c>
      <c r="J141" s="14" t="s">
        <v>881</v>
      </c>
      <c r="K141" s="14" t="s">
        <v>890</v>
      </c>
      <c r="L141" s="14">
        <v>101</v>
      </c>
    </row>
    <row r="142" spans="1:12" hidden="1" x14ac:dyDescent="0.3">
      <c r="A142" s="768" t="s">
        <v>1442</v>
      </c>
      <c r="F142" s="772" t="s">
        <v>1517</v>
      </c>
      <c r="G142" s="778">
        <v>10657.19</v>
      </c>
      <c r="H142" s="14" t="s">
        <v>876</v>
      </c>
      <c r="I142" s="14" t="s">
        <v>884</v>
      </c>
      <c r="J142" s="14" t="s">
        <v>889</v>
      </c>
      <c r="K142" s="14" t="s">
        <v>886</v>
      </c>
      <c r="L142" s="14">
        <v>101</v>
      </c>
    </row>
    <row r="143" spans="1:12" hidden="1" x14ac:dyDescent="0.3">
      <c r="A143" s="768" t="s">
        <v>1510</v>
      </c>
      <c r="F143" s="772" t="s">
        <v>1517</v>
      </c>
      <c r="G143" s="778">
        <v>1193.75</v>
      </c>
      <c r="H143" s="14" t="s">
        <v>876</v>
      </c>
      <c r="I143" s="14" t="s">
        <v>884</v>
      </c>
      <c r="J143" s="14" t="s">
        <v>889</v>
      </c>
      <c r="K143" s="14" t="s">
        <v>890</v>
      </c>
      <c r="L143" s="14">
        <v>101</v>
      </c>
    </row>
    <row r="144" spans="1:12" hidden="1" x14ac:dyDescent="0.3">
      <c r="A144" s="768" t="s">
        <v>1511</v>
      </c>
      <c r="F144" s="772" t="s">
        <v>1517</v>
      </c>
      <c r="G144" s="778">
        <v>453.6</v>
      </c>
      <c r="H144" s="14" t="s">
        <v>876</v>
      </c>
      <c r="I144" s="14" t="s">
        <v>884</v>
      </c>
      <c r="J144" s="14" t="s">
        <v>893</v>
      </c>
      <c r="K144" s="14" t="s">
        <v>878</v>
      </c>
      <c r="L144" s="14">
        <v>101</v>
      </c>
    </row>
    <row r="145" spans="1:12" hidden="1" x14ac:dyDescent="0.3">
      <c r="A145" s="768" t="s">
        <v>1512</v>
      </c>
      <c r="F145" s="772" t="s">
        <v>1517</v>
      </c>
      <c r="G145" s="778">
        <v>1320.56</v>
      </c>
      <c r="H145" s="14" t="s">
        <v>876</v>
      </c>
      <c r="I145" s="14" t="s">
        <v>884</v>
      </c>
      <c r="J145" s="14" t="s">
        <v>893</v>
      </c>
      <c r="K145" s="14" t="s">
        <v>882</v>
      </c>
      <c r="L145" s="14">
        <v>101</v>
      </c>
    </row>
    <row r="146" spans="1:12" hidden="1" x14ac:dyDescent="0.3">
      <c r="A146" s="768" t="s">
        <v>1513</v>
      </c>
      <c r="F146" s="772" t="s">
        <v>1517</v>
      </c>
      <c r="G146" s="778">
        <v>12096.25</v>
      </c>
      <c r="H146" s="14" t="s">
        <v>876</v>
      </c>
      <c r="I146" s="14" t="s">
        <v>884</v>
      </c>
      <c r="J146" s="14" t="s">
        <v>893</v>
      </c>
      <c r="K146" s="14" t="s">
        <v>886</v>
      </c>
      <c r="L146" s="14">
        <v>101</v>
      </c>
    </row>
    <row r="147" spans="1:12" hidden="1" x14ac:dyDescent="0.3">
      <c r="A147" s="768" t="s">
        <v>1513</v>
      </c>
      <c r="F147" s="772" t="s">
        <v>1517</v>
      </c>
      <c r="G147" s="778">
        <v>1304.3699999999999</v>
      </c>
      <c r="H147" s="14" t="s">
        <v>876</v>
      </c>
      <c r="I147" s="14" t="s">
        <v>884</v>
      </c>
      <c r="J147" s="14" t="s">
        <v>893</v>
      </c>
      <c r="K147" s="14" t="s">
        <v>886</v>
      </c>
      <c r="L147" s="14">
        <v>101</v>
      </c>
    </row>
    <row r="148" spans="1:12" hidden="1" x14ac:dyDescent="0.3">
      <c r="A148" s="768" t="s">
        <v>1518</v>
      </c>
      <c r="B148" s="770"/>
      <c r="C148" s="771"/>
      <c r="D148" s="770"/>
      <c r="F148" s="772" t="s">
        <v>1517</v>
      </c>
      <c r="G148" s="20">
        <v>-40</v>
      </c>
      <c r="H148" s="14" t="s">
        <v>876</v>
      </c>
      <c r="I148" s="14" t="s">
        <v>21</v>
      </c>
      <c r="J148" s="14" t="s">
        <v>21</v>
      </c>
      <c r="K148" s="14" t="s">
        <v>1292</v>
      </c>
      <c r="L148" s="14">
        <v>101</v>
      </c>
    </row>
    <row r="149" spans="1:12" hidden="1" x14ac:dyDescent="0.3">
      <c r="A149" s="768" t="s">
        <v>1444</v>
      </c>
      <c r="F149" s="772" t="s">
        <v>1539</v>
      </c>
      <c r="G149" s="778">
        <v>104146.46</v>
      </c>
      <c r="H149" s="14" t="s">
        <v>876</v>
      </c>
      <c r="I149" s="14" t="s">
        <v>880</v>
      </c>
      <c r="J149" s="14" t="s">
        <v>881</v>
      </c>
      <c r="K149" s="14" t="s">
        <v>878</v>
      </c>
      <c r="L149" s="14">
        <v>105</v>
      </c>
    </row>
    <row r="150" spans="1:12" hidden="1" x14ac:dyDescent="0.3">
      <c r="A150" s="768" t="s">
        <v>1425</v>
      </c>
      <c r="F150" s="772" t="s">
        <v>1539</v>
      </c>
      <c r="G150" s="778">
        <v>27175</v>
      </c>
      <c r="H150" s="14" t="s">
        <v>876</v>
      </c>
      <c r="I150" s="14" t="s">
        <v>880</v>
      </c>
      <c r="J150" s="14" t="s">
        <v>881</v>
      </c>
      <c r="K150" s="14" t="s">
        <v>878</v>
      </c>
      <c r="L150" s="14">
        <v>105</v>
      </c>
    </row>
    <row r="151" spans="1:12" hidden="1" x14ac:dyDescent="0.3">
      <c r="A151" s="768" t="s">
        <v>1446</v>
      </c>
      <c r="F151" s="772" t="s">
        <v>1539</v>
      </c>
      <c r="G151" s="778">
        <v>2225</v>
      </c>
      <c r="H151" s="14" t="s">
        <v>876</v>
      </c>
      <c r="I151" s="14" t="s">
        <v>880</v>
      </c>
      <c r="J151" s="14" t="s">
        <v>881</v>
      </c>
      <c r="K151" s="14" t="s">
        <v>878</v>
      </c>
      <c r="L151" s="14">
        <v>105</v>
      </c>
    </row>
    <row r="152" spans="1:12" hidden="1" x14ac:dyDescent="0.3">
      <c r="A152" s="768" t="s">
        <v>1447</v>
      </c>
      <c r="F152" s="772" t="s">
        <v>1539</v>
      </c>
      <c r="G152" s="778">
        <v>4585</v>
      </c>
      <c r="H152" s="14" t="s">
        <v>876</v>
      </c>
      <c r="I152" s="14" t="s">
        <v>880</v>
      </c>
      <c r="J152" s="14" t="s">
        <v>881</v>
      </c>
      <c r="K152" s="14" t="s">
        <v>878</v>
      </c>
      <c r="L152" s="14">
        <v>105</v>
      </c>
    </row>
    <row r="153" spans="1:12" hidden="1" x14ac:dyDescent="0.3">
      <c r="A153" s="768" t="s">
        <v>1426</v>
      </c>
      <c r="F153" s="772" t="s">
        <v>1539</v>
      </c>
      <c r="G153" s="778">
        <v>46787.3</v>
      </c>
      <c r="H153" s="14" t="s">
        <v>876</v>
      </c>
      <c r="I153" s="14" t="s">
        <v>880</v>
      </c>
      <c r="J153" s="14" t="s">
        <v>881</v>
      </c>
      <c r="K153" s="14" t="s">
        <v>882</v>
      </c>
      <c r="L153" s="14">
        <v>105</v>
      </c>
    </row>
    <row r="154" spans="1:12" hidden="1" x14ac:dyDescent="0.3">
      <c r="A154" s="768" t="s">
        <v>1450</v>
      </c>
      <c r="F154" s="772" t="s">
        <v>1539</v>
      </c>
      <c r="G154" s="778">
        <v>37.299999999999997</v>
      </c>
      <c r="H154" s="14" t="s">
        <v>876</v>
      </c>
      <c r="I154" s="14" t="s">
        <v>880</v>
      </c>
      <c r="J154" s="14" t="s">
        <v>881</v>
      </c>
      <c r="K154" s="14" t="s">
        <v>886</v>
      </c>
      <c r="L154" s="14">
        <v>105</v>
      </c>
    </row>
    <row r="155" spans="1:12" hidden="1" x14ac:dyDescent="0.3">
      <c r="A155" s="768" t="s">
        <v>1407</v>
      </c>
      <c r="F155" s="772" t="s">
        <v>1539</v>
      </c>
      <c r="G155" s="778">
        <v>53.6</v>
      </c>
      <c r="H155" s="14" t="s">
        <v>876</v>
      </c>
      <c r="I155" s="14" t="s">
        <v>880</v>
      </c>
      <c r="J155" s="14" t="s">
        <v>881</v>
      </c>
      <c r="K155" s="14" t="s">
        <v>886</v>
      </c>
      <c r="L155" s="14">
        <v>105</v>
      </c>
    </row>
    <row r="156" spans="1:12" hidden="1" x14ac:dyDescent="0.3">
      <c r="A156" s="768" t="s">
        <v>1451</v>
      </c>
      <c r="F156" s="772" t="s">
        <v>1539</v>
      </c>
      <c r="G156" s="778">
        <v>1364.54</v>
      </c>
      <c r="H156" s="14" t="s">
        <v>876</v>
      </c>
      <c r="I156" s="14" t="s">
        <v>880</v>
      </c>
      <c r="J156" s="14" t="s">
        <v>881</v>
      </c>
      <c r="K156" s="14" t="s">
        <v>890</v>
      </c>
      <c r="L156" s="14">
        <v>105</v>
      </c>
    </row>
    <row r="157" spans="1:12" hidden="1" x14ac:dyDescent="0.3">
      <c r="A157" s="768" t="s">
        <v>1455</v>
      </c>
      <c r="F157" s="772" t="s">
        <v>1539</v>
      </c>
      <c r="G157" s="778">
        <v>17695.2</v>
      </c>
      <c r="H157" s="14" t="s">
        <v>876</v>
      </c>
      <c r="I157" s="14" t="s">
        <v>880</v>
      </c>
      <c r="J157" s="14" t="s">
        <v>881</v>
      </c>
      <c r="K157" s="14" t="s">
        <v>890</v>
      </c>
      <c r="L157" s="14">
        <v>105</v>
      </c>
    </row>
    <row r="158" spans="1:12" hidden="1" x14ac:dyDescent="0.3">
      <c r="A158" s="768" t="s">
        <v>1457</v>
      </c>
      <c r="F158" s="772" t="s">
        <v>1539</v>
      </c>
      <c r="G158" s="778">
        <v>68.34</v>
      </c>
      <c r="H158" s="14" t="s">
        <v>876</v>
      </c>
      <c r="I158" s="14" t="s">
        <v>880</v>
      </c>
      <c r="J158" s="14" t="s">
        <v>881</v>
      </c>
      <c r="K158" s="14" t="s">
        <v>898</v>
      </c>
      <c r="L158" s="14">
        <v>105</v>
      </c>
    </row>
    <row r="159" spans="1:12" hidden="1" x14ac:dyDescent="0.3">
      <c r="A159" s="768" t="s">
        <v>1416</v>
      </c>
      <c r="F159" s="772" t="s">
        <v>1539</v>
      </c>
      <c r="G159" s="778">
        <v>3870.44</v>
      </c>
      <c r="H159" s="14" t="s">
        <v>876</v>
      </c>
      <c r="I159" s="14" t="s">
        <v>880</v>
      </c>
      <c r="J159" s="14" t="s">
        <v>889</v>
      </c>
      <c r="K159" s="14" t="s">
        <v>878</v>
      </c>
      <c r="L159" s="14">
        <v>105</v>
      </c>
    </row>
    <row r="160" spans="1:12" hidden="1" x14ac:dyDescent="0.3">
      <c r="A160" s="768" t="s">
        <v>1417</v>
      </c>
      <c r="F160" s="772" t="s">
        <v>1539</v>
      </c>
      <c r="G160" s="778">
        <v>-1091.6500000000001</v>
      </c>
      <c r="H160" s="14" t="s">
        <v>876</v>
      </c>
      <c r="I160" s="14" t="s">
        <v>880</v>
      </c>
      <c r="J160" s="14" t="s">
        <v>889</v>
      </c>
      <c r="K160" s="14" t="s">
        <v>882</v>
      </c>
      <c r="L160" s="14">
        <v>105</v>
      </c>
    </row>
    <row r="161" spans="1:12" hidden="1" x14ac:dyDescent="0.3">
      <c r="A161" s="768" t="s">
        <v>1460</v>
      </c>
      <c r="F161" s="772" t="s">
        <v>1539</v>
      </c>
      <c r="G161" s="778">
        <v>2409.73</v>
      </c>
      <c r="H161" s="14" t="s">
        <v>876</v>
      </c>
      <c r="I161" s="14" t="s">
        <v>880</v>
      </c>
      <c r="J161" s="14" t="s">
        <v>889</v>
      </c>
      <c r="K161" s="14" t="s">
        <v>886</v>
      </c>
      <c r="L161" s="14">
        <v>105</v>
      </c>
    </row>
    <row r="162" spans="1:12" hidden="1" x14ac:dyDescent="0.3">
      <c r="A162" s="768" t="s">
        <v>1461</v>
      </c>
      <c r="F162" s="772" t="s">
        <v>1539</v>
      </c>
      <c r="G162" s="778">
        <v>7000.37</v>
      </c>
      <c r="H162" s="14" t="s">
        <v>876</v>
      </c>
      <c r="I162" s="14" t="s">
        <v>880</v>
      </c>
      <c r="J162" s="14" t="s">
        <v>889</v>
      </c>
      <c r="K162" s="14" t="s">
        <v>886</v>
      </c>
      <c r="L162" s="14">
        <v>105</v>
      </c>
    </row>
    <row r="163" spans="1:12" hidden="1" x14ac:dyDescent="0.3">
      <c r="A163" s="768" t="s">
        <v>1519</v>
      </c>
      <c r="F163" s="772" t="s">
        <v>1539</v>
      </c>
      <c r="G163" s="778">
        <v>26.8</v>
      </c>
      <c r="H163" s="14" t="s">
        <v>876</v>
      </c>
      <c r="I163" s="14" t="s">
        <v>880</v>
      </c>
      <c r="J163" s="14" t="s">
        <v>889</v>
      </c>
      <c r="K163" s="14" t="s">
        <v>886</v>
      </c>
      <c r="L163" s="14">
        <v>105</v>
      </c>
    </row>
    <row r="164" spans="1:12" hidden="1" x14ac:dyDescent="0.3">
      <c r="A164" s="768" t="s">
        <v>1408</v>
      </c>
      <c r="F164" s="772" t="s">
        <v>1539</v>
      </c>
      <c r="G164" s="778">
        <v>237.99</v>
      </c>
      <c r="H164" s="14" t="s">
        <v>876</v>
      </c>
      <c r="I164" s="14" t="s">
        <v>880</v>
      </c>
      <c r="J164" s="14" t="s">
        <v>889</v>
      </c>
      <c r="K164" s="14" t="s">
        <v>890</v>
      </c>
      <c r="L164" s="14">
        <v>105</v>
      </c>
    </row>
    <row r="165" spans="1:12" hidden="1" x14ac:dyDescent="0.3">
      <c r="A165" s="768" t="s">
        <v>1402</v>
      </c>
      <c r="F165" s="772" t="s">
        <v>1539</v>
      </c>
      <c r="G165" s="778">
        <v>45.97</v>
      </c>
      <c r="H165" s="14" t="s">
        <v>876</v>
      </c>
      <c r="I165" s="14" t="s">
        <v>880</v>
      </c>
      <c r="J165" s="14" t="s">
        <v>889</v>
      </c>
      <c r="K165" s="14" t="s">
        <v>890</v>
      </c>
      <c r="L165" s="14">
        <v>105</v>
      </c>
    </row>
    <row r="166" spans="1:12" hidden="1" x14ac:dyDescent="0.3">
      <c r="A166" s="768" t="s">
        <v>1463</v>
      </c>
      <c r="F166" s="772" t="s">
        <v>1539</v>
      </c>
      <c r="G166" s="778">
        <v>2000</v>
      </c>
      <c r="H166" s="14" t="s">
        <v>876</v>
      </c>
      <c r="I166" s="14" t="s">
        <v>880</v>
      </c>
      <c r="J166" s="14" t="s">
        <v>893</v>
      </c>
      <c r="K166" s="14" t="s">
        <v>878</v>
      </c>
      <c r="L166" s="14">
        <v>105</v>
      </c>
    </row>
    <row r="167" spans="1:12" hidden="1" x14ac:dyDescent="0.3">
      <c r="A167" s="768" t="s">
        <v>1423</v>
      </c>
      <c r="F167" s="772" t="s">
        <v>1539</v>
      </c>
      <c r="G167" s="778">
        <v>375.9</v>
      </c>
      <c r="H167" s="14" t="s">
        <v>876</v>
      </c>
      <c r="I167" s="14" t="s">
        <v>880</v>
      </c>
      <c r="J167" s="14" t="s">
        <v>893</v>
      </c>
      <c r="K167" s="14" t="s">
        <v>882</v>
      </c>
      <c r="L167" s="14">
        <v>105</v>
      </c>
    </row>
    <row r="168" spans="1:12" hidden="1" x14ac:dyDescent="0.3">
      <c r="A168" s="768" t="s">
        <v>1465</v>
      </c>
      <c r="F168" s="772" t="s">
        <v>1539</v>
      </c>
      <c r="G168" s="778">
        <v>7826.18</v>
      </c>
      <c r="H168" s="14" t="s">
        <v>876</v>
      </c>
      <c r="I168" s="14" t="s">
        <v>880</v>
      </c>
      <c r="J168" s="14" t="s">
        <v>893</v>
      </c>
      <c r="K168" s="14" t="s">
        <v>886</v>
      </c>
      <c r="L168" s="14">
        <v>105</v>
      </c>
    </row>
    <row r="169" spans="1:12" hidden="1" x14ac:dyDescent="0.3">
      <c r="A169" s="768" t="s">
        <v>1520</v>
      </c>
      <c r="F169" s="772" t="s">
        <v>1539</v>
      </c>
      <c r="G169" s="778">
        <v>13.4</v>
      </c>
      <c r="H169" s="14" t="s">
        <v>876</v>
      </c>
      <c r="I169" s="14" t="s">
        <v>880</v>
      </c>
      <c r="J169" s="14" t="s">
        <v>893</v>
      </c>
      <c r="K169" s="14" t="s">
        <v>886</v>
      </c>
      <c r="L169" s="14">
        <v>105</v>
      </c>
    </row>
    <row r="170" spans="1:12" hidden="1" x14ac:dyDescent="0.3">
      <c r="A170" s="768" t="s">
        <v>1466</v>
      </c>
      <c r="F170" s="772" t="s">
        <v>1539</v>
      </c>
      <c r="G170" s="778">
        <v>61.94</v>
      </c>
      <c r="H170" s="14" t="s">
        <v>876</v>
      </c>
      <c r="I170" s="14" t="s">
        <v>880</v>
      </c>
      <c r="J170" s="14" t="s">
        <v>893</v>
      </c>
      <c r="K170" s="14" t="s">
        <v>890</v>
      </c>
      <c r="L170" s="14">
        <v>105</v>
      </c>
    </row>
    <row r="171" spans="1:12" hidden="1" x14ac:dyDescent="0.3">
      <c r="A171" s="768" t="s">
        <v>1403</v>
      </c>
      <c r="F171" s="772" t="s">
        <v>1539</v>
      </c>
      <c r="G171" s="778">
        <v>634.20000000000005</v>
      </c>
      <c r="H171" s="14" t="s">
        <v>876</v>
      </c>
      <c r="I171" s="14" t="s">
        <v>880</v>
      </c>
      <c r="J171" s="14" t="s">
        <v>893</v>
      </c>
      <c r="K171" s="14" t="s">
        <v>890</v>
      </c>
      <c r="L171" s="14">
        <v>105</v>
      </c>
    </row>
    <row r="172" spans="1:12" hidden="1" x14ac:dyDescent="0.3">
      <c r="A172" s="768" t="s">
        <v>1467</v>
      </c>
      <c r="F172" s="772" t="s">
        <v>1539</v>
      </c>
      <c r="G172" s="778">
        <v>83.65</v>
      </c>
      <c r="H172" s="14" t="s">
        <v>876</v>
      </c>
      <c r="I172" s="14" t="s">
        <v>880</v>
      </c>
      <c r="J172" s="14" t="s">
        <v>905</v>
      </c>
      <c r="K172" s="14" t="s">
        <v>886</v>
      </c>
      <c r="L172" s="14">
        <v>105</v>
      </c>
    </row>
    <row r="173" spans="1:12" hidden="1" x14ac:dyDescent="0.3">
      <c r="A173" s="768" t="s">
        <v>1468</v>
      </c>
      <c r="F173" s="772" t="s">
        <v>1539</v>
      </c>
      <c r="G173" s="778">
        <v>5000</v>
      </c>
      <c r="H173" s="14" t="s">
        <v>876</v>
      </c>
      <c r="I173" s="14" t="s">
        <v>880</v>
      </c>
      <c r="J173" s="14" t="s">
        <v>905</v>
      </c>
      <c r="K173" s="14" t="s">
        <v>886</v>
      </c>
      <c r="L173" s="14">
        <v>105</v>
      </c>
    </row>
    <row r="174" spans="1:12" hidden="1" x14ac:dyDescent="0.3">
      <c r="A174" s="768" t="s">
        <v>1469</v>
      </c>
      <c r="F174" s="772" t="s">
        <v>1539</v>
      </c>
      <c r="G174" s="778">
        <v>5410</v>
      </c>
      <c r="H174" s="14" t="s">
        <v>876</v>
      </c>
      <c r="I174" s="14" t="s">
        <v>880</v>
      </c>
      <c r="J174" s="14" t="s">
        <v>905</v>
      </c>
      <c r="K174" s="14" t="s">
        <v>886</v>
      </c>
      <c r="L174" s="14">
        <v>105</v>
      </c>
    </row>
    <row r="175" spans="1:12" hidden="1" x14ac:dyDescent="0.3">
      <c r="A175" s="768" t="s">
        <v>1473</v>
      </c>
      <c r="F175" s="772" t="s">
        <v>1539</v>
      </c>
      <c r="G175" s="778">
        <v>1100</v>
      </c>
      <c r="H175" s="14" t="s">
        <v>876</v>
      </c>
      <c r="I175" s="14" t="s">
        <v>880</v>
      </c>
      <c r="J175" s="14" t="s">
        <v>905</v>
      </c>
      <c r="K175" s="14" t="s">
        <v>898</v>
      </c>
      <c r="L175" s="14">
        <v>105</v>
      </c>
    </row>
    <row r="176" spans="1:12" hidden="1" x14ac:dyDescent="0.3">
      <c r="A176" s="768" t="s">
        <v>1475</v>
      </c>
      <c r="F176" s="772" t="s">
        <v>1539</v>
      </c>
      <c r="G176" s="778">
        <v>53257.14</v>
      </c>
      <c r="H176" s="14" t="s">
        <v>876</v>
      </c>
      <c r="I176" s="14" t="s">
        <v>880</v>
      </c>
      <c r="J176" s="14" t="s">
        <v>909</v>
      </c>
      <c r="K176" s="14" t="s">
        <v>878</v>
      </c>
      <c r="L176" s="14">
        <v>105</v>
      </c>
    </row>
    <row r="177" spans="1:12" hidden="1" x14ac:dyDescent="0.3">
      <c r="A177" s="768" t="s">
        <v>1477</v>
      </c>
      <c r="F177" s="772" t="s">
        <v>1539</v>
      </c>
      <c r="G177" s="778">
        <v>13703.32</v>
      </c>
      <c r="H177" s="14" t="s">
        <v>876</v>
      </c>
      <c r="I177" s="14" t="s">
        <v>880</v>
      </c>
      <c r="J177" s="14" t="s">
        <v>909</v>
      </c>
      <c r="K177" s="14" t="s">
        <v>882</v>
      </c>
      <c r="L177" s="14">
        <v>105</v>
      </c>
    </row>
    <row r="178" spans="1:12" hidden="1" x14ac:dyDescent="0.3">
      <c r="A178" s="768" t="s">
        <v>1478</v>
      </c>
      <c r="F178" s="772" t="s">
        <v>1539</v>
      </c>
      <c r="G178" s="778">
        <v>26659.64</v>
      </c>
      <c r="H178" s="14" t="s">
        <v>876</v>
      </c>
      <c r="I178" s="14" t="s">
        <v>880</v>
      </c>
      <c r="J178" s="14" t="s">
        <v>909</v>
      </c>
      <c r="K178" s="14" t="s">
        <v>886</v>
      </c>
      <c r="L178" s="14">
        <v>105</v>
      </c>
    </row>
    <row r="179" spans="1:12" hidden="1" x14ac:dyDescent="0.3">
      <c r="A179" s="768" t="s">
        <v>1521</v>
      </c>
      <c r="F179" s="772" t="s">
        <v>1539</v>
      </c>
      <c r="G179" s="778">
        <v>6.7</v>
      </c>
      <c r="H179" s="14" t="s">
        <v>876</v>
      </c>
      <c r="I179" s="14" t="s">
        <v>880</v>
      </c>
      <c r="J179" s="14" t="s">
        <v>909</v>
      </c>
      <c r="K179" s="14" t="s">
        <v>886</v>
      </c>
      <c r="L179" s="14">
        <v>105</v>
      </c>
    </row>
    <row r="180" spans="1:12" hidden="1" x14ac:dyDescent="0.3">
      <c r="A180" s="768" t="s">
        <v>1404</v>
      </c>
      <c r="F180" s="772" t="s">
        <v>1539</v>
      </c>
      <c r="G180" s="778">
        <v>336.86</v>
      </c>
      <c r="H180" s="14" t="s">
        <v>876</v>
      </c>
      <c r="I180" s="14" t="s">
        <v>880</v>
      </c>
      <c r="J180" s="14" t="s">
        <v>909</v>
      </c>
      <c r="K180" s="14" t="s">
        <v>890</v>
      </c>
      <c r="L180" s="14">
        <v>105</v>
      </c>
    </row>
    <row r="181" spans="1:12" hidden="1" x14ac:dyDescent="0.3">
      <c r="A181" s="768" t="s">
        <v>1405</v>
      </c>
      <c r="F181" s="772" t="s">
        <v>1539</v>
      </c>
      <c r="G181" s="778">
        <v>361.4</v>
      </c>
      <c r="H181" s="14" t="s">
        <v>876</v>
      </c>
      <c r="I181" s="14" t="s">
        <v>880</v>
      </c>
      <c r="J181" s="14" t="s">
        <v>909</v>
      </c>
      <c r="K181" s="14" t="s">
        <v>890</v>
      </c>
      <c r="L181" s="14">
        <v>105</v>
      </c>
    </row>
    <row r="182" spans="1:12" hidden="1" x14ac:dyDescent="0.3">
      <c r="A182" s="768" t="s">
        <v>1479</v>
      </c>
      <c r="F182" s="772" t="s">
        <v>1539</v>
      </c>
      <c r="G182" s="778">
        <v>1566</v>
      </c>
      <c r="H182" s="14" t="s">
        <v>876</v>
      </c>
      <c r="I182" s="14" t="s">
        <v>880</v>
      </c>
      <c r="J182" s="14" t="s">
        <v>909</v>
      </c>
      <c r="K182" s="14" t="s">
        <v>898</v>
      </c>
      <c r="L182" s="14">
        <v>105</v>
      </c>
    </row>
    <row r="183" spans="1:12" hidden="1" x14ac:dyDescent="0.3">
      <c r="A183" s="768" t="s">
        <v>1482</v>
      </c>
      <c r="F183" s="772" t="s">
        <v>1539</v>
      </c>
      <c r="G183" s="778">
        <v>16740.43</v>
      </c>
      <c r="H183" s="14" t="s">
        <v>876</v>
      </c>
      <c r="I183" s="14" t="s">
        <v>880</v>
      </c>
      <c r="J183" s="14" t="s">
        <v>913</v>
      </c>
      <c r="K183" s="14" t="s">
        <v>886</v>
      </c>
      <c r="L183" s="14">
        <v>105</v>
      </c>
    </row>
    <row r="184" spans="1:12" hidden="1" x14ac:dyDescent="0.3">
      <c r="A184" s="768" t="s">
        <v>1522</v>
      </c>
      <c r="F184" s="772" t="s">
        <v>1539</v>
      </c>
      <c r="G184" s="778">
        <v>13.4</v>
      </c>
      <c r="H184" s="14" t="s">
        <v>876</v>
      </c>
      <c r="I184" s="14" t="s">
        <v>880</v>
      </c>
      <c r="J184" s="14" t="s">
        <v>913</v>
      </c>
      <c r="K184" s="14" t="s">
        <v>886</v>
      </c>
      <c r="L184" s="14">
        <v>105</v>
      </c>
    </row>
    <row r="185" spans="1:12" hidden="1" x14ac:dyDescent="0.3">
      <c r="A185" s="768" t="s">
        <v>1484</v>
      </c>
      <c r="F185" s="772" t="s">
        <v>1539</v>
      </c>
      <c r="G185" s="778">
        <v>20.88</v>
      </c>
      <c r="H185" s="14" t="s">
        <v>876</v>
      </c>
      <c r="I185" s="14" t="s">
        <v>880</v>
      </c>
      <c r="J185" s="14" t="s">
        <v>913</v>
      </c>
      <c r="K185" s="14" t="s">
        <v>890</v>
      </c>
      <c r="L185" s="14">
        <v>105</v>
      </c>
    </row>
    <row r="186" spans="1:12" hidden="1" x14ac:dyDescent="0.3">
      <c r="A186" s="768" t="s">
        <v>1487</v>
      </c>
      <c r="F186" s="772" t="s">
        <v>1539</v>
      </c>
      <c r="G186" s="778">
        <v>350</v>
      </c>
      <c r="H186" s="14" t="s">
        <v>876</v>
      </c>
      <c r="I186" s="14" t="s">
        <v>880</v>
      </c>
      <c r="J186" s="14" t="s">
        <v>913</v>
      </c>
      <c r="K186" s="14" t="s">
        <v>898</v>
      </c>
      <c r="L186" s="14">
        <v>105</v>
      </c>
    </row>
    <row r="187" spans="1:12" hidden="1" x14ac:dyDescent="0.3">
      <c r="A187" s="768" t="s">
        <v>1523</v>
      </c>
      <c r="F187" s="772" t="s">
        <v>1539</v>
      </c>
      <c r="G187" s="778">
        <v>149</v>
      </c>
      <c r="H187" s="14" t="s">
        <v>876</v>
      </c>
      <c r="I187" s="14" t="s">
        <v>880</v>
      </c>
      <c r="J187" s="14" t="s">
        <v>917</v>
      </c>
      <c r="K187" s="14" t="s">
        <v>886</v>
      </c>
      <c r="L187" s="14">
        <v>105</v>
      </c>
    </row>
    <row r="188" spans="1:12" hidden="1" x14ac:dyDescent="0.3">
      <c r="A188" s="768" t="s">
        <v>1490</v>
      </c>
      <c r="F188" s="772" t="s">
        <v>1539</v>
      </c>
      <c r="G188" s="778">
        <v>400</v>
      </c>
      <c r="H188" s="14" t="s">
        <v>876</v>
      </c>
      <c r="I188" s="14" t="s">
        <v>880</v>
      </c>
      <c r="J188" s="14" t="s">
        <v>917</v>
      </c>
      <c r="K188" s="14" t="s">
        <v>886</v>
      </c>
      <c r="L188" s="14">
        <v>105</v>
      </c>
    </row>
    <row r="189" spans="1:12" hidden="1" x14ac:dyDescent="0.3">
      <c r="A189" s="768" t="s">
        <v>1493</v>
      </c>
      <c r="F189" s="772" t="s">
        <v>1539</v>
      </c>
      <c r="G189" s="778">
        <v>1348</v>
      </c>
      <c r="H189" s="14" t="s">
        <v>876</v>
      </c>
      <c r="I189" s="14" t="s">
        <v>880</v>
      </c>
      <c r="J189" s="14" t="s">
        <v>917</v>
      </c>
      <c r="K189" s="14" t="s">
        <v>886</v>
      </c>
      <c r="L189" s="14">
        <v>105</v>
      </c>
    </row>
    <row r="190" spans="1:12" hidden="1" x14ac:dyDescent="0.3">
      <c r="A190" s="768" t="s">
        <v>1494</v>
      </c>
      <c r="F190" s="772" t="s">
        <v>1539</v>
      </c>
      <c r="G190" s="778">
        <v>9580</v>
      </c>
      <c r="H190" s="14" t="s">
        <v>876</v>
      </c>
      <c r="I190" s="14" t="s">
        <v>880</v>
      </c>
      <c r="J190" s="14" t="s">
        <v>917</v>
      </c>
      <c r="K190" s="14" t="s">
        <v>886</v>
      </c>
      <c r="L190" s="14">
        <v>105</v>
      </c>
    </row>
    <row r="191" spans="1:12" hidden="1" x14ac:dyDescent="0.3">
      <c r="A191" s="768" t="s">
        <v>1495</v>
      </c>
      <c r="F191" s="772" t="s">
        <v>1539</v>
      </c>
      <c r="G191" s="778">
        <v>952.76</v>
      </c>
      <c r="H191" s="14" t="s">
        <v>876</v>
      </c>
      <c r="I191" s="14" t="s">
        <v>880</v>
      </c>
      <c r="J191" s="14" t="s">
        <v>917</v>
      </c>
      <c r="K191" s="14" t="s">
        <v>886</v>
      </c>
      <c r="L191" s="14">
        <v>105</v>
      </c>
    </row>
    <row r="192" spans="1:12" hidden="1" x14ac:dyDescent="0.3">
      <c r="A192" s="768" t="s">
        <v>1496</v>
      </c>
      <c r="F192" s="772" t="s">
        <v>1539</v>
      </c>
      <c r="G192" s="778">
        <v>25009.77</v>
      </c>
      <c r="H192" s="14" t="s">
        <v>876</v>
      </c>
      <c r="I192" s="14" t="s">
        <v>880</v>
      </c>
      <c r="J192" s="14" t="s">
        <v>917</v>
      </c>
      <c r="K192" s="14" t="s">
        <v>886</v>
      </c>
      <c r="L192" s="14">
        <v>105</v>
      </c>
    </row>
    <row r="193" spans="1:12" hidden="1" x14ac:dyDescent="0.3">
      <c r="A193" s="768" t="s">
        <v>1497</v>
      </c>
      <c r="F193" s="772" t="s">
        <v>1539</v>
      </c>
      <c r="G193" s="778">
        <v>404.69</v>
      </c>
      <c r="H193" s="14" t="s">
        <v>876</v>
      </c>
      <c r="I193" s="14" t="s">
        <v>880</v>
      </c>
      <c r="J193" s="14" t="s">
        <v>917</v>
      </c>
      <c r="K193" s="14" t="s">
        <v>886</v>
      </c>
      <c r="L193" s="14">
        <v>105</v>
      </c>
    </row>
    <row r="194" spans="1:12" hidden="1" x14ac:dyDescent="0.3">
      <c r="A194" s="768" t="s">
        <v>1524</v>
      </c>
      <c r="F194" s="772" t="s">
        <v>1539</v>
      </c>
      <c r="G194" s="778">
        <v>78299.88</v>
      </c>
      <c r="H194" s="14" t="s">
        <v>876</v>
      </c>
      <c r="I194" s="14" t="s">
        <v>880</v>
      </c>
      <c r="J194" s="14" t="s">
        <v>917</v>
      </c>
      <c r="K194" s="14" t="s">
        <v>886</v>
      </c>
      <c r="L194" s="14">
        <v>105</v>
      </c>
    </row>
    <row r="195" spans="1:12" hidden="1" x14ac:dyDescent="0.3">
      <c r="A195" s="768" t="s">
        <v>1498</v>
      </c>
      <c r="F195" s="772" t="s">
        <v>1539</v>
      </c>
      <c r="G195" s="778">
        <v>5000</v>
      </c>
      <c r="H195" s="14" t="s">
        <v>876</v>
      </c>
      <c r="I195" s="14" t="s">
        <v>880</v>
      </c>
      <c r="J195" s="14" t="s">
        <v>917</v>
      </c>
      <c r="K195" s="14" t="s">
        <v>886</v>
      </c>
      <c r="L195" s="14">
        <v>105</v>
      </c>
    </row>
    <row r="196" spans="1:12" hidden="1" x14ac:dyDescent="0.3">
      <c r="A196" s="768" t="s">
        <v>1500</v>
      </c>
      <c r="F196" s="772" t="s">
        <v>1539</v>
      </c>
      <c r="G196" s="778">
        <f>27285.98-5184</f>
        <v>22101.98</v>
      </c>
      <c r="H196" s="14" t="s">
        <v>876</v>
      </c>
      <c r="I196" s="14" t="s">
        <v>880</v>
      </c>
      <c r="J196" s="14" t="s">
        <v>917</v>
      </c>
      <c r="K196" s="14" t="s">
        <v>886</v>
      </c>
      <c r="L196" s="14">
        <v>105</v>
      </c>
    </row>
    <row r="197" spans="1:12" x14ac:dyDescent="0.3">
      <c r="A197" s="768" t="s">
        <v>1500</v>
      </c>
      <c r="F197" s="772" t="s">
        <v>1573</v>
      </c>
      <c r="G197" s="775">
        <f>400*12+32*12</f>
        <v>5184</v>
      </c>
      <c r="H197" s="14" t="s">
        <v>956</v>
      </c>
      <c r="I197" s="14" t="s">
        <v>880</v>
      </c>
      <c r="J197" s="14" t="s">
        <v>917</v>
      </c>
      <c r="K197" s="14" t="s">
        <v>886</v>
      </c>
      <c r="L197" s="14">
        <v>105</v>
      </c>
    </row>
    <row r="198" spans="1:12" hidden="1" x14ac:dyDescent="0.3">
      <c r="A198" s="768" t="s">
        <v>1501</v>
      </c>
      <c r="F198" s="772" t="s">
        <v>1539</v>
      </c>
      <c r="G198" s="778">
        <v>104.81</v>
      </c>
      <c r="H198" s="14" t="s">
        <v>876</v>
      </c>
      <c r="I198" s="14" t="s">
        <v>880</v>
      </c>
      <c r="J198" s="14" t="s">
        <v>917</v>
      </c>
      <c r="K198" s="14" t="s">
        <v>890</v>
      </c>
      <c r="L198" s="14">
        <v>105</v>
      </c>
    </row>
    <row r="199" spans="1:12" hidden="1" x14ac:dyDescent="0.3">
      <c r="A199" s="768" t="s">
        <v>1502</v>
      </c>
      <c r="F199" s="772" t="s">
        <v>1539</v>
      </c>
      <c r="G199" s="778">
        <v>1192.71</v>
      </c>
      <c r="H199" s="14" t="s">
        <v>876</v>
      </c>
      <c r="I199" s="14" t="s">
        <v>880</v>
      </c>
      <c r="J199" s="14" t="s">
        <v>917</v>
      </c>
      <c r="K199" s="14" t="s">
        <v>890</v>
      </c>
      <c r="L199" s="14">
        <v>105</v>
      </c>
    </row>
    <row r="200" spans="1:12" hidden="1" x14ac:dyDescent="0.3">
      <c r="A200" s="768" t="s">
        <v>1504</v>
      </c>
      <c r="F200" s="772" t="s">
        <v>1539</v>
      </c>
      <c r="G200" s="778">
        <v>7263.46</v>
      </c>
      <c r="H200" s="14" t="s">
        <v>876</v>
      </c>
      <c r="I200" s="14" t="s">
        <v>880</v>
      </c>
      <c r="J200" s="14" t="s">
        <v>917</v>
      </c>
      <c r="K200" s="14" t="s">
        <v>890</v>
      </c>
      <c r="L200" s="14">
        <v>105</v>
      </c>
    </row>
    <row r="201" spans="1:12" hidden="1" x14ac:dyDescent="0.3">
      <c r="A201" s="768" t="s">
        <v>1507</v>
      </c>
      <c r="F201" s="772" t="s">
        <v>1539</v>
      </c>
      <c r="G201" s="778">
        <v>250</v>
      </c>
      <c r="H201" s="14" t="s">
        <v>876</v>
      </c>
      <c r="I201" s="14" t="s">
        <v>884</v>
      </c>
      <c r="J201" s="14" t="s">
        <v>881</v>
      </c>
      <c r="K201" s="14" t="s">
        <v>878</v>
      </c>
      <c r="L201" s="14">
        <v>105</v>
      </c>
    </row>
    <row r="202" spans="1:12" hidden="1" x14ac:dyDescent="0.3">
      <c r="A202" s="768" t="s">
        <v>1440</v>
      </c>
      <c r="F202" s="772" t="s">
        <v>1539</v>
      </c>
      <c r="G202" s="778">
        <v>6660</v>
      </c>
      <c r="H202" s="14" t="s">
        <v>876</v>
      </c>
      <c r="I202" s="14" t="s">
        <v>884</v>
      </c>
      <c r="J202" s="14" t="s">
        <v>881</v>
      </c>
      <c r="K202" s="14" t="s">
        <v>878</v>
      </c>
      <c r="L202" s="14">
        <v>105</v>
      </c>
    </row>
    <row r="203" spans="1:12" hidden="1" x14ac:dyDescent="0.3">
      <c r="A203" s="768" t="s">
        <v>1508</v>
      </c>
      <c r="F203" s="772" t="s">
        <v>1539</v>
      </c>
      <c r="G203" s="778">
        <v>11348.66</v>
      </c>
      <c r="H203" s="14" t="s">
        <v>876</v>
      </c>
      <c r="I203" s="14" t="s">
        <v>884</v>
      </c>
      <c r="J203" s="14" t="s">
        <v>881</v>
      </c>
      <c r="K203" s="14" t="s">
        <v>878</v>
      </c>
      <c r="L203" s="14">
        <v>105</v>
      </c>
    </row>
    <row r="204" spans="1:12" hidden="1" x14ac:dyDescent="0.3">
      <c r="A204" s="768" t="s">
        <v>1441</v>
      </c>
      <c r="F204" s="772" t="s">
        <v>1539</v>
      </c>
      <c r="G204" s="778">
        <v>10062.09</v>
      </c>
      <c r="H204" s="14" t="s">
        <v>876</v>
      </c>
      <c r="I204" s="14" t="s">
        <v>884</v>
      </c>
      <c r="J204" s="14" t="s">
        <v>881</v>
      </c>
      <c r="K204" s="14" t="s">
        <v>882</v>
      </c>
      <c r="L204" s="14">
        <v>105</v>
      </c>
    </row>
    <row r="205" spans="1:12" hidden="1" x14ac:dyDescent="0.3">
      <c r="A205" s="768" t="s">
        <v>1525</v>
      </c>
      <c r="F205" s="772" t="s">
        <v>1539</v>
      </c>
      <c r="G205" s="778">
        <v>59617.95</v>
      </c>
      <c r="H205" s="14" t="s">
        <v>876</v>
      </c>
      <c r="I205" s="14" t="s">
        <v>884</v>
      </c>
      <c r="J205" s="14" t="s">
        <v>881</v>
      </c>
      <c r="K205" s="14" t="s">
        <v>886</v>
      </c>
      <c r="L205" s="14">
        <v>105</v>
      </c>
    </row>
    <row r="206" spans="1:12" hidden="1" x14ac:dyDescent="0.3">
      <c r="A206" s="768" t="s">
        <v>1509</v>
      </c>
      <c r="F206" s="772" t="s">
        <v>1539</v>
      </c>
      <c r="G206" s="778">
        <v>15.96</v>
      </c>
      <c r="H206" s="14" t="s">
        <v>876</v>
      </c>
      <c r="I206" s="14" t="s">
        <v>884</v>
      </c>
      <c r="J206" s="14" t="s">
        <v>881</v>
      </c>
      <c r="K206" s="14" t="s">
        <v>890</v>
      </c>
      <c r="L206" s="14">
        <v>105</v>
      </c>
    </row>
    <row r="207" spans="1:12" hidden="1" x14ac:dyDescent="0.3">
      <c r="A207" s="768" t="s">
        <v>1442</v>
      </c>
      <c r="F207" s="772" t="s">
        <v>1539</v>
      </c>
      <c r="G207" s="778">
        <v>0</v>
      </c>
      <c r="H207" s="14" t="s">
        <v>876</v>
      </c>
      <c r="I207" s="14" t="s">
        <v>884</v>
      </c>
      <c r="J207" s="14" t="s">
        <v>889</v>
      </c>
      <c r="K207" s="14" t="s">
        <v>886</v>
      </c>
      <c r="L207" s="14">
        <v>105</v>
      </c>
    </row>
    <row r="208" spans="1:12" hidden="1" x14ac:dyDescent="0.3">
      <c r="A208" s="768" t="s">
        <v>1510</v>
      </c>
      <c r="F208" s="772" t="s">
        <v>1539</v>
      </c>
      <c r="G208" s="778">
        <v>671.27</v>
      </c>
      <c r="H208" s="14" t="s">
        <v>876</v>
      </c>
      <c r="I208" s="14" t="s">
        <v>884</v>
      </c>
      <c r="J208" s="14" t="s">
        <v>889</v>
      </c>
      <c r="K208" s="14" t="s">
        <v>890</v>
      </c>
      <c r="L208" s="14">
        <v>105</v>
      </c>
    </row>
    <row r="209" spans="1:12" hidden="1" x14ac:dyDescent="0.3">
      <c r="A209" s="768" t="s">
        <v>1512</v>
      </c>
      <c r="F209" s="772" t="s">
        <v>1539</v>
      </c>
      <c r="G209" s="778">
        <v>735.08</v>
      </c>
      <c r="H209" s="14" t="s">
        <v>876</v>
      </c>
      <c r="I209" s="14" t="s">
        <v>884</v>
      </c>
      <c r="J209" s="14" t="s">
        <v>893</v>
      </c>
      <c r="K209" s="14" t="s">
        <v>882</v>
      </c>
      <c r="L209" s="14">
        <v>105</v>
      </c>
    </row>
    <row r="210" spans="1:12" hidden="1" x14ac:dyDescent="0.3">
      <c r="A210" s="768" t="s">
        <v>1513</v>
      </c>
      <c r="F210" s="772" t="s">
        <v>1539</v>
      </c>
      <c r="G210" s="778">
        <v>2678.75</v>
      </c>
      <c r="H210" s="14" t="s">
        <v>876</v>
      </c>
      <c r="I210" s="14" t="s">
        <v>884</v>
      </c>
      <c r="J210" s="14" t="s">
        <v>893</v>
      </c>
      <c r="K210" s="14" t="s">
        <v>886</v>
      </c>
      <c r="L210" s="14">
        <v>105</v>
      </c>
    </row>
    <row r="211" spans="1:12" hidden="1" x14ac:dyDescent="0.3">
      <c r="A211" s="768" t="s">
        <v>1574</v>
      </c>
      <c r="F211" s="772" t="s">
        <v>1539</v>
      </c>
      <c r="G211" s="778">
        <v>1304.3699999999999</v>
      </c>
      <c r="H211" s="14" t="s">
        <v>876</v>
      </c>
      <c r="I211" s="14" t="s">
        <v>884</v>
      </c>
      <c r="J211" s="14" t="s">
        <v>893</v>
      </c>
      <c r="K211" s="14" t="s">
        <v>886</v>
      </c>
      <c r="L211" s="14">
        <v>105</v>
      </c>
    </row>
    <row r="212" spans="1:12" x14ac:dyDescent="0.3">
      <c r="A212" s="768" t="s">
        <v>1526</v>
      </c>
      <c r="F212" s="772" t="s">
        <v>1536</v>
      </c>
      <c r="G212" s="770">
        <v>0</v>
      </c>
      <c r="H212" s="14" t="s">
        <v>954</v>
      </c>
      <c r="I212" s="14" t="s">
        <v>21</v>
      </c>
      <c r="J212" s="14" t="s">
        <v>21</v>
      </c>
      <c r="K212" s="14" t="s">
        <v>976</v>
      </c>
      <c r="L212" s="14">
        <v>101</v>
      </c>
    </row>
    <row r="213" spans="1:12" hidden="1" x14ac:dyDescent="0.3">
      <c r="A213" s="768" t="s">
        <v>1527</v>
      </c>
      <c r="F213" s="772" t="s">
        <v>1537</v>
      </c>
      <c r="G213" s="776">
        <v>127905.71</v>
      </c>
      <c r="H213" s="14" t="s">
        <v>877</v>
      </c>
      <c r="I213" s="14" t="s">
        <v>880</v>
      </c>
      <c r="J213" s="14" t="s">
        <v>881</v>
      </c>
      <c r="K213" s="14" t="s">
        <v>878</v>
      </c>
      <c r="L213" s="14">
        <v>101</v>
      </c>
    </row>
    <row r="214" spans="1:12" hidden="1" x14ac:dyDescent="0.3">
      <c r="A214" s="768" t="s">
        <v>1528</v>
      </c>
      <c r="F214" s="772" t="s">
        <v>1537</v>
      </c>
      <c r="G214" s="776">
        <v>3750</v>
      </c>
      <c r="H214" s="14" t="s">
        <v>877</v>
      </c>
      <c r="I214" s="14" t="s">
        <v>880</v>
      </c>
      <c r="J214" s="14" t="s">
        <v>881</v>
      </c>
      <c r="K214" s="14" t="s">
        <v>878</v>
      </c>
      <c r="L214" s="14">
        <v>101</v>
      </c>
    </row>
    <row r="215" spans="1:12" hidden="1" x14ac:dyDescent="0.3">
      <c r="A215" s="768" t="s">
        <v>1529</v>
      </c>
      <c r="F215" s="772" t="s">
        <v>1537</v>
      </c>
      <c r="G215" s="776">
        <v>5000</v>
      </c>
      <c r="H215" s="14" t="s">
        <v>877</v>
      </c>
      <c r="I215" s="14" t="s">
        <v>880</v>
      </c>
      <c r="J215" s="14" t="s">
        <v>889</v>
      </c>
      <c r="K215" s="14" t="s">
        <v>878</v>
      </c>
      <c r="L215" s="14">
        <v>101</v>
      </c>
    </row>
    <row r="216" spans="1:12" hidden="1" x14ac:dyDescent="0.3">
      <c r="A216" s="768" t="s">
        <v>1530</v>
      </c>
      <c r="F216" s="772" t="s">
        <v>1537</v>
      </c>
      <c r="G216" s="776">
        <f>23410.03-1000</f>
        <v>22410.03</v>
      </c>
      <c r="H216" s="14" t="s">
        <v>877</v>
      </c>
      <c r="I216" s="14" t="s">
        <v>880</v>
      </c>
      <c r="J216" s="14" t="s">
        <v>881</v>
      </c>
      <c r="K216" s="14" t="s">
        <v>882</v>
      </c>
      <c r="L216" s="14">
        <v>101</v>
      </c>
    </row>
    <row r="217" spans="1:12" hidden="1" x14ac:dyDescent="0.3">
      <c r="A217" s="768" t="s">
        <v>1530</v>
      </c>
      <c r="F217" s="772" t="s">
        <v>1537</v>
      </c>
      <c r="G217" s="776">
        <v>1000</v>
      </c>
      <c r="H217" s="14" t="s">
        <v>877</v>
      </c>
      <c r="I217" s="14" t="s">
        <v>880</v>
      </c>
      <c r="J217" s="14" t="s">
        <v>889</v>
      </c>
      <c r="K217" s="14" t="s">
        <v>882</v>
      </c>
      <c r="L217" s="14">
        <v>101</v>
      </c>
    </row>
    <row r="218" spans="1:12" hidden="1" x14ac:dyDescent="0.3">
      <c r="A218" s="768" t="s">
        <v>1531</v>
      </c>
      <c r="F218" s="772" t="s">
        <v>1537</v>
      </c>
      <c r="G218" s="776">
        <v>15754.36</v>
      </c>
      <c r="H218" s="14" t="s">
        <v>877</v>
      </c>
      <c r="I218" s="14" t="s">
        <v>884</v>
      </c>
      <c r="J218" s="14" t="s">
        <v>881</v>
      </c>
      <c r="K218" s="14" t="s">
        <v>878</v>
      </c>
      <c r="L218" s="14">
        <v>101</v>
      </c>
    </row>
    <row r="219" spans="1:12" hidden="1" x14ac:dyDescent="0.3">
      <c r="A219" s="768" t="s">
        <v>1532</v>
      </c>
      <c r="F219" s="772" t="s">
        <v>1537</v>
      </c>
      <c r="G219" s="776">
        <v>1050</v>
      </c>
      <c r="H219" s="14" t="s">
        <v>877</v>
      </c>
      <c r="I219" s="14" t="s">
        <v>884</v>
      </c>
      <c r="J219" s="14" t="s">
        <v>881</v>
      </c>
      <c r="K219" s="14" t="s">
        <v>878</v>
      </c>
      <c r="L219" s="14">
        <v>101</v>
      </c>
    </row>
    <row r="220" spans="1:12" hidden="1" x14ac:dyDescent="0.3">
      <c r="A220" s="768" t="s">
        <v>1533</v>
      </c>
      <c r="F220" s="772" t="s">
        <v>1537</v>
      </c>
      <c r="G220" s="776">
        <v>3429.2</v>
      </c>
      <c r="H220" s="14" t="s">
        <v>877</v>
      </c>
      <c r="I220" s="14" t="s">
        <v>884</v>
      </c>
      <c r="J220" s="14" t="s">
        <v>881</v>
      </c>
      <c r="K220" s="14" t="s">
        <v>882</v>
      </c>
      <c r="L220" s="14">
        <v>101</v>
      </c>
    </row>
    <row r="221" spans="1:12" hidden="1" x14ac:dyDescent="0.3">
      <c r="A221" s="768" t="s">
        <v>1527</v>
      </c>
      <c r="F221" s="772" t="s">
        <v>1538</v>
      </c>
      <c r="G221" s="776">
        <v>49108.480000000003</v>
      </c>
      <c r="H221" s="14" t="s">
        <v>877</v>
      </c>
      <c r="I221" s="14" t="s">
        <v>880</v>
      </c>
      <c r="J221" s="14" t="s">
        <v>881</v>
      </c>
      <c r="K221" s="14" t="s">
        <v>878</v>
      </c>
      <c r="L221" s="14">
        <v>105</v>
      </c>
    </row>
    <row r="222" spans="1:12" hidden="1" x14ac:dyDescent="0.3">
      <c r="A222" s="768" t="s">
        <v>1528</v>
      </c>
      <c r="F222" s="772" t="s">
        <v>1538</v>
      </c>
      <c r="G222" s="776">
        <v>2750</v>
      </c>
      <c r="H222" s="14" t="s">
        <v>877</v>
      </c>
      <c r="I222" s="14" t="s">
        <v>880</v>
      </c>
      <c r="J222" s="14" t="s">
        <v>881</v>
      </c>
      <c r="K222" s="14" t="s">
        <v>878</v>
      </c>
      <c r="L222" s="14">
        <v>105</v>
      </c>
    </row>
    <row r="223" spans="1:12" hidden="1" x14ac:dyDescent="0.3">
      <c r="A223" s="768" t="s">
        <v>1529</v>
      </c>
      <c r="F223" s="772" t="s">
        <v>1538</v>
      </c>
      <c r="G223" s="776">
        <v>2500</v>
      </c>
      <c r="H223" s="14" t="s">
        <v>877</v>
      </c>
      <c r="I223" s="14" t="s">
        <v>880</v>
      </c>
      <c r="J223" s="14" t="s">
        <v>889</v>
      </c>
      <c r="K223" s="14" t="s">
        <v>878</v>
      </c>
      <c r="L223" s="14">
        <v>105</v>
      </c>
    </row>
    <row r="224" spans="1:12" hidden="1" x14ac:dyDescent="0.3">
      <c r="A224" s="768" t="s">
        <v>1530</v>
      </c>
      <c r="F224" s="772" t="s">
        <v>1538</v>
      </c>
      <c r="G224" s="776">
        <f>11212.11-500</f>
        <v>10712.11</v>
      </c>
      <c r="H224" s="14" t="s">
        <v>877</v>
      </c>
      <c r="I224" s="14" t="s">
        <v>880</v>
      </c>
      <c r="J224" s="14" t="s">
        <v>881</v>
      </c>
      <c r="K224" s="14" t="s">
        <v>882</v>
      </c>
      <c r="L224" s="14">
        <v>105</v>
      </c>
    </row>
    <row r="225" spans="1:12" hidden="1" x14ac:dyDescent="0.3">
      <c r="A225" s="768" t="s">
        <v>1530</v>
      </c>
      <c r="F225" s="772" t="s">
        <v>1538</v>
      </c>
      <c r="G225" s="776">
        <f>2500*0.2</f>
        <v>500</v>
      </c>
      <c r="H225" s="14" t="s">
        <v>877</v>
      </c>
      <c r="I225" s="14" t="s">
        <v>880</v>
      </c>
      <c r="J225" s="14" t="s">
        <v>889</v>
      </c>
      <c r="K225" s="14" t="s">
        <v>882</v>
      </c>
      <c r="L225" s="14">
        <v>105</v>
      </c>
    </row>
    <row r="226" spans="1:12" hidden="1" x14ac:dyDescent="0.3">
      <c r="A226" s="768" t="s">
        <v>1534</v>
      </c>
      <c r="F226" s="772" t="s">
        <v>1538</v>
      </c>
      <c r="G226" s="776">
        <v>2955</v>
      </c>
      <c r="H226" s="14" t="s">
        <v>877</v>
      </c>
      <c r="I226" s="14" t="s">
        <v>880</v>
      </c>
      <c r="J226" s="14" t="s">
        <v>881</v>
      </c>
      <c r="K226" s="14" t="s">
        <v>886</v>
      </c>
      <c r="L226" s="14">
        <v>105</v>
      </c>
    </row>
    <row r="227" spans="1:12" hidden="1" x14ac:dyDescent="0.3">
      <c r="A227" s="768" t="s">
        <v>1531</v>
      </c>
      <c r="F227" s="772" t="s">
        <v>1538</v>
      </c>
      <c r="G227" s="776">
        <v>6658</v>
      </c>
      <c r="H227" s="14" t="s">
        <v>877</v>
      </c>
      <c r="I227" s="14" t="s">
        <v>884</v>
      </c>
      <c r="J227" s="14" t="s">
        <v>881</v>
      </c>
      <c r="K227" s="14" t="s">
        <v>878</v>
      </c>
      <c r="L227" s="14">
        <v>105</v>
      </c>
    </row>
    <row r="228" spans="1:12" hidden="1" x14ac:dyDescent="0.3">
      <c r="A228" s="768" t="s">
        <v>1533</v>
      </c>
      <c r="F228" s="772" t="s">
        <v>1538</v>
      </c>
      <c r="G228" s="776">
        <v>1582.9</v>
      </c>
      <c r="H228" s="14" t="s">
        <v>877</v>
      </c>
      <c r="I228" s="14" t="s">
        <v>884</v>
      </c>
      <c r="J228" s="14" t="s">
        <v>881</v>
      </c>
      <c r="K228" s="14" t="s">
        <v>882</v>
      </c>
      <c r="L228" s="14">
        <v>105</v>
      </c>
    </row>
    <row r="229" spans="1:12" hidden="1" x14ac:dyDescent="0.3">
      <c r="A229" s="768" t="s">
        <v>1436</v>
      </c>
      <c r="B229" s="770"/>
      <c r="C229" s="771"/>
      <c r="D229" s="770">
        <v>2027.6</v>
      </c>
      <c r="F229" s="772" t="s">
        <v>1535</v>
      </c>
      <c r="G229" s="20">
        <v>-2027.6</v>
      </c>
      <c r="H229" s="14" t="s">
        <v>876</v>
      </c>
      <c r="I229" s="14" t="s">
        <v>21</v>
      </c>
      <c r="J229" s="14" t="s">
        <v>21</v>
      </c>
      <c r="K229" s="14" t="s">
        <v>955</v>
      </c>
      <c r="L229" s="14">
        <v>105</v>
      </c>
    </row>
    <row r="230" spans="1:12" hidden="1" x14ac:dyDescent="0.3">
      <c r="A230" s="768" t="s">
        <v>1450</v>
      </c>
      <c r="B230" s="770"/>
      <c r="C230" s="771"/>
      <c r="D230" s="770"/>
      <c r="F230" s="772" t="s">
        <v>1535</v>
      </c>
      <c r="G230" s="778">
        <v>165</v>
      </c>
      <c r="H230" s="14" t="s">
        <v>876</v>
      </c>
      <c r="I230" s="14" t="s">
        <v>880</v>
      </c>
      <c r="J230" s="14" t="s">
        <v>881</v>
      </c>
      <c r="K230" s="14" t="s">
        <v>886</v>
      </c>
      <c r="L230" s="14">
        <v>105</v>
      </c>
    </row>
    <row r="231" spans="1:12" hidden="1" x14ac:dyDescent="0.3">
      <c r="A231" s="768" t="s">
        <v>1407</v>
      </c>
      <c r="B231" s="770"/>
      <c r="C231" s="771"/>
      <c r="D231" s="770"/>
      <c r="F231" s="772" t="s">
        <v>1535</v>
      </c>
      <c r="G231" s="778">
        <v>1645.13</v>
      </c>
      <c r="H231" s="14" t="s">
        <v>876</v>
      </c>
      <c r="I231" s="14" t="s">
        <v>880</v>
      </c>
      <c r="J231" s="14" t="s">
        <v>881</v>
      </c>
      <c r="K231" s="14" t="s">
        <v>886</v>
      </c>
      <c r="L231" s="14">
        <v>105</v>
      </c>
    </row>
    <row r="232" spans="1:12" hidden="1" x14ac:dyDescent="0.3">
      <c r="A232" s="768" t="s">
        <v>1402</v>
      </c>
      <c r="B232" s="770"/>
      <c r="C232" s="771"/>
      <c r="D232" s="770"/>
      <c r="F232" s="772" t="s">
        <v>1535</v>
      </c>
      <c r="G232" s="778">
        <v>217.47</v>
      </c>
      <c r="H232" s="14" t="s">
        <v>876</v>
      </c>
      <c r="I232" s="14" t="s">
        <v>880</v>
      </c>
      <c r="J232" s="14" t="s">
        <v>889</v>
      </c>
      <c r="K232" s="14" t="s">
        <v>890</v>
      </c>
      <c r="L232" s="14">
        <v>105</v>
      </c>
    </row>
    <row r="233" spans="1:12" hidden="1" x14ac:dyDescent="0.3">
      <c r="A233" s="768" t="s">
        <v>1416</v>
      </c>
      <c r="F233" s="772" t="s">
        <v>1540</v>
      </c>
      <c r="G233" s="778">
        <v>16666.68</v>
      </c>
      <c r="H233" s="14" t="s">
        <v>876</v>
      </c>
      <c r="I233" s="14" t="s">
        <v>880</v>
      </c>
      <c r="J233" s="14" t="s">
        <v>889</v>
      </c>
      <c r="K233" s="14" t="s">
        <v>878</v>
      </c>
      <c r="L233" s="14">
        <v>101</v>
      </c>
    </row>
    <row r="234" spans="1:12" hidden="1" x14ac:dyDescent="0.3">
      <c r="A234" s="768" t="s">
        <v>1417</v>
      </c>
      <c r="F234" s="772" t="s">
        <v>1540</v>
      </c>
      <c r="G234" s="778">
        <v>3333.32</v>
      </c>
      <c r="H234" s="14" t="s">
        <v>876</v>
      </c>
      <c r="I234" s="14" t="s">
        <v>880</v>
      </c>
      <c r="J234" s="14" t="s">
        <v>889</v>
      </c>
      <c r="K234" s="14" t="s">
        <v>882</v>
      </c>
      <c r="L234" s="14">
        <v>101</v>
      </c>
    </row>
    <row r="235" spans="1:12" ht="15" hidden="1" thickTop="1" x14ac:dyDescent="0.3">
      <c r="A235" s="768" t="s">
        <v>1436</v>
      </c>
      <c r="B235" s="773"/>
      <c r="C235" s="771"/>
      <c r="D235" s="773"/>
      <c r="F235" s="772" t="s">
        <v>1541</v>
      </c>
      <c r="G235" s="20">
        <v>-25000</v>
      </c>
      <c r="H235" s="14" t="s">
        <v>876</v>
      </c>
      <c r="I235" s="14" t="s">
        <v>21</v>
      </c>
      <c r="J235" s="14" t="s">
        <v>21</v>
      </c>
      <c r="K235" s="14" t="s">
        <v>955</v>
      </c>
      <c r="L235" s="14">
        <v>101</v>
      </c>
    </row>
    <row r="236" spans="1:12" hidden="1" x14ac:dyDescent="0.3">
      <c r="A236" s="768" t="s">
        <v>1449</v>
      </c>
      <c r="F236" s="772" t="s">
        <v>1545</v>
      </c>
      <c r="G236" s="778">
        <v>1325.46</v>
      </c>
      <c r="H236" s="14" t="s">
        <v>876</v>
      </c>
      <c r="I236" s="14" t="s">
        <v>880</v>
      </c>
      <c r="J236" s="14" t="s">
        <v>881</v>
      </c>
      <c r="K236" s="14" t="s">
        <v>886</v>
      </c>
      <c r="L236" s="14">
        <v>105</v>
      </c>
    </row>
    <row r="237" spans="1:12" hidden="1" x14ac:dyDescent="0.3">
      <c r="A237" s="768" t="s">
        <v>1542</v>
      </c>
      <c r="F237" s="772" t="s">
        <v>1545</v>
      </c>
      <c r="G237" s="778">
        <v>2740</v>
      </c>
      <c r="H237" s="14" t="s">
        <v>876</v>
      </c>
      <c r="I237" s="14" t="s">
        <v>880</v>
      </c>
      <c r="J237" s="14" t="s">
        <v>941</v>
      </c>
      <c r="K237" s="14" t="s">
        <v>894</v>
      </c>
      <c r="L237" s="14">
        <v>105</v>
      </c>
    </row>
    <row r="238" spans="1:12" hidden="1" x14ac:dyDescent="0.3">
      <c r="A238" s="768" t="s">
        <v>1449</v>
      </c>
      <c r="F238" s="772" t="s">
        <v>1544</v>
      </c>
      <c r="G238" s="778">
        <v>2544.46</v>
      </c>
      <c r="H238" s="14" t="s">
        <v>876</v>
      </c>
      <c r="I238" s="14" t="s">
        <v>880</v>
      </c>
      <c r="J238" s="14" t="s">
        <v>881</v>
      </c>
      <c r="K238" s="14" t="s">
        <v>886</v>
      </c>
      <c r="L238" s="14">
        <v>101</v>
      </c>
    </row>
    <row r="239" spans="1:12" hidden="1" x14ac:dyDescent="0.3">
      <c r="A239" s="768" t="s">
        <v>1485</v>
      </c>
      <c r="F239" s="772" t="s">
        <v>1544</v>
      </c>
      <c r="G239" s="778">
        <v>169.18</v>
      </c>
      <c r="H239" s="14" t="s">
        <v>876</v>
      </c>
      <c r="I239" s="14" t="s">
        <v>880</v>
      </c>
      <c r="J239" s="14" t="s">
        <v>913</v>
      </c>
      <c r="K239" s="14" t="s">
        <v>898</v>
      </c>
      <c r="L239" s="14">
        <v>101</v>
      </c>
    </row>
    <row r="240" spans="1:12" hidden="1" x14ac:dyDescent="0.3">
      <c r="A240" s="768" t="s">
        <v>1542</v>
      </c>
      <c r="F240" s="772" t="s">
        <v>1544</v>
      </c>
      <c r="G240" s="778">
        <v>838.8</v>
      </c>
      <c r="H240" s="14" t="s">
        <v>876</v>
      </c>
      <c r="I240" s="14" t="s">
        <v>880</v>
      </c>
      <c r="J240" s="14" t="s">
        <v>941</v>
      </c>
      <c r="K240" s="14" t="s">
        <v>894</v>
      </c>
      <c r="L240" s="14">
        <v>101</v>
      </c>
    </row>
    <row r="241" spans="1:12" hidden="1" x14ac:dyDescent="0.3">
      <c r="A241" s="768" t="s">
        <v>1448</v>
      </c>
      <c r="F241" s="772" t="s">
        <v>1546</v>
      </c>
      <c r="G241" s="778">
        <v>1769.9</v>
      </c>
      <c r="H241" s="14" t="s">
        <v>876</v>
      </c>
      <c r="I241" s="14" t="s">
        <v>880</v>
      </c>
      <c r="J241" s="14" t="s">
        <v>881</v>
      </c>
      <c r="K241" s="14" t="s">
        <v>886</v>
      </c>
      <c r="L241" s="14">
        <v>101</v>
      </c>
    </row>
    <row r="242" spans="1:12" hidden="1" x14ac:dyDescent="0.3">
      <c r="A242" s="768" t="s">
        <v>1450</v>
      </c>
      <c r="F242" s="772" t="s">
        <v>1546</v>
      </c>
      <c r="G242" s="778">
        <v>296</v>
      </c>
      <c r="H242" s="14" t="s">
        <v>876</v>
      </c>
      <c r="I242" s="14" t="s">
        <v>880</v>
      </c>
      <c r="J242" s="14" t="s">
        <v>881</v>
      </c>
      <c r="K242" s="14" t="s">
        <v>886</v>
      </c>
      <c r="L242" s="14">
        <v>101</v>
      </c>
    </row>
    <row r="243" spans="1:12" hidden="1" x14ac:dyDescent="0.3">
      <c r="A243" s="768" t="s">
        <v>1407</v>
      </c>
      <c r="F243" s="772" t="s">
        <v>1546</v>
      </c>
      <c r="G243" s="778">
        <v>4702.0200000000004</v>
      </c>
      <c r="H243" s="14" t="s">
        <v>876</v>
      </c>
      <c r="I243" s="14" t="s">
        <v>880</v>
      </c>
      <c r="J243" s="14" t="s">
        <v>881</v>
      </c>
      <c r="K243" s="14" t="s">
        <v>886</v>
      </c>
      <c r="L243" s="14">
        <v>101</v>
      </c>
    </row>
    <row r="244" spans="1:12" hidden="1" x14ac:dyDescent="0.3">
      <c r="A244" s="768" t="s">
        <v>1453</v>
      </c>
      <c r="F244" s="772" t="s">
        <v>1546</v>
      </c>
      <c r="G244" s="778">
        <v>1117.1300000000001</v>
      </c>
      <c r="H244" s="14" t="s">
        <v>876</v>
      </c>
      <c r="I244" s="14" t="s">
        <v>880</v>
      </c>
      <c r="J244" s="14" t="s">
        <v>881</v>
      </c>
      <c r="K244" s="14" t="s">
        <v>890</v>
      </c>
      <c r="L244" s="14">
        <v>101</v>
      </c>
    </row>
    <row r="245" spans="1:12" hidden="1" x14ac:dyDescent="0.3">
      <c r="A245" s="768" t="s">
        <v>1449</v>
      </c>
      <c r="F245" s="772" t="s">
        <v>1547</v>
      </c>
      <c r="G245" s="778">
        <v>140</v>
      </c>
      <c r="H245" s="14" t="s">
        <v>876</v>
      </c>
      <c r="I245" s="14" t="s">
        <v>880</v>
      </c>
      <c r="J245" s="14" t="s">
        <v>881</v>
      </c>
      <c r="K245" s="14" t="s">
        <v>886</v>
      </c>
      <c r="L245" s="14">
        <v>105</v>
      </c>
    </row>
    <row r="246" spans="1:12" hidden="1" x14ac:dyDescent="0.3">
      <c r="A246" s="768" t="s">
        <v>1407</v>
      </c>
      <c r="F246" s="772" t="s">
        <v>1547</v>
      </c>
      <c r="G246" s="778">
        <v>503.02</v>
      </c>
      <c r="H246" s="14" t="s">
        <v>876</v>
      </c>
      <c r="I246" s="14" t="s">
        <v>880</v>
      </c>
      <c r="J246" s="14" t="s">
        <v>881</v>
      </c>
      <c r="K246" s="14" t="s">
        <v>886</v>
      </c>
      <c r="L246" s="14">
        <v>105</v>
      </c>
    </row>
    <row r="247" spans="1:12" hidden="1" x14ac:dyDescent="0.3">
      <c r="A247" s="768" t="s">
        <v>1543</v>
      </c>
      <c r="F247" s="772" t="s">
        <v>1547</v>
      </c>
      <c r="G247" s="778">
        <v>72.180000000000007</v>
      </c>
      <c r="H247" s="14" t="s">
        <v>876</v>
      </c>
      <c r="I247" s="14" t="s">
        <v>884</v>
      </c>
      <c r="J247" s="14" t="s">
        <v>881</v>
      </c>
      <c r="K247" s="14" t="s">
        <v>886</v>
      </c>
      <c r="L247" s="14">
        <v>105</v>
      </c>
    </row>
    <row r="248" spans="1:12" hidden="1" x14ac:dyDescent="0.3">
      <c r="A248" s="768" t="s">
        <v>1548</v>
      </c>
      <c r="B248" s="770"/>
      <c r="C248" s="771"/>
      <c r="D248" s="770"/>
      <c r="F248" s="772" t="s">
        <v>1549</v>
      </c>
      <c r="G248" s="20">
        <v>-10400.030000000001</v>
      </c>
      <c r="H248" s="14" t="s">
        <v>876</v>
      </c>
      <c r="I248" s="14" t="s">
        <v>21</v>
      </c>
      <c r="J248" s="14" t="s">
        <v>21</v>
      </c>
      <c r="K248" s="14" t="s">
        <v>950</v>
      </c>
      <c r="L248" s="14">
        <v>101</v>
      </c>
    </row>
    <row r="249" spans="1:12" x14ac:dyDescent="0.3">
      <c r="A249" s="768" t="s">
        <v>1550</v>
      </c>
      <c r="B249" s="770"/>
      <c r="C249" s="771"/>
      <c r="D249" s="770"/>
      <c r="F249" s="772" t="s">
        <v>1552</v>
      </c>
      <c r="G249" s="20">
        <v>-53248.23</v>
      </c>
      <c r="H249" s="14" t="s">
        <v>891</v>
      </c>
      <c r="I249" s="14" t="s">
        <v>21</v>
      </c>
      <c r="J249" s="14" t="s">
        <v>21</v>
      </c>
      <c r="K249" s="14" t="s">
        <v>976</v>
      </c>
      <c r="L249" s="14">
        <v>101</v>
      </c>
    </row>
    <row r="250" spans="1:12" x14ac:dyDescent="0.3">
      <c r="A250" s="768" t="s">
        <v>1444</v>
      </c>
      <c r="C250" s="771"/>
      <c r="D250" s="770"/>
      <c r="F250" s="772" t="s">
        <v>1552</v>
      </c>
      <c r="G250" s="775">
        <v>40217.879999999997</v>
      </c>
      <c r="H250" s="14" t="s">
        <v>891</v>
      </c>
      <c r="I250" s="14" t="s">
        <v>880</v>
      </c>
      <c r="J250" s="14" t="s">
        <v>881</v>
      </c>
      <c r="K250" s="14" t="s">
        <v>878</v>
      </c>
      <c r="L250" s="14">
        <v>101</v>
      </c>
    </row>
    <row r="251" spans="1:12" x14ac:dyDescent="0.3">
      <c r="A251" s="768" t="s">
        <v>1426</v>
      </c>
      <c r="C251" s="771"/>
      <c r="D251" s="770"/>
      <c r="F251" s="772" t="s">
        <v>1552</v>
      </c>
      <c r="G251" s="775">
        <v>12065.36</v>
      </c>
      <c r="H251" s="14" t="s">
        <v>891</v>
      </c>
      <c r="I251" s="14" t="s">
        <v>880</v>
      </c>
      <c r="J251" s="14" t="s">
        <v>881</v>
      </c>
      <c r="K251" s="14" t="s">
        <v>882</v>
      </c>
      <c r="L251" s="14">
        <v>101</v>
      </c>
    </row>
    <row r="252" spans="1:12" x14ac:dyDescent="0.3">
      <c r="A252" s="768" t="s">
        <v>1424</v>
      </c>
      <c r="C252" s="771"/>
      <c r="D252" s="770"/>
      <c r="F252" s="772" t="s">
        <v>1552</v>
      </c>
      <c r="G252" s="770">
        <v>964.99</v>
      </c>
      <c r="H252" s="14" t="s">
        <v>891</v>
      </c>
      <c r="I252" s="14" t="s">
        <v>880</v>
      </c>
      <c r="J252" s="14" t="s">
        <v>913</v>
      </c>
      <c r="K252" s="14" t="s">
        <v>918</v>
      </c>
      <c r="L252" s="14">
        <v>101</v>
      </c>
    </row>
    <row r="253" spans="1:12" x14ac:dyDescent="0.3">
      <c r="A253" s="768" t="s">
        <v>1551</v>
      </c>
      <c r="B253" s="770"/>
      <c r="C253" s="771"/>
      <c r="D253" s="770"/>
      <c r="F253" s="772" t="s">
        <v>1553</v>
      </c>
      <c r="G253" s="20">
        <v>-10000</v>
      </c>
      <c r="H253" s="14" t="s">
        <v>899</v>
      </c>
      <c r="I253" s="14" t="s">
        <v>21</v>
      </c>
      <c r="J253" s="14" t="s">
        <v>21</v>
      </c>
      <c r="K253" s="14" t="s">
        <v>976</v>
      </c>
      <c r="L253" s="14">
        <v>101</v>
      </c>
    </row>
    <row r="254" spans="1:12" x14ac:dyDescent="0.3">
      <c r="A254" s="768" t="s">
        <v>1416</v>
      </c>
      <c r="B254" s="770"/>
      <c r="C254" s="771"/>
      <c r="D254" s="770"/>
      <c r="F254" s="772" t="s">
        <v>1553</v>
      </c>
      <c r="G254" s="774">
        <v>8000</v>
      </c>
      <c r="H254" s="14" t="s">
        <v>899</v>
      </c>
      <c r="I254" s="14" t="s">
        <v>880</v>
      </c>
      <c r="J254" s="14" t="s">
        <v>889</v>
      </c>
      <c r="K254" s="14" t="s">
        <v>878</v>
      </c>
      <c r="L254" s="14">
        <v>101</v>
      </c>
    </row>
    <row r="255" spans="1:12" x14ac:dyDescent="0.3">
      <c r="A255" s="768" t="s">
        <v>1417</v>
      </c>
      <c r="B255" s="770"/>
      <c r="C255" s="771"/>
      <c r="D255" s="770"/>
      <c r="F255" s="772" t="s">
        <v>1553</v>
      </c>
      <c r="G255" s="774">
        <v>2000</v>
      </c>
      <c r="H255" s="14" t="s">
        <v>899</v>
      </c>
      <c r="I255" s="14" t="s">
        <v>880</v>
      </c>
      <c r="J255" s="14" t="s">
        <v>889</v>
      </c>
      <c r="K255" s="14" t="s">
        <v>882</v>
      </c>
      <c r="L255" s="14">
        <v>101</v>
      </c>
    </row>
    <row r="256" spans="1:12" hidden="1" x14ac:dyDescent="0.3">
      <c r="A256" s="768" t="s">
        <v>1412</v>
      </c>
      <c r="B256" s="770"/>
      <c r="C256" s="771"/>
      <c r="D256" s="770">
        <v>4302.18</v>
      </c>
      <c r="F256" s="772" t="s">
        <v>1563</v>
      </c>
      <c r="G256" s="20">
        <v>-4302.18</v>
      </c>
      <c r="H256" s="14" t="s">
        <v>876</v>
      </c>
      <c r="I256" s="14" t="s">
        <v>21</v>
      </c>
      <c r="J256" s="14" t="s">
        <v>21</v>
      </c>
      <c r="K256" s="14" t="s">
        <v>938</v>
      </c>
      <c r="L256" s="14">
        <v>101</v>
      </c>
    </row>
    <row r="257" spans="1:12" hidden="1" x14ac:dyDescent="0.3">
      <c r="A257" s="768" t="s">
        <v>1548</v>
      </c>
      <c r="B257" s="770"/>
      <c r="C257" s="771"/>
      <c r="D257" s="770">
        <v>200</v>
      </c>
      <c r="F257" s="772" t="s">
        <v>1549</v>
      </c>
      <c r="G257" s="20">
        <v>0</v>
      </c>
      <c r="H257" s="14" t="s">
        <v>876</v>
      </c>
      <c r="I257" s="14" t="s">
        <v>21</v>
      </c>
      <c r="J257" s="14" t="s">
        <v>21</v>
      </c>
      <c r="K257" s="14" t="s">
        <v>950</v>
      </c>
      <c r="L257" s="14">
        <v>101</v>
      </c>
    </row>
    <row r="258" spans="1:12" hidden="1" x14ac:dyDescent="0.3">
      <c r="A258" s="768" t="s">
        <v>1554</v>
      </c>
      <c r="B258" s="770"/>
      <c r="C258" s="771"/>
      <c r="D258" s="770">
        <v>8342.4</v>
      </c>
      <c r="F258" s="772" t="s">
        <v>1564</v>
      </c>
      <c r="G258" s="20">
        <v>-8342.4</v>
      </c>
      <c r="H258" s="14" t="s">
        <v>876</v>
      </c>
      <c r="I258" s="14" t="s">
        <v>21</v>
      </c>
      <c r="J258" s="14" t="s">
        <v>21</v>
      </c>
      <c r="K258" s="14" t="s">
        <v>1283</v>
      </c>
      <c r="L258" s="14">
        <v>101</v>
      </c>
    </row>
    <row r="259" spans="1:12" hidden="1" x14ac:dyDescent="0.3">
      <c r="A259" s="768" t="s">
        <v>1411</v>
      </c>
      <c r="B259" s="770"/>
      <c r="C259" s="771"/>
      <c r="D259" s="770">
        <v>36757.68</v>
      </c>
      <c r="F259" s="772" t="s">
        <v>1565</v>
      </c>
      <c r="G259" s="20">
        <f>+-36757.68-200</f>
        <v>-36957.68</v>
      </c>
      <c r="H259" s="14" t="s">
        <v>876</v>
      </c>
      <c r="I259" s="14" t="s">
        <v>21</v>
      </c>
      <c r="J259" s="14" t="s">
        <v>21</v>
      </c>
      <c r="K259" s="14" t="s">
        <v>955</v>
      </c>
      <c r="L259" s="14">
        <v>101</v>
      </c>
    </row>
    <row r="260" spans="1:12" hidden="1" x14ac:dyDescent="0.3">
      <c r="A260" s="768" t="s">
        <v>1436</v>
      </c>
      <c r="B260" s="770"/>
      <c r="C260" s="771"/>
      <c r="D260" s="770">
        <v>5000</v>
      </c>
      <c r="F260" s="772" t="s">
        <v>1565</v>
      </c>
      <c r="G260" s="20">
        <v>-5000</v>
      </c>
      <c r="H260" s="14" t="s">
        <v>876</v>
      </c>
      <c r="I260" s="14" t="s">
        <v>21</v>
      </c>
      <c r="J260" s="14" t="s">
        <v>21</v>
      </c>
      <c r="K260" s="14" t="s">
        <v>955</v>
      </c>
      <c r="L260" s="14">
        <v>101</v>
      </c>
    </row>
    <row r="261" spans="1:12" hidden="1" x14ac:dyDescent="0.3">
      <c r="A261" s="768" t="s">
        <v>1518</v>
      </c>
      <c r="B261" s="770"/>
      <c r="C261" s="771"/>
      <c r="D261" s="770">
        <v>886.31</v>
      </c>
      <c r="F261" s="772" t="s">
        <v>1565</v>
      </c>
      <c r="G261" s="20">
        <f>-886.31+40</f>
        <v>-846.31</v>
      </c>
      <c r="H261" s="14" t="s">
        <v>876</v>
      </c>
      <c r="I261" s="14" t="s">
        <v>21</v>
      </c>
      <c r="J261" s="14" t="s">
        <v>21</v>
      </c>
      <c r="K261" s="14" t="s">
        <v>955</v>
      </c>
      <c r="L261" s="14">
        <v>101</v>
      </c>
    </row>
    <row r="262" spans="1:12" hidden="1" x14ac:dyDescent="0.3">
      <c r="A262" s="768" t="s">
        <v>1555</v>
      </c>
      <c r="B262" s="770"/>
      <c r="C262" s="771"/>
      <c r="D262" s="770">
        <v>2933.05</v>
      </c>
      <c r="F262" s="772" t="s">
        <v>1566</v>
      </c>
      <c r="G262" s="20">
        <v>-2933.05</v>
      </c>
      <c r="H262" s="14" t="s">
        <v>876</v>
      </c>
      <c r="I262" s="14" t="s">
        <v>21</v>
      </c>
      <c r="J262" s="14" t="s">
        <v>21</v>
      </c>
      <c r="K262" s="14" t="s">
        <v>1284</v>
      </c>
      <c r="L262" s="14">
        <v>101</v>
      </c>
    </row>
    <row r="263" spans="1:12" hidden="1" x14ac:dyDescent="0.3">
      <c r="A263" s="768" t="s">
        <v>1556</v>
      </c>
      <c r="B263" s="770"/>
      <c r="C263" s="771"/>
      <c r="D263" s="770">
        <v>515.04999999999995</v>
      </c>
      <c r="F263" s="772" t="s">
        <v>1567</v>
      </c>
      <c r="G263" s="20">
        <v>-515.04999999999995</v>
      </c>
      <c r="H263" s="14" t="s">
        <v>876</v>
      </c>
      <c r="I263" s="14" t="s">
        <v>21</v>
      </c>
      <c r="J263" s="14" t="s">
        <v>21</v>
      </c>
      <c r="K263" s="14" t="s">
        <v>1284</v>
      </c>
      <c r="L263" s="14">
        <v>101</v>
      </c>
    </row>
    <row r="264" spans="1:12" hidden="1" x14ac:dyDescent="0.3">
      <c r="A264" s="768" t="s">
        <v>1557</v>
      </c>
      <c r="B264" s="770"/>
      <c r="C264" s="771"/>
      <c r="D264" s="770">
        <v>9742.86</v>
      </c>
      <c r="F264" s="772" t="s">
        <v>1568</v>
      </c>
      <c r="G264" s="20">
        <v>-9742.86</v>
      </c>
      <c r="H264" s="14" t="s">
        <v>876</v>
      </c>
      <c r="I264" s="14" t="s">
        <v>21</v>
      </c>
      <c r="J264" s="14" t="s">
        <v>21</v>
      </c>
      <c r="K264" s="14" t="s">
        <v>967</v>
      </c>
      <c r="L264" s="14">
        <v>101</v>
      </c>
    </row>
    <row r="265" spans="1:12" hidden="1" x14ac:dyDescent="0.3">
      <c r="A265" s="768" t="s">
        <v>1558</v>
      </c>
      <c r="B265" s="770"/>
      <c r="C265" s="771"/>
      <c r="D265" s="770">
        <v>12481.05</v>
      </c>
      <c r="F265" s="772" t="s">
        <v>1568</v>
      </c>
      <c r="G265" s="20">
        <v>-12481.05</v>
      </c>
      <c r="H265" s="14" t="s">
        <v>876</v>
      </c>
      <c r="I265" s="14" t="s">
        <v>21</v>
      </c>
      <c r="J265" s="14" t="s">
        <v>21</v>
      </c>
      <c r="K265" s="14" t="s">
        <v>967</v>
      </c>
      <c r="L265" s="14">
        <v>101</v>
      </c>
    </row>
    <row r="266" spans="1:12" hidden="1" x14ac:dyDescent="0.3">
      <c r="A266" s="768" t="s">
        <v>1559</v>
      </c>
      <c r="B266" s="770"/>
      <c r="C266" s="771"/>
      <c r="D266" s="770">
        <v>1641779.67</v>
      </c>
      <c r="F266" s="772" t="s">
        <v>1568</v>
      </c>
      <c r="G266" s="20">
        <v>-1641779.67</v>
      </c>
      <c r="H266" s="14" t="s">
        <v>876</v>
      </c>
      <c r="I266" s="14" t="s">
        <v>21</v>
      </c>
      <c r="J266" s="14" t="s">
        <v>21</v>
      </c>
      <c r="K266" s="14" t="s">
        <v>965</v>
      </c>
      <c r="L266" s="14">
        <v>101</v>
      </c>
    </row>
    <row r="267" spans="1:12" hidden="1" x14ac:dyDescent="0.3">
      <c r="A267" s="768" t="s">
        <v>1560</v>
      </c>
      <c r="B267" s="770"/>
      <c r="C267" s="771"/>
      <c r="D267" s="770">
        <v>28935</v>
      </c>
      <c r="F267" s="772" t="s">
        <v>1569</v>
      </c>
      <c r="G267" s="20">
        <v>-28935</v>
      </c>
      <c r="H267" s="14" t="s">
        <v>876</v>
      </c>
      <c r="I267" s="14" t="s">
        <v>21</v>
      </c>
      <c r="J267" s="14" t="s">
        <v>21</v>
      </c>
      <c r="K267" s="14" t="s">
        <v>974</v>
      </c>
      <c r="L267" s="14">
        <v>101</v>
      </c>
    </row>
    <row r="268" spans="1:12" x14ac:dyDescent="0.3">
      <c r="A268" s="768" t="s">
        <v>1561</v>
      </c>
      <c r="B268" s="770"/>
      <c r="C268" s="771"/>
      <c r="D268" s="770">
        <v>10944</v>
      </c>
      <c r="F268" s="772" t="s">
        <v>1570</v>
      </c>
      <c r="G268" s="20">
        <v>-10944</v>
      </c>
      <c r="H268" s="14" t="s">
        <v>956</v>
      </c>
      <c r="I268" s="14" t="s">
        <v>21</v>
      </c>
      <c r="J268" s="14" t="s">
        <v>21</v>
      </c>
      <c r="K268" s="14" t="s">
        <v>974</v>
      </c>
      <c r="L268" s="14">
        <v>101</v>
      </c>
    </row>
    <row r="269" spans="1:12" hidden="1" x14ac:dyDescent="0.3">
      <c r="A269" s="768" t="s">
        <v>1562</v>
      </c>
      <c r="B269" s="770">
        <v>182777.43</v>
      </c>
      <c r="C269" s="771"/>
      <c r="D269" s="770"/>
      <c r="F269" s="772" t="s">
        <v>1563</v>
      </c>
      <c r="G269" s="779">
        <v>182777.43</v>
      </c>
      <c r="H269" s="14" t="s">
        <v>876</v>
      </c>
      <c r="I269" s="14" t="s">
        <v>880</v>
      </c>
      <c r="J269" s="14" t="s">
        <v>945</v>
      </c>
      <c r="K269" s="14" t="s">
        <v>906</v>
      </c>
      <c r="L269" s="14">
        <v>101</v>
      </c>
    </row>
    <row r="270" spans="1:12" hidden="1" x14ac:dyDescent="0.3">
      <c r="A270" s="768" t="s">
        <v>1571</v>
      </c>
      <c r="B270" s="770"/>
      <c r="C270" s="771"/>
      <c r="D270" s="770"/>
      <c r="G270" s="20">
        <v>-173934.83</v>
      </c>
      <c r="H270" s="14" t="s">
        <v>877</v>
      </c>
      <c r="I270" s="14" t="s">
        <v>21</v>
      </c>
      <c r="J270" s="14" t="s">
        <v>21</v>
      </c>
      <c r="K270" s="14" t="s">
        <v>971</v>
      </c>
      <c r="L270" s="14">
        <v>101</v>
      </c>
    </row>
  </sheetData>
  <autoFilter ref="A1:P270" xr:uid="{E0FC2CBE-2C82-46A1-A9FD-F3420802E110}">
    <filterColumn colId="7">
      <filters>
        <filter val="1100-1130-ESEA Title I - Helping Disadvantaged Children"/>
        <filter val="1160-ESEA  Title IV - 21st Century Schools"/>
        <filter val="1220-IDEA, Part B"/>
        <filter val="1310-1399-COVID-19 Federal Relief Projects"/>
        <filter val="1310-1399-Other Federal Projects"/>
      </filters>
    </filterColumn>
  </autoFilter>
  <conditionalFormatting sqref="E2:E65536">
    <cfRule type="expression" dxfId="15" priority="19" stopIfTrue="1">
      <formula>AND($E2&lt;&gt;#REF!,$E2&gt;0)</formula>
    </cfRule>
  </conditionalFormatting>
  <conditionalFormatting sqref="F2:F65536">
    <cfRule type="expression" dxfId="14" priority="18" stopIfTrue="1">
      <formula>AND($F2&lt;&gt;#REF!,$F2&gt;0)</formula>
    </cfRule>
  </conditionalFormatting>
  <conditionalFormatting sqref="H2:L37000">
    <cfRule type="containsBlanks" dxfId="13" priority="20" stopIfTrue="1">
      <formula>LEN(TRIM(H2))=0</formula>
    </cfRule>
  </conditionalFormatting>
  <conditionalFormatting sqref="I2:I37000">
    <cfRule type="expression" dxfId="12" priority="13" stopIfTrue="1">
      <formula>AND(LEFT($J2,4)="2700",OR(LEFT($I2,2)="Ba",LEFT($I2,2)="Re",LEFT($I2,3)="100",LEFT($I2,1)="2", LEFT($I2,1)="5", LEFT($I2,1)="6", LEFT($I2,3)="700", LEFT($I2,3)="800", LEFT($I2,3)="900"))</formula>
    </cfRule>
    <cfRule type="expression" dxfId="11" priority="14" stopIfTrue="1">
      <formula>AND(LEFT($H2,4)="1072",OR(LEFT($I2,3)="100",LEFT($I2,3)="200",LEFT($I2,3)="260",LEFT($I2,3)="270",LEFT($I2,3)="400", LEFT($I2,3)="430", LEFT($I2,1)="5", LEFT($I2,1)="6", LEFT($I2,3)="700", LEFT($I2,3)="800", LEFT($I2,3)="900"))</formula>
    </cfRule>
    <cfRule type="expression" dxfId="10" priority="17" stopIfTrue="1">
      <formula>AND(LEFT($H2,4)="1071",OR(LEFT($I2,3)="100",LEFT($I2,3)="200",LEFT($I2,3)="265",LEFT($I2,3)="270",LEFT($I2,3)="400", LEFT($I2,3)="435", LEFT($I2,1)="5", LEFT($I2,1)="6", LEFT($I2,3)="700", LEFT($I2,3)="800", LEFT($I2,3)="900"))</formula>
    </cfRule>
  </conditionalFormatting>
  <conditionalFormatting sqref="J2:J37000">
    <cfRule type="expression" dxfId="9" priority="7" stopIfTrue="1">
      <formula>AND(LEFT($K2,3)="682",OR(LEFT($J2,1)="B",LEFT($J2,1)="R",LEFT($J2,1)="1",LEFT($J2,2)="21",LEFT($J2,2)="22",LEFT($J2,2)="24",LEFT($J2,2)="25",LEFT($J2,2)="26",LEFT($J2,2)="27",LEFT($J2,2)="29",LEFT($J2,1)="3",LEFT($J2,1)="4",LEFT($J2,1)="5"))</formula>
    </cfRule>
    <cfRule type="expression" dxfId="8" priority="8" stopIfTrue="1">
      <formula>AND(LEFT($K2,3)="685",OR(LEFT($J2,1)="B",LEFT($J2,1)="R",LEFT($J2,1)="1",LEFT($J2,2)="21",LEFT($J2,2)="22",LEFT($J2,2)="23",LEFT($J2,2)="24",LEFT($J2,2)="26",LEFT($J2,2)="27",LEFT($J2,2)="29",LEFT($J2,1)="3",LEFT($J2,1)="4"))</formula>
    </cfRule>
  </conditionalFormatting>
  <conditionalFormatting sqref="J252:J265">
    <cfRule type="expression" dxfId="7" priority="1" stopIfTrue="1">
      <formula>AND(LEFT($J252,4)="2700",OR(LEFT($I252,2)="Ba",LEFT($I252,2)="Re",LEFT($I252,3)="100",LEFT($I252,1)="2", LEFT($I252,1)="5", LEFT($I252,1)="6", LEFT($I252,3)="700", LEFT($I252,3)="800", LEFT($I252,3)="900"))</formula>
    </cfRule>
    <cfRule type="expression" dxfId="6" priority="2" stopIfTrue="1">
      <formula>AND(LEFT($H252,4)="1072",OR(LEFT($I252,3)="100",LEFT($I252,3)="200",LEFT($I252,3)="260",LEFT($I252,3)="270",LEFT($I252,3)="400", LEFT($I252,3)="430", LEFT($I252,1)="5", LEFT($I252,1)="6", LEFT($I252,3)="700", LEFT($I252,3)="800", LEFT($I252,3)="900"))</formula>
    </cfRule>
    <cfRule type="expression" dxfId="5" priority="3" stopIfTrue="1">
      <formula>AND(LEFT($H252,4)="1071",OR(LEFT($I252,3)="100",LEFT($I252,3)="200",LEFT($I252,3)="265",LEFT($I252,3)="270",LEFT($I252,3)="400", LEFT($I252,3)="435", LEFT($I252,1)="5", LEFT($I252,1)="6", LEFT($I252,3)="700", LEFT($I252,3)="800", LEFT($I252,3)="900"))</formula>
    </cfRule>
  </conditionalFormatting>
  <conditionalFormatting sqref="J261:J268">
    <cfRule type="expression" dxfId="4" priority="4" stopIfTrue="1">
      <formula>AND(LEFT($J261,4)="2700",OR(LEFT($I261,2)="Ba",LEFT($I261,2)="Re",LEFT($I261,3)="100",LEFT($I261,1)="2", LEFT($I261,1)="5", LEFT($I261,1)="6", LEFT($I261,3)="700", LEFT($I261,3)="800", LEFT($I261,3)="900"))</formula>
    </cfRule>
    <cfRule type="expression" dxfId="3" priority="5" stopIfTrue="1">
      <formula>AND(LEFT($H261,4)="1072",OR(LEFT($I261,3)="100",LEFT($I261,3)="200",LEFT($I261,3)="260",LEFT($I261,3)="270",LEFT($I261,3)="400", LEFT($I261,3)="430", LEFT($I261,1)="5", LEFT($I261,1)="6", LEFT($I261,3)="700", LEFT($I261,3)="800", LEFT($I261,3)="900"))</formula>
    </cfRule>
    <cfRule type="expression" dxfId="2" priority="6" stopIfTrue="1">
      <formula>AND(LEFT($H261,4)="1071",OR(LEFT($I261,3)="100",LEFT($I261,3)="200",LEFT($I261,3)="265",LEFT($I261,3)="270",LEFT($I261,3)="400", LEFT($I261,3)="435", LEFT($I261,1)="5", LEFT($I261,1)="6", LEFT($I261,3)="700", LEFT($I261,3)="800", LEFT($I261,3)="900"))</formula>
    </cfRule>
  </conditionalFormatting>
  <conditionalFormatting sqref="K2:K37000">
    <cfRule type="expression" dxfId="1" priority="10" stopIfTrue="1">
      <formula>AND(OR(LEFT($H2,4)="1071",LEFT($H2,4)="1072"),OR(LEFT($K2,2)="13",LEFT($K2,2)="14",LEFT($K2,2)="16",LEFT($K2,2)="17",LEFT($K2,2)="18",LEFT($K2,2)="19",LEFT($K2,1)="O",LEFT($K2,1)="2",LEFT($K2,2)="31",LEFT($K2,2)="39",LEFT($K2,1)="4"))</formula>
    </cfRule>
    <cfRule type="expression" dxfId="0" priority="11" stopIfTrue="1">
      <formula>AND(LEFT($H2,3)="101",OR(LEFT($K2,2)="13",LEFT($K2,2)="14",LEFT($K2,2)="16",LEFT($K2,2)="17",LEFT($K2,2)="18",LEFT($K2,2)="19",LEFT($K2,1)="O",LEFT($K2,1)="2",LEFT($K2,1)="4"))</formula>
    </cfRule>
  </conditionalFormatting>
  <dataValidations count="5">
    <dataValidation type="list" allowBlank="1" showInputMessage="1" showErrorMessage="1" sqref="L2:L37000" xr:uid="{00000000-0002-0000-1100-000000000000}">
      <formula1>$Y$2:$Y$21</formula1>
    </dataValidation>
    <dataValidation type="list" allowBlank="1" showInputMessage="1" showErrorMessage="1" sqref="I2:I37000 J256:J268" xr:uid="{00000000-0002-0000-1100-000001000000}">
      <formula1>$N$2:$N$21</formula1>
    </dataValidation>
    <dataValidation type="list" allowBlank="1" showInputMessage="1" showErrorMessage="1" sqref="J269:J37000 J2:J255" xr:uid="{00000000-0002-0000-1100-000002000000}">
      <formula1>$O$2:$O$21</formula1>
    </dataValidation>
    <dataValidation type="list" allowBlank="1" showInputMessage="1" showErrorMessage="1" sqref="H2:H37000" xr:uid="{00000000-0002-0000-1100-000004000000}">
      <formula1>$M$3:$M$41</formula1>
    </dataValidation>
    <dataValidation type="list" allowBlank="1" showInputMessage="1" showErrorMessage="1" sqref="K2:K37000" xr:uid="{00000000-0002-0000-1100-000003000000}">
      <formula1>$P$2:$P$44</formula1>
    </dataValidation>
  </dataValidations>
  <hyperlinks>
    <hyperlink ref="M25:M27" location="ImpactAidandOtherFederalProjects" display="13__ Impact Aid" xr:uid="{00000000-0004-0000-1100-000000000000}"/>
  </hyperlinks>
  <pageMargins left="0.7" right="0.7" top="0.75" bottom="0.75" header="0.3" footer="0.3"/>
  <pageSetup scale="49" fitToHeight="3" orientation="portrait" r:id="rId1"/>
  <headerFooter>
    <oddFooter>&amp;LRev. 8/25 Arizona Department of Education and Auditor General&amp;CFY 2025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3FEE-CD0E-4D78-8368-259836ADEC6D}">
  <sheetPr>
    <pageSetUpPr fitToPage="1"/>
  </sheetPr>
  <dimension ref="A1:E1539"/>
  <sheetViews>
    <sheetView showGridLines="0" workbookViewId="0"/>
  </sheetViews>
  <sheetFormatPr defaultColWidth="9.33203125" defaultRowHeight="13.2" x14ac:dyDescent="0.25"/>
  <cols>
    <col min="1" max="1" width="27.33203125" customWidth="1"/>
    <col min="2" max="2" width="24" customWidth="1"/>
    <col min="3" max="3" width="23.33203125" customWidth="1"/>
    <col min="4" max="4" width="28.33203125" customWidth="1"/>
    <col min="5" max="5" width="26.33203125" customWidth="1"/>
  </cols>
  <sheetData>
    <row r="1" spans="1:5" ht="14.4" x14ac:dyDescent="0.3">
      <c r="A1" s="519" t="s">
        <v>986</v>
      </c>
      <c r="B1" s="519" t="s">
        <v>987</v>
      </c>
      <c r="C1" s="519" t="s">
        <v>988</v>
      </c>
      <c r="D1" s="519" t="s">
        <v>989</v>
      </c>
      <c r="E1" s="520" t="s">
        <v>990</v>
      </c>
    </row>
    <row r="2" spans="1:5" x14ac:dyDescent="0.25">
      <c r="A2" s="521" t="s">
        <v>991</v>
      </c>
      <c r="B2" s="521" t="s">
        <v>991</v>
      </c>
      <c r="C2" s="521">
        <v>1000</v>
      </c>
      <c r="D2" s="521">
        <v>6100</v>
      </c>
      <c r="E2" s="522">
        <f>SUMIFS('Accounting data'!$G$2:$G$37000,'Accounting data'!$J$2:$J$37000,"1*",'Accounting data'!$K$2:$K$37000,"61*")</f>
        <v>667019</v>
      </c>
    </row>
    <row r="3" spans="1:5" x14ac:dyDescent="0.25">
      <c r="A3" s="521" t="s">
        <v>992</v>
      </c>
      <c r="B3" s="521" t="s">
        <v>991</v>
      </c>
      <c r="C3" s="521">
        <v>1000</v>
      </c>
      <c r="D3" s="521">
        <v>6100</v>
      </c>
      <c r="E3" s="522">
        <f>SUMIFS('Accounting data'!$G$2:$G$37000,'Accounting data'!$H$2:$H$37000,"9999*",'Accounting data'!$J$2:$J$37000,"1*",'Accounting data'!$K$2:$K$37000,"61*")</f>
        <v>0</v>
      </c>
    </row>
    <row r="4" spans="1:5" x14ac:dyDescent="0.25">
      <c r="A4" s="521" t="s">
        <v>991</v>
      </c>
      <c r="B4" s="521" t="s">
        <v>993</v>
      </c>
      <c r="C4" s="521">
        <v>1000</v>
      </c>
      <c r="D4" s="521">
        <v>6100</v>
      </c>
      <c r="E4" s="522">
        <f>SUMIFS('Accounting data'!$G$2:$G$37000,'Accounting data'!$I$2:$I$37000,"7*",'Accounting data'!$J$2:$J$37000,"1*",'Accounting data'!$K$2:$K$37000,"61*")+SUMIFS('Accounting data'!$G$2:$G$37000,'Accounting data'!$I$2:$I$37000,"8*",'Accounting data'!$J$2:$J$37000,"1*",'Accounting data'!$K$2:$K$37000,"61*")+SUMIFS('Accounting data'!$G$2:$G$37000,'Accounting data'!$I$2:$I$37000,"9*",'Accounting data'!$J$2:$J$37000,"1*",'Accounting data'!$K$2:$K$37000,"61*")</f>
        <v>0</v>
      </c>
    </row>
    <row r="5" spans="1:5" x14ac:dyDescent="0.25">
      <c r="A5" s="523" t="s">
        <v>992</v>
      </c>
      <c r="B5" s="521" t="s">
        <v>993</v>
      </c>
      <c r="C5" s="521">
        <v>1000</v>
      </c>
      <c r="D5" s="521">
        <v>6100</v>
      </c>
      <c r="E5" s="522">
        <f>SUMIFS('Accounting data'!$G$2:$G$37000,'Accounting data'!$H$2:$H$37000,"9999*",'Accounting data'!$I$2:$I$37000,"7*",'Accounting data'!$J$2:$J$37000,"1*",'Accounting data'!$K$2:$K$37000,"61*")+SUMIFS('Accounting data'!$G$2:$G$37000,'Accounting data'!$H$2:$H$37000,"9999*",'Accounting data'!$I$2:$I$37000,"8*",'Accounting data'!$J$2:$J$37000,"1*",'Accounting data'!$K$2:$K$37000,"61*")+SUMIFS('Accounting data'!$G$2:$G$37000,'Accounting data'!$H$2:$H$37000,"9999*",'Accounting data'!$I$2:$I$37000,"9*",'Accounting data'!$J$2:$J$37000,"1*",'Accounting data'!$K$2:$K$37000,"61*")</f>
        <v>0</v>
      </c>
    </row>
    <row r="6" spans="1:5" x14ac:dyDescent="0.25">
      <c r="A6" s="521"/>
      <c r="B6" s="521"/>
      <c r="C6" s="521"/>
      <c r="D6" s="521"/>
      <c r="E6" s="522"/>
    </row>
    <row r="7" spans="1:5" x14ac:dyDescent="0.25">
      <c r="A7" s="521"/>
      <c r="B7" s="521"/>
      <c r="C7" s="521"/>
      <c r="D7" s="521"/>
      <c r="E7" s="522"/>
    </row>
    <row r="8" spans="1:5" ht="14.4" x14ac:dyDescent="0.3">
      <c r="A8" s="524" t="s">
        <v>994</v>
      </c>
      <c r="B8" s="524"/>
      <c r="C8" s="524"/>
      <c r="D8" s="524"/>
      <c r="E8" s="525">
        <f>(E2-E3-E4)+(E5+E6+E7)</f>
        <v>667019</v>
      </c>
    </row>
    <row r="9" spans="1:5" x14ac:dyDescent="0.25">
      <c r="A9" s="521" t="s">
        <v>991</v>
      </c>
      <c r="B9" s="521" t="s">
        <v>991</v>
      </c>
      <c r="C9" s="521">
        <v>2100</v>
      </c>
      <c r="D9" s="521">
        <v>6100</v>
      </c>
      <c r="E9" s="522">
        <f>SUMIFS('Accounting data'!$G$2:$G$37000,'Accounting data'!$J$2:$J$37000,"21*",'Accounting data'!$K$2:$K$37000,"61*")</f>
        <v>238219</v>
      </c>
    </row>
    <row r="10" spans="1:5" x14ac:dyDescent="0.25">
      <c r="A10" s="521" t="s">
        <v>992</v>
      </c>
      <c r="B10" s="521" t="s">
        <v>991</v>
      </c>
      <c r="C10" s="521">
        <v>2100</v>
      </c>
      <c r="D10" s="521">
        <v>6100</v>
      </c>
      <c r="E10" s="522">
        <f>SUMIFS('Accounting data'!$G$2:$G$37000,'Accounting data'!$H$2:$H$37000,"9999*",'Accounting data'!$J$2:$J$37000,"21*",'Accounting data'!$K$2:$K$37000,"61*")</f>
        <v>0</v>
      </c>
    </row>
    <row r="11" spans="1:5" x14ac:dyDescent="0.25">
      <c r="A11" s="521" t="s">
        <v>991</v>
      </c>
      <c r="B11" s="521" t="s">
        <v>993</v>
      </c>
      <c r="C11" s="521">
        <v>2100</v>
      </c>
      <c r="D11" s="521">
        <v>6100</v>
      </c>
      <c r="E11" s="522">
        <f>SUMIFS('Accounting data'!$G$2:$G$37000,'Accounting data'!$I$2:$I$37000,"7*",'Accounting data'!$J$2:$J$37000,"21*",'Accounting data'!$K$2:$K$37000,"61*")+SUMIFS('Accounting data'!$G$2:$G$37000,'Accounting data'!$I$2:$I$37000,"8*",'Accounting data'!$J$2:$J$37000,"21*",'Accounting data'!$K$2:$K$37000,"61*")+SUMIFS('Accounting data'!$G$2:$G$37000,'Accounting data'!$I$2:$I$37000,"9*",'Accounting data'!$J$2:$J$37000,"21*",'Accounting data'!$K$2:$K$37000,"61*")</f>
        <v>0</v>
      </c>
    </row>
    <row r="12" spans="1:5" x14ac:dyDescent="0.25">
      <c r="A12" s="523" t="s">
        <v>992</v>
      </c>
      <c r="B12" s="521" t="s">
        <v>993</v>
      </c>
      <c r="C12" s="521">
        <v>2100</v>
      </c>
      <c r="D12" s="521">
        <v>6100</v>
      </c>
      <c r="E12" s="522">
        <f>SUMIFS('Accounting data'!$G$2:$G$37000,'Accounting data'!$H$2:$H$37000,"9999*",'Accounting data'!$I$2:$I$37000,"7*",'Accounting data'!$J$2:$J$37000,"21*",'Accounting data'!$K$2:$K$37000,"61*")+SUMIFS('Accounting data'!$G$2:$G$37000,'Accounting data'!$H$2:$H$37000,"9999*",'Accounting data'!$I$2:$I$37000,"8*",'Accounting data'!$J$2:$J$37000,"21*",'Accounting data'!$K$2:$K$37000,"61*")+SUMIFS('Accounting data'!$G$2:$G$37000,'Accounting data'!$H$2:$H$37000,"9999*",'Accounting data'!$I$2:$I$37000,"9*",'Accounting data'!$J$2:$J$37000,"21*",'Accounting data'!$K$2:$K$37000,"61*")</f>
        <v>0</v>
      </c>
    </row>
    <row r="13" spans="1:5" x14ac:dyDescent="0.25">
      <c r="A13" s="521"/>
      <c r="B13" s="521"/>
      <c r="C13" s="521"/>
      <c r="D13" s="521"/>
      <c r="E13" s="522"/>
    </row>
    <row r="14" spans="1:5" x14ac:dyDescent="0.25">
      <c r="A14" s="521"/>
      <c r="B14" s="521"/>
      <c r="C14" s="521"/>
      <c r="D14" s="521"/>
      <c r="E14" s="522"/>
    </row>
    <row r="15" spans="1:5" ht="14.4" x14ac:dyDescent="0.3">
      <c r="A15" s="524" t="s">
        <v>995</v>
      </c>
      <c r="B15" s="524"/>
      <c r="C15" s="524"/>
      <c r="D15" s="524"/>
      <c r="E15" s="525">
        <f>(E9-E10-E11)+(E12+E13+E14)</f>
        <v>238219</v>
      </c>
    </row>
    <row r="16" spans="1:5" x14ac:dyDescent="0.25">
      <c r="A16" s="521" t="s">
        <v>991</v>
      </c>
      <c r="B16" s="521" t="s">
        <v>991</v>
      </c>
      <c r="C16" s="521">
        <v>2200</v>
      </c>
      <c r="D16" s="521">
        <v>6100</v>
      </c>
      <c r="E16" s="522">
        <f>SUMIFS('Accounting data'!$G$2:$G$37000,'Accounting data'!$J$2:$J$37000,"22*",'Accounting data'!$K$2:$K$37000,"61*")</f>
        <v>9952</v>
      </c>
    </row>
    <row r="17" spans="1:5" x14ac:dyDescent="0.25">
      <c r="A17" s="521" t="s">
        <v>992</v>
      </c>
      <c r="B17" s="521" t="s">
        <v>991</v>
      </c>
      <c r="C17" s="521">
        <v>2200</v>
      </c>
      <c r="D17" s="521">
        <v>6100</v>
      </c>
      <c r="E17" s="522">
        <f>SUMIFS('Accounting data'!$G$2:$G$37000,'Accounting data'!$H$2:$H$37000,"9999*",'Accounting data'!$J$2:$J$37000,"22*",'Accounting data'!$K$2:$K$37000,"61*")</f>
        <v>0</v>
      </c>
    </row>
    <row r="18" spans="1:5" x14ac:dyDescent="0.25">
      <c r="A18" s="521" t="s">
        <v>991</v>
      </c>
      <c r="B18" s="521" t="s">
        <v>993</v>
      </c>
      <c r="C18" s="521">
        <v>2200</v>
      </c>
      <c r="D18" s="521">
        <v>6100</v>
      </c>
      <c r="E18" s="522">
        <f>SUMIFS('Accounting data'!$G$2:$G$37000,'Accounting data'!$I$2:$I$37000,"7*",'Accounting data'!$J$2:$J$37000,"22*",'Accounting data'!$K$2:$K$37000,"61*")+SUMIFS('Accounting data'!$G$2:$G$37000,'Accounting data'!$I$2:$I$37000,"8*",'Accounting data'!$J$2:$J$37000,"22*",'Accounting data'!$K$2:$K$37000,"61*")+SUMIFS('Accounting data'!$G$2:$G$37000,'Accounting data'!$I$2:$I$37000,"9*",'Accounting data'!$J$2:$J$37000,"22*",'Accounting data'!$K$2:$K$37000,"61*")</f>
        <v>0</v>
      </c>
    </row>
    <row r="19" spans="1:5" x14ac:dyDescent="0.25">
      <c r="A19" s="523" t="s">
        <v>992</v>
      </c>
      <c r="B19" s="521" t="s">
        <v>993</v>
      </c>
      <c r="C19" s="521">
        <v>2200</v>
      </c>
      <c r="D19" s="521">
        <v>6100</v>
      </c>
      <c r="E19" s="522">
        <f>SUMIFS('Accounting data'!$G$2:$G$37000,'Accounting data'!$H$2:$H$37000,"9999*",'Accounting data'!$I$2:$I$37000,"7*",'Accounting data'!$J$2:$J$37000,"22*",'Accounting data'!$K$2:$K$37000,"61*")+SUMIFS('Accounting data'!$G$2:$G$37000,'Accounting data'!$H$2:$H$37000,"9999*",'Accounting data'!$I$2:$I$37000,"8*",'Accounting data'!$J$2:$J$37000,"22*",'Accounting data'!$K$2:$K$37000,"61*")+SUMIFS('Accounting data'!$G$2:$G$37000,'Accounting data'!$H$2:$H$37000,"9999*",'Accounting data'!$I$2:$I$37000,"9*",'Accounting data'!$J$2:$J$37000,"22*",'Accounting data'!$K$2:$K$37000,"61*")</f>
        <v>0</v>
      </c>
    </row>
    <row r="20" spans="1:5" x14ac:dyDescent="0.25">
      <c r="A20" s="521"/>
      <c r="B20" s="521"/>
      <c r="C20" s="521"/>
      <c r="D20" s="521"/>
      <c r="E20" s="522"/>
    </row>
    <row r="21" spans="1:5" x14ac:dyDescent="0.25">
      <c r="A21" s="521"/>
      <c r="B21" s="521"/>
      <c r="C21" s="521"/>
      <c r="D21" s="521"/>
      <c r="E21" s="522"/>
    </row>
    <row r="22" spans="1:5" ht="14.4" x14ac:dyDescent="0.3">
      <c r="A22" s="524" t="s">
        <v>996</v>
      </c>
      <c r="B22" s="524"/>
      <c r="C22" s="524"/>
      <c r="D22" s="524"/>
      <c r="E22" s="525">
        <f>(E16-E17-E18)+(E19+E20+E21)</f>
        <v>9952</v>
      </c>
    </row>
    <row r="23" spans="1:5" x14ac:dyDescent="0.25">
      <c r="A23" s="521" t="s">
        <v>991</v>
      </c>
      <c r="B23" s="521" t="s">
        <v>991</v>
      </c>
      <c r="C23" s="521">
        <v>2300</v>
      </c>
      <c r="D23" s="521">
        <v>6100</v>
      </c>
      <c r="E23" s="522">
        <f>SUMIFS('Accounting data'!$G$2:$G$37000,'Accounting data'!$J$2:$J$37000,"23*",'Accounting data'!$K$2:$K$37000,"61*")</f>
        <v>0</v>
      </c>
    </row>
    <row r="24" spans="1:5" x14ac:dyDescent="0.25">
      <c r="A24" s="521" t="s">
        <v>992</v>
      </c>
      <c r="B24" s="521" t="s">
        <v>991</v>
      </c>
      <c r="C24" s="521">
        <v>2300</v>
      </c>
      <c r="D24" s="521">
        <v>6100</v>
      </c>
      <c r="E24" s="522">
        <f>SUMIFS('Accounting data'!$G$2:$G$37000,'Accounting data'!$H$2:$H$37000,"9999*",'Accounting data'!$J$2:$J$37000,"23*",'Accounting data'!$K$2:$K$37000,"61*")</f>
        <v>0</v>
      </c>
    </row>
    <row r="25" spans="1:5" x14ac:dyDescent="0.25">
      <c r="A25" s="521" t="s">
        <v>991</v>
      </c>
      <c r="B25" s="521" t="s">
        <v>993</v>
      </c>
      <c r="C25" s="521">
        <v>2300</v>
      </c>
      <c r="D25" s="521">
        <v>6100</v>
      </c>
      <c r="E25" s="522">
        <f>SUMIFS('Accounting data'!$G$2:$G$37000,'Accounting data'!$I$2:$I$37000,"7*",'Accounting data'!$J$2:$J$37000,"23*",'Accounting data'!$K$2:$K$37000,"61*")+SUMIFS('Accounting data'!$G$2:$G$37000,'Accounting data'!$I$2:$I$37000,"8*",'Accounting data'!$J$2:$J$37000,"23*",'Accounting data'!$K$2:$K$37000,"61*")+SUMIFS('Accounting data'!$G$2:$G$37000,'Accounting data'!$I$2:$I$37000,"9*",'Accounting data'!$J$2:$J$37000,"23*",'Accounting data'!$K$2:$K$37000,"61*")</f>
        <v>0</v>
      </c>
    </row>
    <row r="26" spans="1:5" x14ac:dyDescent="0.25">
      <c r="A26" s="523" t="s">
        <v>992</v>
      </c>
      <c r="B26" s="521" t="s">
        <v>993</v>
      </c>
      <c r="C26" s="521">
        <v>2300</v>
      </c>
      <c r="D26" s="521">
        <v>6100</v>
      </c>
      <c r="E26" s="522">
        <f>SUMIFS('Accounting data'!$G$2:$G$37000,'Accounting data'!$H$2:$H$37000,"9999*",'Accounting data'!$I$2:$I$37000,"7*",'Accounting data'!$J$2:$J$37000,"23*",'Accounting data'!$K$2:$K$37000,"61*")+SUMIFS('Accounting data'!$G$2:$G$37000,'Accounting data'!$H$2:$H$37000,"9999*",'Accounting data'!$I$2:$I$37000,"8*",'Accounting data'!$J$2:$J$37000,"23*",'Accounting data'!$K$2:$K$37000,"61*")+SUMIFS('Accounting data'!$G$2:$G$37000,'Accounting data'!$H$2:$H$37000,"9999*",'Accounting data'!$I$2:$I$37000,"9*",'Accounting data'!$J$2:$J$37000,"23*",'Accounting data'!$K$2:$K$37000,"61*")</f>
        <v>0</v>
      </c>
    </row>
    <row r="27" spans="1:5" x14ac:dyDescent="0.25">
      <c r="A27" s="521"/>
      <c r="B27" s="521"/>
      <c r="C27" s="521"/>
      <c r="D27" s="521"/>
      <c r="E27" s="522"/>
    </row>
    <row r="28" spans="1:5" x14ac:dyDescent="0.25">
      <c r="A28" s="521"/>
      <c r="B28" s="521"/>
      <c r="C28" s="521"/>
      <c r="D28" s="521"/>
      <c r="E28" s="522"/>
    </row>
    <row r="29" spans="1:5" x14ac:dyDescent="0.25">
      <c r="A29" s="524" t="s">
        <v>997</v>
      </c>
      <c r="B29" s="524"/>
      <c r="C29" s="524"/>
      <c r="D29" s="524"/>
      <c r="E29" s="526">
        <f>(E23-E24-E25)+(E26+E27+E28)</f>
        <v>0</v>
      </c>
    </row>
    <row r="30" spans="1:5" x14ac:dyDescent="0.25">
      <c r="A30" s="521" t="s">
        <v>991</v>
      </c>
      <c r="B30" s="521" t="s">
        <v>991</v>
      </c>
      <c r="C30" s="521">
        <v>2400</v>
      </c>
      <c r="D30" s="521">
        <v>6100</v>
      </c>
      <c r="E30" s="522">
        <f>SUMIFS('Accounting data'!$G$2:$G$37000,'Accounting data'!$J$2:$J$37000,"24*",'Accounting data'!$K$2:$K$37000,"61*")</f>
        <v>189922</v>
      </c>
    </row>
    <row r="31" spans="1:5" x14ac:dyDescent="0.25">
      <c r="A31" s="521" t="s">
        <v>992</v>
      </c>
      <c r="B31" s="521" t="s">
        <v>991</v>
      </c>
      <c r="C31" s="521">
        <v>2400</v>
      </c>
      <c r="D31" s="521">
        <v>6100</v>
      </c>
      <c r="E31" s="522">
        <f>SUMIFS('Accounting data'!$G$2:$G$37000,'Accounting data'!$H$2:$H$37000,"9999*",'Accounting data'!$J$2:$J$37000,"24*",'Accounting data'!$K$2:$K$37000,"61*")</f>
        <v>0</v>
      </c>
    </row>
    <row r="32" spans="1:5" x14ac:dyDescent="0.25">
      <c r="A32" s="521" t="s">
        <v>991</v>
      </c>
      <c r="B32" s="521" t="s">
        <v>993</v>
      </c>
      <c r="C32" s="521">
        <v>2400</v>
      </c>
      <c r="D32" s="521">
        <v>6100</v>
      </c>
      <c r="E32" s="522">
        <f>SUMIFS('Accounting data'!$G$2:$G$37000,'Accounting data'!$I$2:$I$37000,"7*",'Accounting data'!$J$2:$J$37000,"24*",'Accounting data'!$K$2:$K$37000,"61*")+SUMIFS('Accounting data'!$G$2:$G$37000,'Accounting data'!$I$2:$I$37000,"8*",'Accounting data'!$J$2:$J$37000,"24*",'Accounting data'!$K$2:$K$37000,"61*")+SUMIFS('Accounting data'!$G$2:$G$37000,'Accounting data'!$I$2:$I$37000,"9*",'Accounting data'!$J$2:$J$37000,"24*",'Accounting data'!$K$2:$K$37000,"61*")</f>
        <v>0</v>
      </c>
    </row>
    <row r="33" spans="1:5" x14ac:dyDescent="0.25">
      <c r="A33" s="523" t="s">
        <v>992</v>
      </c>
      <c r="B33" s="521" t="s">
        <v>993</v>
      </c>
      <c r="C33" s="521">
        <v>2400</v>
      </c>
      <c r="D33" s="521">
        <v>6100</v>
      </c>
      <c r="E33" s="522">
        <f>SUMIFS('Accounting data'!$G$2:$G$37000,'Accounting data'!$H$2:$H$37000,"9999*",'Accounting data'!$I$2:$I$37000,"7*",'Accounting data'!$J$2:$J$37000,"24*",'Accounting data'!$K$2:$K$37000,"61*")+SUMIFS('Accounting data'!$G$2:$G$37000,'Accounting data'!$H$2:$H$37000,"9999*",'Accounting data'!$I$2:$I$37000,"8*",'Accounting data'!$J$2:$J$37000,"24*",'Accounting data'!$K$2:$K$37000,"61*")+SUMIFS('Accounting data'!$G$2:$G$37000,'Accounting data'!$H$2:$H$37000,"9999*",'Accounting data'!$I$2:$I$37000,"9*",'Accounting data'!$J$2:$J$37000,"24*",'Accounting data'!$K$2:$K$37000,"61*")</f>
        <v>0</v>
      </c>
    </row>
    <row r="34" spans="1:5" x14ac:dyDescent="0.25">
      <c r="A34" s="521"/>
      <c r="B34" s="521"/>
      <c r="C34" s="521"/>
      <c r="D34" s="521"/>
      <c r="E34" s="522"/>
    </row>
    <row r="35" spans="1:5" x14ac:dyDescent="0.25">
      <c r="A35" s="521"/>
      <c r="B35" s="521"/>
      <c r="C35" s="521"/>
      <c r="D35" s="521"/>
      <c r="E35" s="522"/>
    </row>
    <row r="36" spans="1:5" ht="14.4" x14ac:dyDescent="0.3">
      <c r="A36" s="524" t="s">
        <v>998</v>
      </c>
      <c r="B36" s="524"/>
      <c r="C36" s="524"/>
      <c r="D36" s="524"/>
      <c r="E36" s="525">
        <f>(E30-E31-E32)+(E33+E34+E35)</f>
        <v>189922</v>
      </c>
    </row>
    <row r="37" spans="1:5" x14ac:dyDescent="0.25">
      <c r="A37" s="521" t="s">
        <v>991</v>
      </c>
      <c r="B37" s="521" t="s">
        <v>991</v>
      </c>
      <c r="C37" s="521">
        <v>2500</v>
      </c>
      <c r="D37" s="521">
        <v>6100</v>
      </c>
      <c r="E37" s="522">
        <f>SUMIFS('Accounting data'!$G$2:$G$37000,'Accounting data'!$J$2:$J$37000,"25*",'Accounting data'!$K$2:$K$37000,"61*")</f>
        <v>77630</v>
      </c>
    </row>
    <row r="38" spans="1:5" x14ac:dyDescent="0.25">
      <c r="A38" s="521" t="s">
        <v>992</v>
      </c>
      <c r="B38" s="521" t="s">
        <v>991</v>
      </c>
      <c r="C38" s="521">
        <v>2500</v>
      </c>
      <c r="D38" s="521">
        <v>6100</v>
      </c>
      <c r="E38" s="522">
        <f>SUMIFS('Accounting data'!$G$2:$G$37000,'Accounting data'!$H$2:$H$37000,"9999*",'Accounting data'!$J$2:$J$37000,"25*",'Accounting data'!$K$2:$K$37000,"61*")</f>
        <v>0</v>
      </c>
    </row>
    <row r="39" spans="1:5" x14ac:dyDescent="0.25">
      <c r="A39" s="521" t="s">
        <v>991</v>
      </c>
      <c r="B39" s="521" t="s">
        <v>993</v>
      </c>
      <c r="C39" s="521">
        <v>2500</v>
      </c>
      <c r="D39" s="521">
        <v>6100</v>
      </c>
      <c r="E39" s="522">
        <f>SUMIFS('Accounting data'!$G$2:$G$37000,'Accounting data'!$I$2:$I$37000,"7*",'Accounting data'!$J$2:$J$37000,"25*",'Accounting data'!$K$2:$K$37000,"61*")+SUMIFS('Accounting data'!$G$2:$G$37000,'Accounting data'!$I$2:$I$37000,"8*",'Accounting data'!$J$2:$J$37000,"25*",'Accounting data'!$K$2:$K$37000,"61*")+SUMIFS('Accounting data'!$G$2:$G$37000,'Accounting data'!$I$2:$I$37000,"9*",'Accounting data'!$J$2:$J$37000,"25*",'Accounting data'!$K$2:$K$37000,"61*")</f>
        <v>0</v>
      </c>
    </row>
    <row r="40" spans="1:5" x14ac:dyDescent="0.25">
      <c r="A40" s="523" t="s">
        <v>992</v>
      </c>
      <c r="B40" s="521" t="s">
        <v>993</v>
      </c>
      <c r="C40" s="521">
        <v>2500</v>
      </c>
      <c r="D40" s="521">
        <v>6100</v>
      </c>
      <c r="E40" s="522">
        <f>SUMIFS('Accounting data'!$G$2:$G$37000,'Accounting data'!$H$2:$H$37000,"9999*",'Accounting data'!$I$2:$I$37000,"7*",'Accounting data'!$J$2:$J$37000,"25*",'Accounting data'!$K$2:$K$37000,"61*")+SUMIFS('Accounting data'!$G$2:$G$37000,'Accounting data'!$H$2:$H$37000,"9999*",'Accounting data'!$I$2:$I$37000,"8*",'Accounting data'!$J$2:$J$37000,"25*",'Accounting data'!$K$2:$K$37000,"61*")+SUMIFS('Accounting data'!$G$2:$G$37000,'Accounting data'!$H$2:$H$37000,"9999*",'Accounting data'!$I$2:$I$37000,"9*",'Accounting data'!$J$2:$J$37000,"25*",'Accounting data'!$K$2:$K$37000,"61*")</f>
        <v>0</v>
      </c>
    </row>
    <row r="41" spans="1:5" x14ac:dyDescent="0.25">
      <c r="A41" s="521"/>
      <c r="B41" s="521"/>
      <c r="C41" s="521"/>
      <c r="D41" s="521"/>
      <c r="E41" s="522"/>
    </row>
    <row r="42" spans="1:5" x14ac:dyDescent="0.25">
      <c r="A42" s="521"/>
      <c r="B42" s="521"/>
      <c r="C42" s="521"/>
      <c r="D42" s="521"/>
      <c r="E42" s="522"/>
    </row>
    <row r="43" spans="1:5" ht="14.4" x14ac:dyDescent="0.3">
      <c r="A43" s="524" t="s">
        <v>999</v>
      </c>
      <c r="B43" s="524"/>
      <c r="C43" s="524"/>
      <c r="D43" s="524"/>
      <c r="E43" s="525">
        <f>(E37-E38-E39)+(E40+E41+E42)</f>
        <v>77630</v>
      </c>
    </row>
    <row r="44" spans="1:5" x14ac:dyDescent="0.25">
      <c r="A44" s="521" t="s">
        <v>991</v>
      </c>
      <c r="B44" s="521" t="s">
        <v>991</v>
      </c>
      <c r="C44" s="521">
        <v>2900</v>
      </c>
      <c r="D44" s="521">
        <v>6100</v>
      </c>
      <c r="E44" s="522">
        <f>SUMIFS('Accounting data'!$G$2:$G$37000,'Accounting data'!$J$2:$J$37000,"29*",'Accounting data'!$K$2:$K$37000,"61*")</f>
        <v>0</v>
      </c>
    </row>
    <row r="45" spans="1:5" x14ac:dyDescent="0.25">
      <c r="A45" s="521" t="s">
        <v>992</v>
      </c>
      <c r="B45" s="521" t="s">
        <v>991</v>
      </c>
      <c r="C45" s="521">
        <v>2900</v>
      </c>
      <c r="D45" s="521">
        <v>6100</v>
      </c>
      <c r="E45" s="522">
        <f>SUMIFS('Accounting data'!$G$2:$G$37000,'Accounting data'!$H$2:$H$37000,"9999*",'Accounting data'!$J$2:$J$37000,"29*",'Accounting data'!$K$2:$K$37000,"61*")</f>
        <v>0</v>
      </c>
    </row>
    <row r="46" spans="1:5" x14ac:dyDescent="0.25">
      <c r="A46" s="521" t="s">
        <v>991</v>
      </c>
      <c r="B46" s="521" t="s">
        <v>993</v>
      </c>
      <c r="C46" s="521">
        <v>2900</v>
      </c>
      <c r="D46" s="521">
        <v>6100</v>
      </c>
      <c r="E46" s="522">
        <f>SUMIFS('Accounting data'!$G$2:$G$37000,'Accounting data'!$I$2:$I$37000,"7*",'Accounting data'!$J$2:$J$37000,"29*",'Accounting data'!$K$2:$K$37000,"61*")+SUMIFS('Accounting data'!$G$2:$G$37000,'Accounting data'!$I$2:$I$37000,"8*",'Accounting data'!$J$2:$J$37000,"29*",'Accounting data'!$K$2:$K$37000,"61*")+SUMIFS('Accounting data'!$G$2:$G$37000,'Accounting data'!$I$2:$I$37000,"9*",'Accounting data'!$J$2:$J$37000,"29*",'Accounting data'!$K$2:$K$37000,"61*")</f>
        <v>0</v>
      </c>
    </row>
    <row r="47" spans="1:5" x14ac:dyDescent="0.25">
      <c r="A47" s="523" t="s">
        <v>992</v>
      </c>
      <c r="B47" s="521" t="s">
        <v>993</v>
      </c>
      <c r="C47" s="521">
        <v>2900</v>
      </c>
      <c r="D47" s="521">
        <v>6100</v>
      </c>
      <c r="E47" s="522">
        <f>SUMIFS('Accounting data'!$G$2:$G$37000,'Accounting data'!$H$2:$H$37000,"9999*",'Accounting data'!$I$2:$I$37000,"7*",'Accounting data'!$J$2:$J$37000,"29*",'Accounting data'!$K$2:$K$37000,"61*")+SUMIFS('Accounting data'!$G$2:$G$37000,'Accounting data'!$H$2:$H$37000,"9999*",'Accounting data'!$I$2:$I$37000,"8*",'Accounting data'!$J$2:$J$37000,"29*",'Accounting data'!$K$2:$K$37000,"61*")+SUMIFS('Accounting data'!$G$2:$G$37000,'Accounting data'!$H$2:$H$37000,"9999*",'Accounting data'!$I$2:$I$37000,"9*",'Accounting data'!$J$2:$J$37000,"29*",'Accounting data'!$K$2:$K$37000,"61*")</f>
        <v>0</v>
      </c>
    </row>
    <row r="50" spans="1:5" ht="14.4" x14ac:dyDescent="0.3">
      <c r="A50" s="524" t="s">
        <v>1000</v>
      </c>
      <c r="B50" s="524"/>
      <c r="C50" s="524"/>
      <c r="D50" s="524"/>
      <c r="E50" s="525">
        <f>(E44-E45-E46)+(E47+E48+E49)</f>
        <v>0</v>
      </c>
    </row>
    <row r="51" spans="1:5" x14ac:dyDescent="0.25">
      <c r="A51" s="521" t="s">
        <v>991</v>
      </c>
      <c r="B51" s="521" t="s">
        <v>991</v>
      </c>
      <c r="C51" s="521">
        <v>2600</v>
      </c>
      <c r="D51" s="521">
        <v>6100</v>
      </c>
      <c r="E51" s="522">
        <f>SUMIFS('Accounting data'!$G$2:$G$37000,'Accounting data'!$J$2:$J$37000,"26*",'Accounting data'!$K$2:$K$37000,"61*")</f>
        <v>1504</v>
      </c>
    </row>
    <row r="52" spans="1:5" x14ac:dyDescent="0.25">
      <c r="A52" s="521" t="s">
        <v>992</v>
      </c>
      <c r="B52" s="521" t="s">
        <v>991</v>
      </c>
      <c r="C52" s="521">
        <v>2600</v>
      </c>
      <c r="D52" s="521">
        <v>6100</v>
      </c>
      <c r="E52" s="522">
        <f>SUMIFS('Accounting data'!$G$2:$G$37000,'Accounting data'!$H$2:$H$37000,"9999*",'Accounting data'!$J$2:$J$37000,"26*",'Accounting data'!$K$2:$K$37000,"61*")</f>
        <v>0</v>
      </c>
    </row>
    <row r="53" spans="1:5" x14ac:dyDescent="0.25">
      <c r="A53" s="521" t="s">
        <v>991</v>
      </c>
      <c r="B53" s="521" t="s">
        <v>993</v>
      </c>
      <c r="C53" s="521">
        <v>2600</v>
      </c>
      <c r="D53" s="521">
        <v>6100</v>
      </c>
      <c r="E53" s="522">
        <f>SUMIFS('Accounting data'!$G$2:$G$37000,'Accounting data'!$I$2:$I$37000,"7*",'Accounting data'!$J$2:$J$37000,"26*",'Accounting data'!$K$2:$K$37000,"61*")+SUMIFS('Accounting data'!$G$2:$G$37000,'Accounting data'!$I$2:$I$37000,"8*",'Accounting data'!$J$2:$J$37000,"26*",'Accounting data'!$K$2:$K$37000,"61*")+SUMIFS('Accounting data'!$G$2:$G$37000,'Accounting data'!$I$2:$I$37000,"9*",'Accounting data'!$J$2:$J$37000,"26*",'Accounting data'!$K$2:$K$37000,"61*")</f>
        <v>0</v>
      </c>
    </row>
    <row r="54" spans="1:5" x14ac:dyDescent="0.25">
      <c r="A54" s="523" t="s">
        <v>992</v>
      </c>
      <c r="B54" s="521" t="s">
        <v>993</v>
      </c>
      <c r="C54" s="521">
        <v>2600</v>
      </c>
      <c r="D54" s="521">
        <v>6100</v>
      </c>
      <c r="E54" s="522">
        <f>SUMIFS('Accounting data'!$G$2:$G$37000,'Accounting data'!$H$2:$H$37000,"9999*",'Accounting data'!$I$2:$I$37000,"7*",'Accounting data'!$J$2:$J$37000,"26*",'Accounting data'!$K$2:$K$37000,"61*")+SUMIFS('Accounting data'!$G$2:$G$37000,'Accounting data'!$H$2:$H$37000,"9999*",'Accounting data'!$I$2:$I$37000,"8*",'Accounting data'!$J$2:$J$37000,"26*",'Accounting data'!$K$2:$K$37000,"61*")+SUMIFS('Accounting data'!$G$2:$G$37000,'Accounting data'!$H$2:$H$37000,"9999*",'Accounting data'!$I$2:$I$37000,"9*",'Accounting data'!$J$2:$J$37000,"26*",'Accounting data'!$K$2:$K$37000,"61*")</f>
        <v>0</v>
      </c>
    </row>
    <row r="55" spans="1:5" x14ac:dyDescent="0.25">
      <c r="A55" s="521"/>
      <c r="B55" s="521"/>
      <c r="C55" s="521"/>
      <c r="D55" s="521"/>
      <c r="E55" s="522"/>
    </row>
    <row r="56" spans="1:5" x14ac:dyDescent="0.25">
      <c r="A56" s="521"/>
      <c r="B56" s="521"/>
      <c r="C56" s="521"/>
      <c r="D56" s="521"/>
      <c r="E56" s="522"/>
    </row>
    <row r="57" spans="1:5" ht="14.4" x14ac:dyDescent="0.3">
      <c r="A57" s="524" t="s">
        <v>1001</v>
      </c>
      <c r="B57" s="524"/>
      <c r="C57" s="524"/>
      <c r="D57" s="524"/>
      <c r="E57" s="525">
        <f>(E51-E52-E53)+(E54+E55+E56)</f>
        <v>1504</v>
      </c>
    </row>
    <row r="58" spans="1:5" x14ac:dyDescent="0.25">
      <c r="A58" s="521" t="s">
        <v>991</v>
      </c>
      <c r="B58" s="521" t="s">
        <v>991</v>
      </c>
      <c r="C58" s="521">
        <v>2700</v>
      </c>
      <c r="D58" s="521">
        <v>6100</v>
      </c>
      <c r="E58" s="522">
        <f>SUMIFS('Accounting data'!$G$2:$G$37000,'Accounting data'!$J$2:$J$37000,"27*",'Accounting data'!$K$2:$K$37000,"61*")</f>
        <v>0</v>
      </c>
    </row>
    <row r="59" spans="1:5" x14ac:dyDescent="0.25">
      <c r="A59" s="521" t="s">
        <v>992</v>
      </c>
      <c r="B59" s="521" t="s">
        <v>991</v>
      </c>
      <c r="C59" s="521">
        <v>2700</v>
      </c>
      <c r="D59" s="521">
        <v>6100</v>
      </c>
      <c r="E59" s="522">
        <f>SUMIFS('Accounting data'!$G$2:$G$37000,'Accounting data'!$H$2:$H$37000,"9999*",'Accounting data'!$J$2:$J$37000,"27*",'Accounting data'!$K$2:$K$37000,"61*")</f>
        <v>0</v>
      </c>
    </row>
    <row r="60" spans="1:5" x14ac:dyDescent="0.25">
      <c r="A60" s="521" t="s">
        <v>991</v>
      </c>
      <c r="B60" s="521" t="s">
        <v>993</v>
      </c>
      <c r="C60" s="521">
        <v>2700</v>
      </c>
      <c r="D60" s="521">
        <v>6100</v>
      </c>
      <c r="E60" s="522">
        <f>SUMIFS('Accounting data'!$G$2:$G$37000,'Accounting data'!$I$2:$I$37000,"7*",'Accounting data'!$J$2:$J$37000,"27*",'Accounting data'!$K$2:$K$37000,"61*")+SUMIFS('Accounting data'!$G$2:$G$37000,'Accounting data'!$I$2:$I$37000,"8*",'Accounting data'!$J$2:$J$37000,"27*",'Accounting data'!$K$2:$K$37000,"61*")+SUMIFS('Accounting data'!$G$2:$G$37000,'Accounting data'!$I$2:$I$37000,"9*",'Accounting data'!$J$2:$J$37000,"27*",'Accounting data'!$K$2:$K$37000,"61*")</f>
        <v>0</v>
      </c>
    </row>
    <row r="61" spans="1:5" x14ac:dyDescent="0.25">
      <c r="A61" s="523" t="s">
        <v>992</v>
      </c>
      <c r="B61" s="521" t="s">
        <v>993</v>
      </c>
      <c r="C61" s="521">
        <v>2700</v>
      </c>
      <c r="D61" s="521">
        <v>6100</v>
      </c>
      <c r="E61" s="522">
        <f>SUMIFS('Accounting data'!$G$2:$G$37000,'Accounting data'!$H$2:$H$37000,"9999*",'Accounting data'!$I$2:$I$37000,"7*",'Accounting data'!$J$2:$J$37000,"27*",'Accounting data'!$K$2:$K$37000,"61*")+SUMIFS('Accounting data'!$G$2:$G$37000,'Accounting data'!$H$2:$H$37000,"9999*",'Accounting data'!$I$2:$I$37000,"8*",'Accounting data'!$J$2:$J$37000,"27*",'Accounting data'!$K$2:$K$37000,"61*")+SUMIFS('Accounting data'!$G$2:$G$37000,'Accounting data'!$H$2:$H$37000,"9999*",'Accounting data'!$I$2:$I$37000,"9*",'Accounting data'!$J$2:$J$37000,"27*",'Accounting data'!$K$2:$K$37000,"61*")</f>
        <v>0</v>
      </c>
    </row>
    <row r="62" spans="1:5" x14ac:dyDescent="0.25">
      <c r="A62" s="521"/>
      <c r="B62" s="521"/>
      <c r="C62" s="521"/>
      <c r="D62" s="521"/>
      <c r="E62" s="522"/>
    </row>
    <row r="63" spans="1:5" x14ac:dyDescent="0.25">
      <c r="A63" s="521"/>
      <c r="B63" s="521"/>
      <c r="C63" s="521"/>
      <c r="D63" s="521"/>
      <c r="E63" s="522"/>
    </row>
    <row r="64" spans="1:5" ht="14.4" x14ac:dyDescent="0.3">
      <c r="A64" s="524" t="s">
        <v>1002</v>
      </c>
      <c r="B64" s="524"/>
      <c r="C64" s="524"/>
      <c r="D64" s="524"/>
      <c r="E64" s="525">
        <f>(E58-E59-E60)+(E61+E62+E63)</f>
        <v>0</v>
      </c>
    </row>
    <row r="65" spans="1:5" x14ac:dyDescent="0.25">
      <c r="A65" s="521" t="s">
        <v>991</v>
      </c>
      <c r="B65" s="521" t="s">
        <v>991</v>
      </c>
      <c r="C65" s="521">
        <v>3100</v>
      </c>
      <c r="D65" s="521">
        <v>6100</v>
      </c>
      <c r="E65" s="522">
        <f>SUMIFS('Accounting data'!$G$2:$G$37000,'Accounting data'!$J$2:$J$37000,"31*",'Accounting data'!$K$2:$K$37000,"61*")</f>
        <v>0</v>
      </c>
    </row>
    <row r="66" spans="1:5" x14ac:dyDescent="0.25">
      <c r="A66" s="521" t="s">
        <v>992</v>
      </c>
      <c r="B66" s="521" t="s">
        <v>991</v>
      </c>
      <c r="C66" s="521">
        <v>3100</v>
      </c>
      <c r="D66" s="521">
        <v>6100</v>
      </c>
      <c r="E66" s="522">
        <f>SUMIFS('Accounting data'!$G$2:$G$37000,'Accounting data'!$H$2:$H$37000,"9999*",'Accounting data'!$J$2:$J$37000,"31*",'Accounting data'!$K$2:$K$37000,"61*")</f>
        <v>0</v>
      </c>
    </row>
    <row r="67" spans="1:5" x14ac:dyDescent="0.25">
      <c r="A67" s="521" t="s">
        <v>991</v>
      </c>
      <c r="B67" s="521" t="s">
        <v>993</v>
      </c>
      <c r="C67" s="521">
        <v>3100</v>
      </c>
      <c r="D67" s="521">
        <v>6100</v>
      </c>
      <c r="E67" s="522">
        <f>SUMIFS('Accounting data'!$G$2:$G$37000,'Accounting data'!$I$2:$I$37000,"7*",'Accounting data'!$J$2:$J$37000,"31*",'Accounting data'!$K$2:$K$37000,"61*")+SUMIFS('Accounting data'!$G$2:$G$37000,'Accounting data'!$I$2:$I$37000,"8*",'Accounting data'!$J$2:$J$37000,"31*",'Accounting data'!$K$2:$K$37000,"61*")+SUMIFS('Accounting data'!$G$2:$G$37000,'Accounting data'!$I$2:$I$37000,"9*",'Accounting data'!$J$2:$J$37000,"31*",'Accounting data'!$K$2:$K$37000,"61*")</f>
        <v>0</v>
      </c>
    </row>
    <row r="68" spans="1:5" x14ac:dyDescent="0.25">
      <c r="A68" s="523" t="s">
        <v>992</v>
      </c>
      <c r="B68" s="521" t="s">
        <v>993</v>
      </c>
      <c r="C68" s="521">
        <v>3100</v>
      </c>
      <c r="D68" s="521">
        <v>6100</v>
      </c>
      <c r="E68" s="522">
        <f>SUMIFS('Accounting data'!$G$2:$G$37000,'Accounting data'!$H$2:$H$37000,"9999*",'Accounting data'!$I$2:$I$37000,"7*",'Accounting data'!$J$2:$J$37000,"31*",'Accounting data'!$K$2:$K$37000,"61*")+SUMIFS('Accounting data'!$G$2:$G$37000,'Accounting data'!$H$2:$H$37000,"9999*",'Accounting data'!$I$2:$I$37000,"8*",'Accounting data'!$J$2:$J$37000,"31*",'Accounting data'!$K$2:$K$37000,"61*")+SUMIFS('Accounting data'!$G$2:$G$37000,'Accounting data'!$H$2:$H$37000,"9999*",'Accounting data'!$I$2:$I$37000,"9*",'Accounting data'!$J$2:$J$37000,"31*",'Accounting data'!$K$2:$K$37000,"61*")</f>
        <v>0</v>
      </c>
    </row>
    <row r="69" spans="1:5" x14ac:dyDescent="0.25">
      <c r="A69" s="521"/>
      <c r="B69" s="521"/>
      <c r="C69" s="521"/>
      <c r="D69" s="521"/>
      <c r="E69" s="522"/>
    </row>
    <row r="70" spans="1:5" x14ac:dyDescent="0.25">
      <c r="A70" s="521"/>
      <c r="B70" s="521"/>
      <c r="C70" s="521"/>
      <c r="D70" s="521"/>
      <c r="E70" s="522"/>
    </row>
    <row r="71" spans="1:5" ht="14.4" x14ac:dyDescent="0.3">
      <c r="A71" s="524" t="s">
        <v>1003</v>
      </c>
      <c r="B71" s="524"/>
      <c r="C71" s="524"/>
      <c r="D71" s="524"/>
      <c r="E71" s="525">
        <f>(E65-E66-E67)+(E68+E69+E70)</f>
        <v>0</v>
      </c>
    </row>
    <row r="72" spans="1:5" x14ac:dyDescent="0.25">
      <c r="A72" s="521"/>
      <c r="B72" s="521"/>
      <c r="C72" s="521"/>
      <c r="D72" s="521"/>
      <c r="E72" s="522"/>
    </row>
    <row r="73" spans="1:5" x14ac:dyDescent="0.25">
      <c r="A73" s="521"/>
      <c r="B73" s="521"/>
      <c r="C73" s="521"/>
      <c r="D73" s="521"/>
      <c r="E73" s="522"/>
    </row>
    <row r="74" spans="1:5" x14ac:dyDescent="0.25">
      <c r="A74" s="521"/>
      <c r="B74" s="521"/>
      <c r="C74" s="521"/>
      <c r="D74" s="521"/>
      <c r="E74" s="522"/>
    </row>
    <row r="75" spans="1:5" x14ac:dyDescent="0.25">
      <c r="A75" s="523"/>
      <c r="B75" s="521"/>
      <c r="C75" s="521"/>
      <c r="D75" s="521"/>
      <c r="E75" s="522"/>
    </row>
    <row r="76" spans="1:5" x14ac:dyDescent="0.25">
      <c r="A76" s="521"/>
      <c r="B76" s="521"/>
      <c r="C76" s="521"/>
      <c r="D76" s="521"/>
      <c r="E76" s="522"/>
    </row>
    <row r="77" spans="1:5" x14ac:dyDescent="0.25">
      <c r="A77" s="521"/>
      <c r="B77" s="521"/>
      <c r="C77" s="521"/>
      <c r="D77" s="521"/>
      <c r="E77" s="522"/>
    </row>
    <row r="78" spans="1:5" ht="14.4" x14ac:dyDescent="0.3">
      <c r="A78" s="524"/>
      <c r="B78" s="524"/>
      <c r="C78" s="524"/>
      <c r="D78" s="524"/>
      <c r="E78" s="525"/>
    </row>
    <row r="79" spans="1:5" x14ac:dyDescent="0.25">
      <c r="A79" s="521" t="s">
        <v>991</v>
      </c>
      <c r="B79" s="521" t="s">
        <v>991</v>
      </c>
      <c r="C79" s="521">
        <v>3400</v>
      </c>
      <c r="D79" s="521">
        <v>6100</v>
      </c>
      <c r="E79" s="522">
        <f>SUMIFS('Accounting data'!$G$2:$G$37000,'Accounting data'!$J$2:$J$37000,"34*",'Accounting data'!$K$2:$K$37000,"61*")</f>
        <v>0</v>
      </c>
    </row>
    <row r="80" spans="1:5" x14ac:dyDescent="0.25">
      <c r="A80" s="521" t="s">
        <v>992</v>
      </c>
      <c r="B80" s="521" t="s">
        <v>991</v>
      </c>
      <c r="C80" s="521">
        <v>3400</v>
      </c>
      <c r="D80" s="521">
        <v>6100</v>
      </c>
      <c r="E80" s="522">
        <f>SUMIFS('Accounting data'!$G$2:$G$37000,'Accounting data'!$H$2:$H$37000,"9999*",'Accounting data'!$J$2:$J$37000,"34*",'Accounting data'!$K$2:$K$37000,"61*")</f>
        <v>0</v>
      </c>
    </row>
    <row r="81" spans="1:5" x14ac:dyDescent="0.25">
      <c r="A81" s="521" t="s">
        <v>991</v>
      </c>
      <c r="B81" s="521" t="s">
        <v>993</v>
      </c>
      <c r="C81" s="521">
        <v>3400</v>
      </c>
      <c r="D81" s="521">
        <v>6100</v>
      </c>
      <c r="E81" s="522">
        <f>SUMIFS('Accounting data'!$G$2:$G$37000,'Accounting data'!$I$2:$I$37000,"7*",'Accounting data'!$J$2:$J$37000,"34*",'Accounting data'!$K$2:$K$37000,"61*")+SUMIFS('Accounting data'!$G$2:$G$37000,'Accounting data'!$I$2:$I$37000,"8*",'Accounting data'!$J$2:$J$37000,"34*",'Accounting data'!$K$2:$K$37000,"61*")+SUMIFS('Accounting data'!$G$2:$G$37000,'Accounting data'!$I$2:$I$37000,"9*",'Accounting data'!$J$2:$J$37000,"34*",'Accounting data'!$K$2:$K$37000,"61*")</f>
        <v>0</v>
      </c>
    </row>
    <row r="82" spans="1:5" x14ac:dyDescent="0.25">
      <c r="A82" s="523" t="s">
        <v>992</v>
      </c>
      <c r="B82" s="521" t="s">
        <v>993</v>
      </c>
      <c r="C82" s="521">
        <v>3400</v>
      </c>
      <c r="D82" s="521">
        <v>6100</v>
      </c>
      <c r="E82" s="522">
        <f>SUMIFS('Accounting data'!$G$2:$G$37000,'Accounting data'!$H$2:$H$37000,"9999*",'Accounting data'!$I$2:$I$37000,"7*",'Accounting data'!$J$2:$J$37000,"34*",'Accounting data'!$K$2:$K$37000,"61*")+SUMIFS('Accounting data'!$G$2:$G$37000,'Accounting data'!$H$2:$H$37000,"9999*",'Accounting data'!$I$2:$I$37000,"8*",'Accounting data'!$J$2:$J$37000,"34*",'Accounting data'!$K$2:$K$37000,"61*")+SUMIFS('Accounting data'!$G$2:$G$37000,'Accounting data'!$H$2:$H$37000,"9999*",'Accounting data'!$I$2:$I$37000,"9*",'Accounting data'!$J$2:$J$37000,"34*",'Accounting data'!$K$2:$K$37000,"61*")</f>
        <v>0</v>
      </c>
    </row>
    <row r="83" spans="1:5" x14ac:dyDescent="0.25">
      <c r="A83" s="521"/>
      <c r="B83" s="521"/>
      <c r="C83" s="521"/>
      <c r="D83" s="521"/>
      <c r="E83" s="522"/>
    </row>
    <row r="84" spans="1:5" x14ac:dyDescent="0.25">
      <c r="A84" s="521"/>
      <c r="B84" s="521"/>
      <c r="C84" s="521"/>
      <c r="D84" s="521"/>
      <c r="E84" s="522"/>
    </row>
    <row r="85" spans="1:5" ht="14.4" x14ac:dyDescent="0.3">
      <c r="A85" s="524" t="s">
        <v>1004</v>
      </c>
      <c r="B85" s="524"/>
      <c r="C85" s="524"/>
      <c r="D85" s="524"/>
      <c r="E85" s="525">
        <f>(E79-E80-E81)+(E82+E83+E84)</f>
        <v>0</v>
      </c>
    </row>
    <row r="86" spans="1:5" x14ac:dyDescent="0.25">
      <c r="A86" s="521" t="s">
        <v>991</v>
      </c>
      <c r="B86" s="521" t="s">
        <v>991</v>
      </c>
      <c r="C86" s="521">
        <v>4000</v>
      </c>
      <c r="D86" s="521">
        <v>6100</v>
      </c>
      <c r="E86" s="522">
        <f>SUMIFS('Accounting data'!$G$2:$G$37000,'Accounting data'!$J$2:$J$37000,"4*",'Accounting data'!$K$2:$K$37000,"61*")</f>
        <v>0</v>
      </c>
    </row>
    <row r="87" spans="1:5" x14ac:dyDescent="0.25">
      <c r="A87" s="521" t="s">
        <v>992</v>
      </c>
      <c r="B87" s="521" t="s">
        <v>991</v>
      </c>
      <c r="C87" s="521">
        <v>4000</v>
      </c>
      <c r="D87" s="521">
        <v>6100</v>
      </c>
      <c r="E87" s="522">
        <f>SUMIFS('Accounting data'!$G$2:$G$37000,'Accounting data'!$H$2:$H$37000,"9999*",'Accounting data'!$J$2:$J$37000,"4*",'Accounting data'!$K$2:$K$37000,"61*")</f>
        <v>0</v>
      </c>
    </row>
    <row r="88" spans="1:5" x14ac:dyDescent="0.25">
      <c r="A88" s="521" t="s">
        <v>991</v>
      </c>
      <c r="B88" s="521" t="s">
        <v>993</v>
      </c>
      <c r="C88" s="521">
        <v>4000</v>
      </c>
      <c r="D88" s="521">
        <v>6100</v>
      </c>
      <c r="E88" s="522">
        <f>SUMIFS('Accounting data'!$G$2:$G$37000,'Accounting data'!$I$2:$I$37000,"7*",'Accounting data'!$J$2:$J$37000,"4*",'Accounting data'!$K$2:$K$37000,"61*")+SUMIFS('Accounting data'!$G$2:$G$37000,'Accounting data'!$I$2:$I$37000,"8*",'Accounting data'!$J$2:$J$37000,"4*",'Accounting data'!$K$2:$K$37000,"61*")+SUMIFS('Accounting data'!$G$2:$G$37000,'Accounting data'!$I$2:$I$37000,"9*",'Accounting data'!$J$2:$J$37000,"4*",'Accounting data'!$K$2:$K$37000,"61*")</f>
        <v>0</v>
      </c>
    </row>
    <row r="89" spans="1:5" x14ac:dyDescent="0.25">
      <c r="A89" s="523" t="s">
        <v>992</v>
      </c>
      <c r="B89" s="521" t="s">
        <v>993</v>
      </c>
      <c r="C89" s="521">
        <v>4000</v>
      </c>
      <c r="D89" s="521">
        <v>6100</v>
      </c>
      <c r="E89" s="522">
        <f>SUMIFS('Accounting data'!$G$2:$G$37000,'Accounting data'!$H$2:$H$37000,"9999*",'Accounting data'!$I$2:$I$37000,"7*",'Accounting data'!$J$2:$J$37000,"4*",'Accounting data'!$K$2:$K$37000,"61*")+SUMIFS('Accounting data'!$G$2:$G$37000,'Accounting data'!$H$2:$H$37000,"9999*",'Accounting data'!$I$2:$I$37000,"8*",'Accounting data'!$J$2:$J$37000,"4*",'Accounting data'!$K$2:$K$37000,"61*")+SUMIFS('Accounting data'!$G$2:$G$37000,'Accounting data'!$H$2:$H$37000,"9999*",'Accounting data'!$I$2:$I$37000,"9*",'Accounting data'!$J$2:$J$37000,"4*",'Accounting data'!$K$2:$K$37000,"61*")</f>
        <v>0</v>
      </c>
    </row>
    <row r="90" spans="1:5" x14ac:dyDescent="0.25">
      <c r="A90" s="521"/>
      <c r="B90" s="521"/>
      <c r="C90" s="521"/>
      <c r="D90" s="521"/>
      <c r="E90" s="522"/>
    </row>
    <row r="91" spans="1:5" x14ac:dyDescent="0.25">
      <c r="A91" s="521"/>
      <c r="B91" s="521"/>
      <c r="C91" s="521"/>
      <c r="D91" s="521"/>
      <c r="E91" s="522"/>
    </row>
    <row r="92" spans="1:5" ht="14.4" x14ac:dyDescent="0.3">
      <c r="A92" s="524" t="s">
        <v>1005</v>
      </c>
      <c r="B92" s="524"/>
      <c r="C92" s="524"/>
      <c r="D92" s="524"/>
      <c r="E92" s="525">
        <f>(E86-E87-E88)+(E89+E90+E91)</f>
        <v>0</v>
      </c>
    </row>
    <row r="93" spans="1:5" ht="14.4" x14ac:dyDescent="0.3">
      <c r="A93" s="527" t="s">
        <v>1006</v>
      </c>
      <c r="B93" s="527"/>
      <c r="C93" s="527"/>
      <c r="D93" s="527"/>
      <c r="E93" s="528">
        <f>E8+E15+E22+E29+E36+E43+E50+E57+E64+E71+E78+E85</f>
        <v>1184246</v>
      </c>
    </row>
    <row r="94" spans="1:5" x14ac:dyDescent="0.25">
      <c r="A94" s="521" t="s">
        <v>1007</v>
      </c>
      <c r="B94" s="521" t="s">
        <v>991</v>
      </c>
      <c r="C94" s="521">
        <v>1000</v>
      </c>
      <c r="D94" s="521">
        <v>6100</v>
      </c>
      <c r="E94" s="522">
        <f>SUMIFS('Accounting data'!$G$2:$G$37000,'Accounting data'!$H$2:$H$37000,"11*",'Accounting data'!$J$2:$J$37000,"1*",'Accounting data'!$K$2:$K$37000,"61*")+SUMIFS('Accounting data'!$G$2:$G$37000,'Accounting data'!$H$2:$H$37000,"12*",'Accounting data'!$J$2:$J$37000,"1*",'Accounting data'!$K$2:$K$37000,"61*")+SUMIFS('Accounting data'!$G$2:$G$37000,'Accounting data'!$H$2:$H$37000,"13*",'Accounting data'!$J$2:$J$37000,"1*",'Accounting data'!$K$2:$K$37000,"61*")</f>
        <v>57403</v>
      </c>
    </row>
    <row r="95" spans="1:5" x14ac:dyDescent="0.25">
      <c r="A95" s="521" t="s">
        <v>1007</v>
      </c>
      <c r="B95" s="521" t="s">
        <v>991</v>
      </c>
      <c r="C95" s="521">
        <v>2000</v>
      </c>
      <c r="D95" s="521">
        <v>6100</v>
      </c>
      <c r="E95" s="522">
        <f>SUMIFS('Accounting data'!$G$2:$G$37000,'Accounting data'!$H$2:$H$37000,"11*",'Accounting data'!$J$2:$J$37000,"2*",'Accounting data'!$K$2:$K$37000,"61*")+SUMIFS('Accounting data'!$G$2:$G$37000,'Accounting data'!$H$2:$H$37000,"12*",'Accounting data'!$J$2:$J$37000,"2*",'Accounting data'!$K$2:$K$37000,"61*")+SUMIFS('Accounting data'!$G$2:$G$37000,'Accounting data'!$H$2:$H$37000,"13*",'Accounting data'!$J$2:$J$37000,"2*",'Accounting data'!$K$2:$K$37000,"61*")</f>
        <v>113794</v>
      </c>
    </row>
    <row r="96" spans="1:5" x14ac:dyDescent="0.25">
      <c r="A96" s="521" t="s">
        <v>1007</v>
      </c>
      <c r="B96" s="521" t="s">
        <v>991</v>
      </c>
      <c r="C96" s="521">
        <v>3000</v>
      </c>
      <c r="D96" s="521">
        <v>6100</v>
      </c>
      <c r="E96" s="522">
        <f>SUMIFS('Accounting data'!$G$2:$G$37000,'Accounting data'!$H$2:$H$37000,"11*",'Accounting data'!$J$2:$J$37000,"3*",'Accounting data'!$K$2:$K$37000,"61*")+SUMIFS('Accounting data'!$G$2:$G$37000,'Accounting data'!$H$2:$H$37000,"12*",'Accounting data'!$J$2:$J$37000,"3*",'Accounting data'!$K$2:$K$37000,"61*")+SUMIFS('Accounting data'!$G$2:$G$37000,'Accounting data'!$H$2:$H$37000,"13*",'Accounting data'!$J$2:$J$37000,"3*",'Accounting data'!$K$2:$K$37000,"61*")</f>
        <v>0</v>
      </c>
    </row>
    <row r="97" spans="1:5" x14ac:dyDescent="0.25">
      <c r="A97" s="521" t="s">
        <v>1007</v>
      </c>
      <c r="B97" s="523">
        <v>700</v>
      </c>
      <c r="C97" s="521">
        <v>1000</v>
      </c>
      <c r="D97" s="521">
        <v>6100</v>
      </c>
      <c r="E97" s="522">
        <f>SUMIFS('Accounting data'!$G$2:$G$37000,'Accounting data'!$H$2:$H$37000,"11*",'Accounting data'!$I$2:$I$37000,"7*",'Accounting data'!$J$2:$J$37000,"1*",'Accounting data'!$K$2:$K$37000,"61*")+SUMIFS('Accounting data'!$G$2:$G$37000,'Accounting data'!$H$2:$H$37000,"12*",'Accounting data'!$I$2:$I$37000,"7*",'Accounting data'!$J$2:$J$37000,"1*",'Accounting data'!$K$2:$K$37000,"61*")+SUMIFS('Accounting data'!$G$2:$G$37000,'Accounting data'!$H$2:$H$37000,"13*",'Accounting data'!$I$2:$I$37000,"7*",'Accounting data'!$J$2:$J$37000,"1*",'Accounting data'!$K$2:$K$37000,"61*")</f>
        <v>0</v>
      </c>
    </row>
    <row r="98" spans="1:5" x14ac:dyDescent="0.25">
      <c r="A98" s="521" t="s">
        <v>1007</v>
      </c>
      <c r="B98" s="523">
        <v>800</v>
      </c>
      <c r="C98" s="521">
        <v>1000</v>
      </c>
      <c r="D98" s="521">
        <v>6100</v>
      </c>
      <c r="E98" s="522">
        <f>SUMIFS('Accounting data'!$G$2:$G$37000,'Accounting data'!$H$2:$H$37000,"11*",'Accounting data'!$I$2:$I$37000,"8*",'Accounting data'!$J$2:$J$37000,"1*",'Accounting data'!$K$2:$K$37000,"61*")+SUMIFS('Accounting data'!$G$2:$G$37000,'Accounting data'!$H$2:$H$37000,"12*",'Accounting data'!$I$2:$I$37000,"8*",'Accounting data'!$J$2:$J$37000,"1*",'Accounting data'!$K$2:$K$37000,"61*")+SUMIFS('Accounting data'!$G$2:$G$37000,'Accounting data'!$H$2:$H$37000,"13*",'Accounting data'!$I$2:$I$37000,"8*",'Accounting data'!$J$2:$J$37000,"1*",'Accounting data'!$K$2:$K$37000,"61*")</f>
        <v>0</v>
      </c>
    </row>
    <row r="99" spans="1:5" x14ac:dyDescent="0.25">
      <c r="A99" s="521" t="s">
        <v>1007</v>
      </c>
      <c r="B99" s="523">
        <v>900</v>
      </c>
      <c r="C99" s="521">
        <v>1000</v>
      </c>
      <c r="D99" s="521">
        <v>6100</v>
      </c>
      <c r="E99" s="522">
        <f>SUMIFS('Accounting data'!$G$2:$G$37000,'Accounting data'!$H$2:$H$37000,"11*",'Accounting data'!$I$2:$I$37000,"9*",'Accounting data'!$J$2:$J$37000,"1*",'Accounting data'!$K$2:$K$37000,"61*")+SUMIFS('Accounting data'!$G$2:$G$37000,'Accounting data'!$H$2:$H$37000,"12*",'Accounting data'!$I$2:$I$37000,"9*",'Accounting data'!$J$2:$J$37000,"1*",'Accounting data'!$K$2:$K$37000,"61*")+SUMIFS('Accounting data'!$G$2:$G$37000,'Accounting data'!$H$2:$H$37000,"13*",'Accounting data'!$I$2:$I$37000,"9*",'Accounting data'!$J$2:$J$37000,"1*",'Accounting data'!$K$2:$K$37000,"61*")</f>
        <v>0</v>
      </c>
    </row>
    <row r="100" spans="1:5" x14ac:dyDescent="0.25">
      <c r="A100" s="521" t="s">
        <v>1007</v>
      </c>
      <c r="B100" s="523">
        <v>700</v>
      </c>
      <c r="C100" s="521">
        <v>2000</v>
      </c>
      <c r="D100" s="521">
        <v>6100</v>
      </c>
      <c r="E100" s="522">
        <f>SUMIFS('Accounting data'!$G$2:$G$37000,'Accounting data'!$H$2:$H$37000,"11*",'Accounting data'!$I$2:$I$37000,"7*",'Accounting data'!$J$2:$J$37000,"2*",'Accounting data'!$K$2:$K$37000,"61*")+SUMIFS('Accounting data'!$G$2:$G$37000,'Accounting data'!$H$2:$H$37000,"12*",'Accounting data'!$I$2:$I$37000,"7*",'Accounting data'!$J$2:$J$37000,"2*",'Accounting data'!$K$2:$K$37000,"61*")+SUMIFS('Accounting data'!$G$2:$G$37000,'Accounting data'!$H$2:$H$37000,"13*",'Accounting data'!$I$2:$I$37000,"7*",'Accounting data'!$J$2:$J$37000,"2*",'Accounting data'!$K$2:$K$37000,"61*")</f>
        <v>0</v>
      </c>
    </row>
    <row r="101" spans="1:5" x14ac:dyDescent="0.25">
      <c r="A101" s="521" t="s">
        <v>1007</v>
      </c>
      <c r="B101" s="523">
        <v>800</v>
      </c>
      <c r="C101" s="521">
        <v>2000</v>
      </c>
      <c r="D101" s="521">
        <v>6100</v>
      </c>
      <c r="E101" s="522">
        <f>SUMIFS('Accounting data'!$G$2:$G$37000,'Accounting data'!$H$2:$H$37000,"11*",'Accounting data'!$I$2:$I$37000,"8*",'Accounting data'!$J$2:$J$37000,"2*",'Accounting data'!$K$2:$K$37000,"61*")+SUMIFS('Accounting data'!$G$2:$G$37000,'Accounting data'!$H$2:$H$37000,"12*",'Accounting data'!$I$2:$I$37000,"8*",'Accounting data'!$J$2:$J$37000,"2*",'Accounting data'!$K$2:$K$37000,"61*")+SUMIFS('Accounting data'!$G$2:$G$37000,'Accounting data'!$H$2:$H$37000,"13*",'Accounting data'!$I$2:$I$37000,"8*",'Accounting data'!$J$2:$J$37000,"2*",'Accounting data'!$K$2:$K$37000,"61*")</f>
        <v>0</v>
      </c>
    </row>
    <row r="102" spans="1:5" x14ac:dyDescent="0.25">
      <c r="A102" s="521" t="s">
        <v>1007</v>
      </c>
      <c r="B102" s="523">
        <v>900</v>
      </c>
      <c r="C102" s="521">
        <v>2000</v>
      </c>
      <c r="D102" s="521">
        <v>6100</v>
      </c>
      <c r="E102" s="522">
        <f>SUMIFS('Accounting data'!$G$2:$G$37000,'Accounting data'!$H$2:$H$37000,"11*",'Accounting data'!$I$2:$I$37000,"9*",'Accounting data'!$J$2:$J$37000,"2*",'Accounting data'!$K$2:$K$37000,"61*")+SUMIFS('Accounting data'!$G$2:$G$37000,'Accounting data'!$H$2:$H$37000,"12*",'Accounting data'!$I$2:$I$37000,"9*",'Accounting data'!$J$2:$J$37000,"2*",'Accounting data'!$K$2:$K$37000,"61*")+SUMIFS('Accounting data'!$G$2:$G$37000,'Accounting data'!$H$2:$H$37000,"13*",'Accounting data'!$I$2:$I$37000,"9*",'Accounting data'!$J$2:$J$37000,"2*",'Accounting data'!$K$2:$K$37000,"61*")</f>
        <v>0</v>
      </c>
    </row>
    <row r="103" spans="1:5" x14ac:dyDescent="0.25">
      <c r="A103" s="521" t="s">
        <v>1007</v>
      </c>
      <c r="B103" s="523">
        <v>700</v>
      </c>
      <c r="C103" s="521">
        <v>3000</v>
      </c>
      <c r="D103" s="521">
        <v>6100</v>
      </c>
      <c r="E103" s="522">
        <f>SUMIFS('Accounting data'!$G$2:$G$37000,'Accounting data'!$H$2:$H$37000,"11*",'Accounting data'!$I$2:$I$37000,"7*",'Accounting data'!$J$2:$J$37000,"3*",'Accounting data'!$K$2:$K$37000,"61*")+SUMIFS('Accounting data'!$G$2:$G$37000,'Accounting data'!$H$2:$H$37000,"12*",'Accounting data'!$I$2:$I$37000,"7*",'Accounting data'!$J$2:$J$37000,"3*",'Accounting data'!$K$2:$K$37000,"61*")+SUMIFS('Accounting data'!$G$2:$G$37000,'Accounting data'!$H$2:$H$37000,"13*",'Accounting data'!$I$2:$I$37000,"7*",'Accounting data'!$J$2:$J$37000,"3*",'Accounting data'!$K$2:$K$37000,"61*")</f>
        <v>0</v>
      </c>
    </row>
    <row r="104" spans="1:5" x14ac:dyDescent="0.25">
      <c r="A104" s="521" t="s">
        <v>1007</v>
      </c>
      <c r="B104" s="523">
        <v>800</v>
      </c>
      <c r="C104" s="521">
        <v>3000</v>
      </c>
      <c r="D104" s="521">
        <v>6100</v>
      </c>
      <c r="E104" s="522">
        <f>SUMIFS('Accounting data'!$G$2:$G$37000,'Accounting data'!$H$2:$H$37000,"11*",'Accounting data'!$I$2:$I$37000,"8*",'Accounting data'!$J$2:$J$37000,"3*",'Accounting data'!$K$2:$K$37000,"61*")+SUMIFS('Accounting data'!$G$2:$G$37000,'Accounting data'!$H$2:$H$37000,"12*",'Accounting data'!$I$2:$I$37000,"8*",'Accounting data'!$J$2:$J$37000,"3*",'Accounting data'!$K$2:$K$37000,"61*")+SUMIFS('Accounting data'!$G$2:$G$37000,'Accounting data'!$H$2:$H$37000,"13*",'Accounting data'!$I$2:$I$37000,"8*",'Accounting data'!$J$2:$J$37000,"3*",'Accounting data'!$K$2:$K$37000,"61*")</f>
        <v>0</v>
      </c>
    </row>
    <row r="105" spans="1:5" x14ac:dyDescent="0.25">
      <c r="A105" s="521" t="s">
        <v>1007</v>
      </c>
      <c r="B105" s="523">
        <v>900</v>
      </c>
      <c r="C105" s="521">
        <v>3000</v>
      </c>
      <c r="D105" s="521">
        <v>6100</v>
      </c>
      <c r="E105" s="522">
        <f>SUMIFS('Accounting data'!$G$2:$G$37000,'Accounting data'!$H$2:$H$37000,"11*",'Accounting data'!$I$2:$I$37000,"9*",'Accounting data'!$J$2:$J$37000,"3*",'Accounting data'!$K$2:$K$37000,"61*")+SUMIFS('Accounting data'!$G$2:$G$37000,'Accounting data'!$H$2:$H$37000,"12*",'Accounting data'!$I$2:$I$37000,"9*",'Accounting data'!$J$2:$J$37000,"3*",'Accounting data'!$K$2:$K$37000,"61*")+SUMIFS('Accounting data'!$G$2:$G$37000,'Accounting data'!$H$2:$H$37000,"13*",'Accounting data'!$I$2:$I$37000,"9*",'Accounting data'!$J$2:$J$37000,"3*",'Accounting data'!$K$2:$K$37000,"61*")</f>
        <v>0</v>
      </c>
    </row>
    <row r="106" spans="1:5" ht="14.4" x14ac:dyDescent="0.3">
      <c r="A106" s="524" t="s">
        <v>1008</v>
      </c>
      <c r="B106" s="524"/>
      <c r="C106" s="524"/>
      <c r="D106" s="524"/>
      <c r="E106" s="525">
        <f>(E94+E95+E96)-(E97+E98+E99+E100+E101+E102+E103+E104+E105)</f>
        <v>171197</v>
      </c>
    </row>
    <row r="107" spans="1:5" x14ac:dyDescent="0.25">
      <c r="A107" s="521" t="s">
        <v>991</v>
      </c>
      <c r="B107" s="521" t="s">
        <v>991</v>
      </c>
      <c r="C107" s="521">
        <v>1000</v>
      </c>
      <c r="D107" s="521">
        <v>6200</v>
      </c>
      <c r="E107" s="522">
        <f>SUMIFS('Accounting data'!$G$2:$G$37000,'Accounting data'!$J$2:$J$37000,"1*",'Accounting data'!$K$2:$K$37000,"62*")</f>
        <v>193953</v>
      </c>
    </row>
    <row r="108" spans="1:5" x14ac:dyDescent="0.25">
      <c r="A108" s="521" t="s">
        <v>992</v>
      </c>
      <c r="B108" s="521" t="s">
        <v>991</v>
      </c>
      <c r="C108" s="521">
        <v>1000</v>
      </c>
      <c r="D108" s="521">
        <v>6200</v>
      </c>
      <c r="E108" s="522">
        <f>SUMIFS('Accounting data'!$G$2:$G$37000,'Accounting data'!$H$2:$H$37000,"9999*",'Accounting data'!$J$2:$J$37000,"1*",'Accounting data'!$K$2:$K$37000,"62*")</f>
        <v>0</v>
      </c>
    </row>
    <row r="109" spans="1:5" x14ac:dyDescent="0.25">
      <c r="A109" s="521" t="s">
        <v>991</v>
      </c>
      <c r="B109" s="521" t="s">
        <v>993</v>
      </c>
      <c r="C109" s="521">
        <v>1000</v>
      </c>
      <c r="D109" s="521">
        <v>6200</v>
      </c>
      <c r="E109" s="522">
        <f>SUMIFS('Accounting data'!$G$2:$G$37000,'Accounting data'!$I$2:$I$37000,"7*",'Accounting data'!$J$2:$J$37000,"1*",'Accounting data'!$K$2:$K$37000,"62*")+SUMIFS('Accounting data'!$G$2:$G$37000,'Accounting data'!$I$2:$I$37000,"8*",'Accounting data'!$J$2:$J$37000,"1*",'Accounting data'!$K$2:$K$37000,"62*")+SUMIFS('Accounting data'!$G$2:$G$37000,'Accounting data'!$I$2:$I$37000,"9*",'Accounting data'!$J$2:$J$37000,"1*",'Accounting data'!$K$2:$K$37000,"62*")</f>
        <v>0</v>
      </c>
    </row>
    <row r="110" spans="1:5" x14ac:dyDescent="0.25">
      <c r="A110" s="523" t="s">
        <v>992</v>
      </c>
      <c r="B110" s="521" t="s">
        <v>993</v>
      </c>
      <c r="C110" s="521">
        <v>1000</v>
      </c>
      <c r="D110" s="521">
        <v>6200</v>
      </c>
      <c r="E110" s="522">
        <f>SUMIFS('Accounting data'!$G$2:$G$37000,'Accounting data'!$H$2:$H$37000,"9999*",'Accounting data'!$I$2:$I$37000,"7*",'Accounting data'!$J$2:$J$37000,"1*",'Accounting data'!$K$2:$K$37000,"62*")+SUMIFS('Accounting data'!$G$2:$G$37000,'Accounting data'!$H$2:$H$37000,"9999*",'Accounting data'!$I$2:$I$37000,"8*",'Accounting data'!$J$2:$J$37000,"1*",'Accounting data'!$K$2:$K$37000,"62*")+SUMIFS('Accounting data'!$G$2:$G$37000,'Accounting data'!$H$2:$H$37000,"9999*",'Accounting data'!$I$2:$I$37000,"9*",'Accounting data'!$J$2:$J$37000,"1*",'Accounting data'!$K$2:$K$37000,"62*")</f>
        <v>0</v>
      </c>
    </row>
    <row r="113" spans="1:5" ht="14.4" x14ac:dyDescent="0.3">
      <c r="A113" s="524" t="s">
        <v>1009</v>
      </c>
      <c r="B113" s="524"/>
      <c r="C113" s="524"/>
      <c r="D113" s="524"/>
      <c r="E113" s="525">
        <f>(E107-E108-E109)+(E110+E111+E112)</f>
        <v>193953</v>
      </c>
    </row>
    <row r="114" spans="1:5" x14ac:dyDescent="0.25">
      <c r="A114" s="521" t="s">
        <v>991</v>
      </c>
      <c r="B114" s="521" t="s">
        <v>991</v>
      </c>
      <c r="C114" s="521">
        <v>2100</v>
      </c>
      <c r="D114" s="521">
        <v>6200</v>
      </c>
      <c r="E114" s="522">
        <f>SUMIFS('Accounting data'!$G$2:$G$37000,'Accounting data'!$J$2:$J$37000,"21*",'Accounting data'!$K$2:$K$37000,"62*")</f>
        <v>70958</v>
      </c>
    </row>
    <row r="115" spans="1:5" x14ac:dyDescent="0.25">
      <c r="A115" s="521" t="s">
        <v>992</v>
      </c>
      <c r="B115" s="521" t="s">
        <v>991</v>
      </c>
      <c r="C115" s="521">
        <v>2100</v>
      </c>
      <c r="D115" s="521">
        <v>6200</v>
      </c>
      <c r="E115" s="522">
        <f>SUMIFS('Accounting data'!$G$2:$G$37000,'Accounting data'!$H$2:$H$37000,"9999*",'Accounting data'!$J$2:$J$37000,"21*",'Accounting data'!$K$2:$K$37000,"62*")</f>
        <v>0</v>
      </c>
    </row>
    <row r="116" spans="1:5" x14ac:dyDescent="0.25">
      <c r="A116" s="521" t="s">
        <v>991</v>
      </c>
      <c r="B116" s="521" t="s">
        <v>993</v>
      </c>
      <c r="C116" s="521">
        <v>2100</v>
      </c>
      <c r="D116" s="521">
        <v>6200</v>
      </c>
      <c r="E116" s="522">
        <f>SUMIFS('Accounting data'!$G$2:$G$37000,'Accounting data'!$I$2:$I$37000,"7*",'Accounting data'!$J$2:$J$37000,"21*",'Accounting data'!$K$2:$K$37000,"62*")+SUMIFS('Accounting data'!$G$2:$G$37000,'Accounting data'!$I$2:$I$37000,"8*",'Accounting data'!$J$2:$J$37000,"21*",'Accounting data'!$K$2:$K$37000,"62*")+SUMIFS('Accounting data'!$G$2:$G$37000,'Accounting data'!$I$2:$I$37000,"9*",'Accounting data'!$J$2:$J$37000,"21*",'Accounting data'!$K$2:$K$37000,"62*")</f>
        <v>0</v>
      </c>
    </row>
    <row r="117" spans="1:5" x14ac:dyDescent="0.25">
      <c r="A117" s="523" t="s">
        <v>992</v>
      </c>
      <c r="B117" s="521" t="s">
        <v>993</v>
      </c>
      <c r="C117" s="521">
        <v>2100</v>
      </c>
      <c r="D117" s="521">
        <v>6200</v>
      </c>
      <c r="E117" s="522">
        <f>SUMIFS('Accounting data'!$G$2:$G$37000,'Accounting data'!$H$2:$H$37000,"9999*",'Accounting data'!$I$2:$I$37000,"7*",'Accounting data'!$J$2:$J$37000,"21*",'Accounting data'!$K$2:$K$37000,"62*")+SUMIFS('Accounting data'!$G$2:$G$37000,'Accounting data'!$H$2:$H$37000,"9999*",'Accounting data'!$I$2:$I$37000,"8*",'Accounting data'!$J$2:$J$37000,"21*",'Accounting data'!$K$2:$K$37000,"62*")+SUMIFS('Accounting data'!$G$2:$G$37000,'Accounting data'!$H$2:$H$37000,"9999*",'Accounting data'!$I$2:$I$37000,"9*",'Accounting data'!$J$2:$J$37000,"21*",'Accounting data'!$K$2:$K$37000,"62*")</f>
        <v>0</v>
      </c>
    </row>
    <row r="118" spans="1:5" x14ac:dyDescent="0.25">
      <c r="A118" s="521"/>
      <c r="B118" s="521"/>
      <c r="C118" s="521"/>
      <c r="D118" s="521"/>
      <c r="E118" s="522"/>
    </row>
    <row r="119" spans="1:5" x14ac:dyDescent="0.25">
      <c r="A119" s="521"/>
      <c r="B119" s="521"/>
      <c r="C119" s="521"/>
      <c r="D119" s="521"/>
      <c r="E119" s="522"/>
    </row>
    <row r="120" spans="1:5" ht="14.4" x14ac:dyDescent="0.3">
      <c r="A120" s="524" t="s">
        <v>1010</v>
      </c>
      <c r="B120" s="524"/>
      <c r="C120" s="524"/>
      <c r="D120" s="524"/>
      <c r="E120" s="525">
        <f>(E114-E115-E116)+(E117+E118+E119)</f>
        <v>70958</v>
      </c>
    </row>
    <row r="121" spans="1:5" x14ac:dyDescent="0.25">
      <c r="A121" s="521" t="s">
        <v>991</v>
      </c>
      <c r="B121" s="521" t="s">
        <v>991</v>
      </c>
      <c r="C121" s="521">
        <v>2200</v>
      </c>
      <c r="D121" s="521">
        <v>6200</v>
      </c>
      <c r="E121" s="522">
        <f>SUMIFS('Accounting data'!$G$2:$G$37000,'Accounting data'!$J$2:$J$37000,"22*",'Accounting data'!$K$2:$K$37000,"62*")</f>
        <v>4327</v>
      </c>
    </row>
    <row r="122" spans="1:5" x14ac:dyDescent="0.25">
      <c r="A122" s="521" t="s">
        <v>992</v>
      </c>
      <c r="B122" s="521" t="s">
        <v>991</v>
      </c>
      <c r="C122" s="521">
        <v>2200</v>
      </c>
      <c r="D122" s="521">
        <v>6200</v>
      </c>
      <c r="E122" s="522">
        <f>SUMIFS('Accounting data'!$G$2:$G$37000,'Accounting data'!$H$2:$H$37000,"9999*",'Accounting data'!$J$2:$J$37000,"22*",'Accounting data'!$K$2:$K$37000,"62*")</f>
        <v>0</v>
      </c>
    </row>
    <row r="123" spans="1:5" x14ac:dyDescent="0.25">
      <c r="A123" s="521" t="s">
        <v>991</v>
      </c>
      <c r="B123" s="521" t="s">
        <v>993</v>
      </c>
      <c r="C123" s="521">
        <v>2200</v>
      </c>
      <c r="D123" s="521">
        <v>6200</v>
      </c>
      <c r="E123" s="522">
        <f>SUMIFS('Accounting data'!$G$2:$G$37000,'Accounting data'!$I$2:$I$37000,"7*",'Accounting data'!$J$2:$J$37000,"22*",'Accounting data'!$K$2:$K$37000,"62*")+SUMIFS('Accounting data'!$G$2:$G$37000,'Accounting data'!$I$2:$I$37000,"8*",'Accounting data'!$J$2:$J$37000,"22*",'Accounting data'!$K$2:$K$37000,"62*")+SUMIFS('Accounting data'!$G$2:$G$37000,'Accounting data'!$I$2:$I$37000,"9*",'Accounting data'!$J$2:$J$37000,"22*",'Accounting data'!$K$2:$K$37000,"62*")</f>
        <v>0</v>
      </c>
    </row>
    <row r="124" spans="1:5" x14ac:dyDescent="0.25">
      <c r="A124" s="523" t="s">
        <v>992</v>
      </c>
      <c r="B124" s="521" t="s">
        <v>993</v>
      </c>
      <c r="C124" s="521">
        <v>2200</v>
      </c>
      <c r="D124" s="521">
        <v>6200</v>
      </c>
      <c r="E124" s="522">
        <f>SUMIFS('Accounting data'!$G$2:$G$37000,'Accounting data'!$H$2:$H$37000,"9999*",'Accounting data'!$I$2:$I$37000,"7*",'Accounting data'!$J$2:$J$37000,"22*",'Accounting data'!$K$2:$K$37000,"62*")+SUMIFS('Accounting data'!$G$2:$G$37000,'Accounting data'!$H$2:$H$37000,"9999*",'Accounting data'!$I$2:$I$37000,"8*",'Accounting data'!$J$2:$J$37000,"22*",'Accounting data'!$K$2:$K$37000,"62*")+SUMIFS('Accounting data'!$G$2:$G$37000,'Accounting data'!$H$2:$H$37000,"9999*",'Accounting data'!$I$2:$I$37000,"9*",'Accounting data'!$J$2:$J$37000,"22*",'Accounting data'!$K$2:$K$37000,"62*")</f>
        <v>0</v>
      </c>
    </row>
    <row r="125" spans="1:5" x14ac:dyDescent="0.25">
      <c r="A125" s="521"/>
      <c r="B125" s="521"/>
      <c r="C125" s="521"/>
      <c r="D125" s="521"/>
      <c r="E125" s="522"/>
    </row>
    <row r="126" spans="1:5" x14ac:dyDescent="0.25">
      <c r="A126" s="521"/>
      <c r="B126" s="521"/>
      <c r="C126" s="521"/>
      <c r="D126" s="521"/>
      <c r="E126" s="522"/>
    </row>
    <row r="127" spans="1:5" ht="14.4" x14ac:dyDescent="0.3">
      <c r="A127" s="524" t="s">
        <v>1011</v>
      </c>
      <c r="B127" s="524"/>
      <c r="C127" s="524"/>
      <c r="D127" s="524"/>
      <c r="E127" s="525">
        <f>(E121-E122-E123)+(E124+E125+E126)</f>
        <v>4327</v>
      </c>
    </row>
    <row r="128" spans="1:5" x14ac:dyDescent="0.25">
      <c r="A128" s="521" t="s">
        <v>991</v>
      </c>
      <c r="B128" s="521" t="s">
        <v>991</v>
      </c>
      <c r="C128" s="521">
        <v>2300</v>
      </c>
      <c r="D128" s="521">
        <v>6200</v>
      </c>
      <c r="E128" s="522">
        <f>SUMIFS('Accounting data'!$G$2:$G$37000,'Accounting data'!$J$2:$J$37000,"23*",'Accounting data'!$K$2:$K$37000,"62*")</f>
        <v>0</v>
      </c>
    </row>
    <row r="129" spans="1:5" x14ac:dyDescent="0.25">
      <c r="A129" s="521" t="s">
        <v>992</v>
      </c>
      <c r="B129" s="521" t="s">
        <v>991</v>
      </c>
      <c r="C129" s="521">
        <v>2300</v>
      </c>
      <c r="D129" s="521">
        <v>6200</v>
      </c>
      <c r="E129" s="522">
        <f>SUMIFS('Accounting data'!$G$2:$G$37000,'Accounting data'!$H$2:$H$37000,"9999*",'Accounting data'!$J$2:$J$37000,"23*",'Accounting data'!$K$2:$K$37000,"62*")</f>
        <v>0</v>
      </c>
    </row>
    <row r="130" spans="1:5" x14ac:dyDescent="0.25">
      <c r="A130" s="521" t="s">
        <v>991</v>
      </c>
      <c r="B130" s="521" t="s">
        <v>993</v>
      </c>
      <c r="C130" s="521">
        <v>2300</v>
      </c>
      <c r="D130" s="521">
        <v>6200</v>
      </c>
      <c r="E130" s="522">
        <f>SUMIFS('Accounting data'!$G$2:$G$37000,'Accounting data'!$I$2:$I$37000,"7*",'Accounting data'!$J$2:$J$37000,"23*",'Accounting data'!$K$2:$K$37000,"62*")+SUMIFS('Accounting data'!$G$2:$G$37000,'Accounting data'!$I$2:$I$37000,"8*",'Accounting data'!$J$2:$J$37000,"23*",'Accounting data'!$K$2:$K$37000,"62*")+SUMIFS('Accounting data'!$G$2:$G$37000,'Accounting data'!$I$2:$I$37000,"9*",'Accounting data'!$J$2:$J$37000,"23*",'Accounting data'!$K$2:$K$37000,"62*")</f>
        <v>0</v>
      </c>
    </row>
    <row r="131" spans="1:5" x14ac:dyDescent="0.25">
      <c r="A131" s="523" t="s">
        <v>992</v>
      </c>
      <c r="B131" s="521" t="s">
        <v>993</v>
      </c>
      <c r="C131" s="521">
        <v>2300</v>
      </c>
      <c r="D131" s="521">
        <v>6200</v>
      </c>
      <c r="E131" s="522">
        <f>SUMIFS('Accounting data'!$G$2:$G$37000,'Accounting data'!$H$2:$H$37000,"9999*",'Accounting data'!$I$2:$I$37000,"7*",'Accounting data'!$J$2:$J$37000,"23*",'Accounting data'!$K$2:$K$37000,"62*")+SUMIFS('Accounting data'!$G$2:$G$37000,'Accounting data'!$H$2:$H$37000,"9999*",'Accounting data'!$I$2:$I$37000,"8*",'Accounting data'!$J$2:$J$37000,"23*",'Accounting data'!$K$2:$K$37000,"62*")+SUMIFS('Accounting data'!$G$2:$G$37000,'Accounting data'!$H$2:$H$37000,"9999*",'Accounting data'!$I$2:$I$37000,"9*",'Accounting data'!$J$2:$J$37000,"23*",'Accounting data'!$K$2:$K$37000,"62*")</f>
        <v>0</v>
      </c>
    </row>
    <row r="132" spans="1:5" x14ac:dyDescent="0.25">
      <c r="A132" s="521"/>
      <c r="B132" s="521"/>
      <c r="C132" s="521"/>
      <c r="D132" s="521"/>
      <c r="E132" s="522"/>
    </row>
    <row r="133" spans="1:5" x14ac:dyDescent="0.25">
      <c r="A133" s="521"/>
      <c r="B133" s="521"/>
      <c r="C133" s="521"/>
      <c r="D133" s="521"/>
      <c r="E133" s="522"/>
    </row>
    <row r="134" spans="1:5" ht="14.4" x14ac:dyDescent="0.3">
      <c r="A134" s="524" t="s">
        <v>1012</v>
      </c>
      <c r="B134" s="524"/>
      <c r="C134" s="524"/>
      <c r="D134" s="524"/>
      <c r="E134" s="525">
        <f>(E128-E129-E130)+(E131+E132+E133)</f>
        <v>0</v>
      </c>
    </row>
    <row r="135" spans="1:5" x14ac:dyDescent="0.25">
      <c r="A135" s="521" t="s">
        <v>991</v>
      </c>
      <c r="B135" s="521" t="s">
        <v>991</v>
      </c>
      <c r="C135" s="521">
        <v>2400</v>
      </c>
      <c r="D135" s="521">
        <v>6200</v>
      </c>
      <c r="E135" s="522">
        <f>SUMIFS('Accounting data'!$G$2:$G$37000,'Accounting data'!$J$2:$J$37000,"24*",'Accounting data'!$K$2:$K$37000,"62*")</f>
        <v>54693</v>
      </c>
    </row>
    <row r="136" spans="1:5" x14ac:dyDescent="0.25">
      <c r="A136" s="521" t="s">
        <v>992</v>
      </c>
      <c r="B136" s="521" t="s">
        <v>991</v>
      </c>
      <c r="C136" s="521">
        <v>2400</v>
      </c>
      <c r="D136" s="521">
        <v>6200</v>
      </c>
      <c r="E136" s="522">
        <f>SUMIFS('Accounting data'!$G$2:$G$37000,'Accounting data'!$H$2:$H$37000,"9999*",'Accounting data'!$J$2:$J$37000,"24*",'Accounting data'!$K$2:$K$37000,"62*")</f>
        <v>0</v>
      </c>
    </row>
    <row r="137" spans="1:5" x14ac:dyDescent="0.25">
      <c r="A137" s="521" t="s">
        <v>991</v>
      </c>
      <c r="B137" s="521" t="s">
        <v>993</v>
      </c>
      <c r="C137" s="521">
        <v>2400</v>
      </c>
      <c r="D137" s="521">
        <v>6200</v>
      </c>
      <c r="E137" s="522">
        <f>SUMIFS('Accounting data'!$G$2:$G$37000,'Accounting data'!$I$2:$I$37000,"7*",'Accounting data'!$J$2:$J$37000,"24*",'Accounting data'!$K$2:$K$37000,"62*")+SUMIFS('Accounting data'!$G$2:$G$37000,'Accounting data'!$I$2:$I$37000,"8*",'Accounting data'!$J$2:$J$37000,"24*",'Accounting data'!$K$2:$K$37000,"62*")+SUMIFS('Accounting data'!$G$2:$G$37000,'Accounting data'!$I$2:$I$37000,"9*",'Accounting data'!$J$2:$J$37000,"24*",'Accounting data'!$K$2:$K$37000,"62*")</f>
        <v>0</v>
      </c>
    </row>
    <row r="138" spans="1:5" x14ac:dyDescent="0.25">
      <c r="A138" s="523" t="s">
        <v>992</v>
      </c>
      <c r="B138" s="521" t="s">
        <v>993</v>
      </c>
      <c r="C138" s="521">
        <v>2400</v>
      </c>
      <c r="D138" s="521">
        <v>6200</v>
      </c>
      <c r="E138" s="522">
        <f>SUMIFS('Accounting data'!$G$2:$G$37000,'Accounting data'!$H$2:$H$37000,"9999*",'Accounting data'!$I$2:$I$37000,"7*",'Accounting data'!$J$2:$J$37000,"24*",'Accounting data'!$K$2:$K$37000,"62*")+SUMIFS('Accounting data'!$G$2:$G$37000,'Accounting data'!$H$2:$H$37000,"9999*",'Accounting data'!$I$2:$I$37000,"8*",'Accounting data'!$J$2:$J$37000,"24*",'Accounting data'!$K$2:$K$37000,"62*")+SUMIFS('Accounting data'!$G$2:$G$37000,'Accounting data'!$H$2:$H$37000,"9999*",'Accounting data'!$I$2:$I$37000,"9*",'Accounting data'!$J$2:$J$37000,"24*",'Accounting data'!$K$2:$K$37000,"62*")</f>
        <v>0</v>
      </c>
    </row>
    <row r="139" spans="1:5" x14ac:dyDescent="0.25">
      <c r="A139" s="521"/>
      <c r="B139" s="521"/>
      <c r="C139" s="521"/>
      <c r="D139" s="521"/>
      <c r="E139" s="522"/>
    </row>
    <row r="140" spans="1:5" x14ac:dyDescent="0.25">
      <c r="A140" s="521"/>
      <c r="B140" s="521"/>
      <c r="C140" s="521"/>
      <c r="D140" s="521"/>
      <c r="E140" s="522"/>
    </row>
    <row r="141" spans="1:5" ht="14.4" x14ac:dyDescent="0.3">
      <c r="A141" s="524" t="s">
        <v>1013</v>
      </c>
      <c r="B141" s="524"/>
      <c r="C141" s="524"/>
      <c r="D141" s="524"/>
      <c r="E141" s="525">
        <f>(E135-E136-E137)+(E138+E139+E140)</f>
        <v>54693</v>
      </c>
    </row>
    <row r="142" spans="1:5" x14ac:dyDescent="0.25">
      <c r="A142" s="521" t="s">
        <v>991</v>
      </c>
      <c r="B142" s="521" t="s">
        <v>991</v>
      </c>
      <c r="C142" s="521">
        <v>2500</v>
      </c>
      <c r="D142" s="521">
        <v>6200</v>
      </c>
      <c r="E142" s="522">
        <f>SUMIFS('Accounting data'!$G$2:$G$37000,'Accounting data'!$J$2:$J$37000,"25*",'Accounting data'!$K$2:$K$37000,"62*")</f>
        <v>22646</v>
      </c>
    </row>
    <row r="143" spans="1:5" x14ac:dyDescent="0.25">
      <c r="A143" s="521" t="s">
        <v>992</v>
      </c>
      <c r="B143" s="521" t="s">
        <v>991</v>
      </c>
      <c r="C143" s="521">
        <v>2500</v>
      </c>
      <c r="D143" s="521">
        <v>6200</v>
      </c>
      <c r="E143" s="522">
        <f>SUMIFS('Accounting data'!$G$2:$G$37000,'Accounting data'!$H$2:$H$37000,"9999*",'Accounting data'!$J$2:$J$37000,"25*",'Accounting data'!$K$2:$K$37000,"62*")</f>
        <v>0</v>
      </c>
    </row>
    <row r="144" spans="1:5" x14ac:dyDescent="0.25">
      <c r="A144" s="521" t="s">
        <v>991</v>
      </c>
      <c r="B144" s="521" t="s">
        <v>993</v>
      </c>
      <c r="C144" s="521">
        <v>2500</v>
      </c>
      <c r="D144" s="521">
        <v>6200</v>
      </c>
      <c r="E144" s="522">
        <f>SUMIFS('Accounting data'!$G$2:$G$37000,'Accounting data'!$I$2:$I$37000,"7*",'Accounting data'!$J$2:$J$37000,"25*",'Accounting data'!$K$2:$K$37000,"62*")+SUMIFS('Accounting data'!$G$2:$G$37000,'Accounting data'!$I$2:$I$37000,"8*",'Accounting data'!$J$2:$J$37000,"25*",'Accounting data'!$K$2:$K$37000,"62*")+SUMIFS('Accounting data'!$G$2:$G$37000,'Accounting data'!$I$2:$I$37000,"9*",'Accounting data'!$J$2:$J$37000,"25*",'Accounting data'!$K$2:$K$37000,"62*")</f>
        <v>0</v>
      </c>
    </row>
    <row r="145" spans="1:5" x14ac:dyDescent="0.25">
      <c r="A145" s="523" t="s">
        <v>992</v>
      </c>
      <c r="B145" s="521" t="s">
        <v>993</v>
      </c>
      <c r="C145" s="521">
        <v>2500</v>
      </c>
      <c r="D145" s="521">
        <v>6200</v>
      </c>
      <c r="E145" s="522">
        <f>SUMIFS('Accounting data'!$G$2:$G$37000,'Accounting data'!$H$2:$H$37000,"9999*",'Accounting data'!$I$2:$I$37000,"7*",'Accounting data'!$J$2:$J$37000,"25*",'Accounting data'!$K$2:$K$37000,"62*")+SUMIFS('Accounting data'!$G$2:$G$37000,'Accounting data'!$H$2:$H$37000,"9999*",'Accounting data'!$I$2:$I$37000,"8*",'Accounting data'!$J$2:$J$37000,"25*",'Accounting data'!$K$2:$K$37000,"62*")+SUMIFS('Accounting data'!$G$2:$G$37000,'Accounting data'!$H$2:$H$37000,"9999*",'Accounting data'!$I$2:$I$37000,"9*",'Accounting data'!$J$2:$J$37000,"25*",'Accounting data'!$K$2:$K$37000,"62*")</f>
        <v>0</v>
      </c>
    </row>
    <row r="146" spans="1:5" x14ac:dyDescent="0.25">
      <c r="A146" s="521"/>
      <c r="B146" s="521"/>
      <c r="C146" s="521"/>
      <c r="D146" s="521"/>
      <c r="E146" s="522"/>
    </row>
    <row r="147" spans="1:5" x14ac:dyDescent="0.25">
      <c r="A147" s="521"/>
      <c r="B147" s="521"/>
      <c r="C147" s="521"/>
      <c r="D147" s="521"/>
      <c r="E147" s="522"/>
    </row>
    <row r="148" spans="1:5" ht="14.4" x14ac:dyDescent="0.3">
      <c r="A148" s="524" t="s">
        <v>1014</v>
      </c>
      <c r="B148" s="524"/>
      <c r="C148" s="524"/>
      <c r="D148" s="524"/>
      <c r="E148" s="525">
        <f>(E142-E143-E144)+(E145+E146+E147)</f>
        <v>22646</v>
      </c>
    </row>
    <row r="149" spans="1:5" x14ac:dyDescent="0.25">
      <c r="A149" s="521" t="s">
        <v>991</v>
      </c>
      <c r="B149" s="521" t="s">
        <v>991</v>
      </c>
      <c r="C149" s="521">
        <v>2900</v>
      </c>
      <c r="D149" s="521">
        <v>6200</v>
      </c>
      <c r="E149" s="522">
        <f>SUMIFS('Accounting data'!$G$2:$G$37000,'Accounting data'!$J$2:$J$37000,"29*",'Accounting data'!$K$2:$K$37000,"62*")</f>
        <v>0</v>
      </c>
    </row>
    <row r="150" spans="1:5" x14ac:dyDescent="0.25">
      <c r="A150" s="521" t="s">
        <v>992</v>
      </c>
      <c r="B150" s="521" t="s">
        <v>991</v>
      </c>
      <c r="C150" s="521">
        <v>2900</v>
      </c>
      <c r="D150" s="521">
        <v>6200</v>
      </c>
      <c r="E150" s="522">
        <f>SUMIFS('Accounting data'!$G$2:$G$37000,'Accounting data'!$H$2:$H$37000,"9999*",'Accounting data'!$J$2:$J$37000,"29*",'Accounting data'!$K$2:$K$37000,"62*")</f>
        <v>0</v>
      </c>
    </row>
    <row r="151" spans="1:5" x14ac:dyDescent="0.25">
      <c r="A151" s="521" t="s">
        <v>991</v>
      </c>
      <c r="B151" s="521" t="s">
        <v>993</v>
      </c>
      <c r="C151" s="521">
        <v>2900</v>
      </c>
      <c r="D151" s="521">
        <v>6200</v>
      </c>
      <c r="E151" s="522">
        <f>SUMIFS('Accounting data'!$G$2:$G$37000,'Accounting data'!$I$2:$I$37000,"7*",'Accounting data'!$J$2:$J$37000,"29*",'Accounting data'!$K$2:$K$37000,"62*")+SUMIFS('Accounting data'!$G$2:$G$37000,'Accounting data'!$I$2:$I$37000,"8*",'Accounting data'!$J$2:$J$37000,"29*",'Accounting data'!$K$2:$K$37000,"62*")+SUMIFS('Accounting data'!$G$2:$G$37000,'Accounting data'!$I$2:$I$37000,"9*",'Accounting data'!$J$2:$J$37000,"29*",'Accounting data'!$K$2:$K$37000,"62*")</f>
        <v>0</v>
      </c>
    </row>
    <row r="152" spans="1:5" x14ac:dyDescent="0.25">
      <c r="A152" s="523" t="s">
        <v>992</v>
      </c>
      <c r="B152" s="521" t="s">
        <v>993</v>
      </c>
      <c r="C152" s="521">
        <v>2900</v>
      </c>
      <c r="D152" s="521">
        <v>6200</v>
      </c>
      <c r="E152" s="522">
        <f>SUMIFS('Accounting data'!$G$2:$G$37000,'Accounting data'!$H$2:$H$37000,"9999*",'Accounting data'!$I$2:$I$37000,"7*",'Accounting data'!$J$2:$J$37000,"29*",'Accounting data'!$K$2:$K$37000,"62*")+SUMIFS('Accounting data'!$G$2:$G$37000,'Accounting data'!$H$2:$H$37000,"9999*",'Accounting data'!$I$2:$I$37000,"8*",'Accounting data'!$J$2:$J$37000,"29*",'Accounting data'!$K$2:$K$37000,"62*")+SUMIFS('Accounting data'!$G$2:$G$37000,'Accounting data'!$H$2:$H$37000,"9999*",'Accounting data'!$I$2:$I$37000,"9*",'Accounting data'!$J$2:$J$37000,"29*",'Accounting data'!$K$2:$K$37000,"62*")</f>
        <v>0</v>
      </c>
    </row>
    <row r="153" spans="1:5" x14ac:dyDescent="0.25">
      <c r="A153" s="521"/>
      <c r="B153" s="521"/>
      <c r="C153" s="521"/>
      <c r="D153" s="521"/>
      <c r="E153" s="522"/>
    </row>
    <row r="154" spans="1:5" x14ac:dyDescent="0.25">
      <c r="A154" s="521"/>
      <c r="B154" s="521"/>
      <c r="C154" s="521"/>
      <c r="D154" s="521"/>
      <c r="E154" s="522"/>
    </row>
    <row r="155" spans="1:5" ht="14.4" x14ac:dyDescent="0.3">
      <c r="A155" s="524" t="s">
        <v>1015</v>
      </c>
      <c r="B155" s="524"/>
      <c r="C155" s="524"/>
      <c r="D155" s="524"/>
      <c r="E155" s="525">
        <f>(E149-E150-E151)+(E152+E153+E154)</f>
        <v>0</v>
      </c>
    </row>
    <row r="156" spans="1:5" x14ac:dyDescent="0.25">
      <c r="A156" s="521" t="s">
        <v>991</v>
      </c>
      <c r="B156" s="521" t="s">
        <v>991</v>
      </c>
      <c r="C156" s="521">
        <v>2600</v>
      </c>
      <c r="D156" s="521">
        <v>6200</v>
      </c>
      <c r="E156" s="522">
        <f>SUMIFS('Accounting data'!$G$2:$G$37000,'Accounting data'!$J$2:$J$37000,"26*",'Accounting data'!$K$2:$K$37000,"62*")</f>
        <v>301</v>
      </c>
    </row>
    <row r="157" spans="1:5" x14ac:dyDescent="0.25">
      <c r="A157" s="521" t="s">
        <v>992</v>
      </c>
      <c r="B157" s="521" t="s">
        <v>991</v>
      </c>
      <c r="C157" s="521">
        <v>2600</v>
      </c>
      <c r="D157" s="521">
        <v>6200</v>
      </c>
      <c r="E157" s="522">
        <f>SUMIFS('Accounting data'!$G$2:$G$37000,'Accounting data'!$H$2:$H$37000,"9999*",'Accounting data'!$J$2:$J$37000,"26*",'Accounting data'!$K$2:$K$37000,"62*")</f>
        <v>0</v>
      </c>
    </row>
    <row r="158" spans="1:5" x14ac:dyDescent="0.25">
      <c r="A158" s="521" t="s">
        <v>991</v>
      </c>
      <c r="B158" s="521" t="s">
        <v>993</v>
      </c>
      <c r="C158" s="521">
        <v>2600</v>
      </c>
      <c r="D158" s="521">
        <v>6200</v>
      </c>
      <c r="E158" s="522">
        <f>SUMIFS('Accounting data'!$G$2:$G$37000,'Accounting data'!$I$2:$I$37000,"7*",'Accounting data'!$J$2:$J$37000,"26*",'Accounting data'!$K$2:$K$37000,"62*")+SUMIFS('Accounting data'!$G$2:$G$37000,'Accounting data'!$I$2:$I$37000,"8*",'Accounting data'!$J$2:$J$37000,"26*",'Accounting data'!$K$2:$K$37000,"62*")+SUMIFS('Accounting data'!$G$2:$G$37000,'Accounting data'!$I$2:$I$37000,"9*",'Accounting data'!$J$2:$J$37000,"26*",'Accounting data'!$K$2:$K$37000,"62*")</f>
        <v>0</v>
      </c>
    </row>
    <row r="159" spans="1:5" x14ac:dyDescent="0.25">
      <c r="A159" s="523" t="s">
        <v>992</v>
      </c>
      <c r="B159" s="521" t="s">
        <v>993</v>
      </c>
      <c r="C159" s="521">
        <v>2600</v>
      </c>
      <c r="D159" s="521">
        <v>6200</v>
      </c>
      <c r="E159" s="522">
        <f>SUMIFS('Accounting data'!$G$2:$G$37000,'Accounting data'!$H$2:$H$37000,"9999*",'Accounting data'!$I$2:$I$37000,"7*",'Accounting data'!$J$2:$J$37000,"26*",'Accounting data'!$K$2:$K$37000,"62*")+SUMIFS('Accounting data'!$G$2:$G$37000,'Accounting data'!$H$2:$H$37000,"9999*",'Accounting data'!$I$2:$I$37000,"8*",'Accounting data'!$J$2:$J$37000,"26*",'Accounting data'!$K$2:$K$37000,"62*")+SUMIFS('Accounting data'!$G$2:$G$37000,'Accounting data'!$H$2:$H$37000,"9999*",'Accounting data'!$I$2:$I$37000,"9*",'Accounting data'!$J$2:$J$37000,"26*",'Accounting data'!$K$2:$K$37000,"62*")</f>
        <v>0</v>
      </c>
    </row>
    <row r="162" spans="1:5" ht="14.4" x14ac:dyDescent="0.3">
      <c r="A162" s="524" t="s">
        <v>1016</v>
      </c>
      <c r="B162" s="524"/>
      <c r="C162" s="524"/>
      <c r="D162" s="524"/>
      <c r="E162" s="525">
        <f>(E156-E157-E158)+(E159+E160+E161)</f>
        <v>301</v>
      </c>
    </row>
    <row r="163" spans="1:5" x14ac:dyDescent="0.25">
      <c r="A163" s="521" t="s">
        <v>991</v>
      </c>
      <c r="B163" s="521" t="s">
        <v>991</v>
      </c>
      <c r="C163" s="521">
        <v>2700</v>
      </c>
      <c r="D163" s="521">
        <v>6200</v>
      </c>
      <c r="E163" s="522">
        <f>SUMIFS('Accounting data'!$G$2:$G$37000,'Accounting data'!$J$2:$J$37000,"27*",'Accounting data'!$K$2:$K$37000,"62*")</f>
        <v>0</v>
      </c>
    </row>
    <row r="164" spans="1:5" x14ac:dyDescent="0.25">
      <c r="A164" s="521" t="s">
        <v>992</v>
      </c>
      <c r="B164" s="521" t="s">
        <v>991</v>
      </c>
      <c r="C164" s="521">
        <v>2700</v>
      </c>
      <c r="D164" s="521">
        <v>6200</v>
      </c>
      <c r="E164" s="522">
        <f>SUMIFS('Accounting data'!$G$2:$G$37000,'Accounting data'!$H$2:$H$37000,"9999*",'Accounting data'!$J$2:$J$37000,"27*",'Accounting data'!$K$2:$K$37000,"62*")</f>
        <v>0</v>
      </c>
    </row>
    <row r="165" spans="1:5" x14ac:dyDescent="0.25">
      <c r="A165" s="521" t="s">
        <v>991</v>
      </c>
      <c r="B165" s="521" t="s">
        <v>993</v>
      </c>
      <c r="C165" s="521">
        <v>2700</v>
      </c>
      <c r="D165" s="521">
        <v>6200</v>
      </c>
      <c r="E165" s="522">
        <f>SUMIFS('Accounting data'!$G$2:$G$37000,'Accounting data'!$I$2:$I$37000,"7*",'Accounting data'!$J$2:$J$37000,"27*",'Accounting data'!$K$2:$K$37000,"62*")+SUMIFS('Accounting data'!$G$2:$G$37000,'Accounting data'!$I$2:$I$37000,"8*",'Accounting data'!$J$2:$J$37000,"27*",'Accounting data'!$K$2:$K$37000,"62*")+SUMIFS('Accounting data'!$G$2:$G$37000,'Accounting data'!$I$2:$I$37000,"9*",'Accounting data'!$J$2:$J$37000,"27*",'Accounting data'!$K$2:$K$37000,"62*")</f>
        <v>0</v>
      </c>
    </row>
    <row r="166" spans="1:5" x14ac:dyDescent="0.25">
      <c r="A166" s="523" t="s">
        <v>992</v>
      </c>
      <c r="B166" s="521" t="s">
        <v>993</v>
      </c>
      <c r="C166" s="521">
        <v>2700</v>
      </c>
      <c r="D166" s="521">
        <v>6200</v>
      </c>
      <c r="E166" s="522">
        <f>SUMIFS('Accounting data'!$G$2:$G$37000,'Accounting data'!$H$2:$H$37000,"9999*",'Accounting data'!$I$2:$I$37000,"7*",'Accounting data'!$J$2:$J$37000,"27*",'Accounting data'!$K$2:$K$37000,"62*")+SUMIFS('Accounting data'!$G$2:$G$37000,'Accounting data'!$H$2:$H$37000,"9999*",'Accounting data'!$I$2:$I$37000,"8*",'Accounting data'!$J$2:$J$37000,"27*",'Accounting data'!$K$2:$K$37000,"62*")+SUMIFS('Accounting data'!$G$2:$G$37000,'Accounting data'!$H$2:$H$37000,"9999*",'Accounting data'!$I$2:$I$37000,"9*",'Accounting data'!$J$2:$J$37000,"27*",'Accounting data'!$K$2:$K$37000,"62*")</f>
        <v>0</v>
      </c>
    </row>
    <row r="167" spans="1:5" x14ac:dyDescent="0.25">
      <c r="A167" s="521"/>
      <c r="B167" s="521"/>
      <c r="C167" s="521"/>
      <c r="D167" s="521"/>
      <c r="E167" s="522"/>
    </row>
    <row r="168" spans="1:5" x14ac:dyDescent="0.25">
      <c r="A168" s="521"/>
      <c r="B168" s="521"/>
      <c r="C168" s="521"/>
      <c r="D168" s="521"/>
      <c r="E168" s="522"/>
    </row>
    <row r="169" spans="1:5" ht="14.4" x14ac:dyDescent="0.3">
      <c r="A169" s="524" t="s">
        <v>1017</v>
      </c>
      <c r="B169" s="524"/>
      <c r="C169" s="524"/>
      <c r="D169" s="524"/>
      <c r="E169" s="525">
        <f>(E163-E164-E165)+(E166+E167+E168)</f>
        <v>0</v>
      </c>
    </row>
    <row r="170" spans="1:5" x14ac:dyDescent="0.25">
      <c r="A170" s="521" t="s">
        <v>991</v>
      </c>
      <c r="B170" s="521" t="s">
        <v>991</v>
      </c>
      <c r="C170" s="521">
        <v>3100</v>
      </c>
      <c r="D170" s="521">
        <v>6200</v>
      </c>
      <c r="E170" s="522">
        <f>SUMIFS('Accounting data'!$G$2:$G$37000,'Accounting data'!$J$2:$J$37000,"31*",'Accounting data'!$K$2:$K$37000,"62*")</f>
        <v>0</v>
      </c>
    </row>
    <row r="171" spans="1:5" x14ac:dyDescent="0.25">
      <c r="A171" s="521" t="s">
        <v>992</v>
      </c>
      <c r="B171" s="521" t="s">
        <v>991</v>
      </c>
      <c r="C171" s="521">
        <v>3100</v>
      </c>
      <c r="D171" s="521">
        <v>6200</v>
      </c>
      <c r="E171" s="522">
        <f>SUMIFS('Accounting data'!$G$2:$G$37000,'Accounting data'!$H$2:$H$37000,"9999*",'Accounting data'!$J$2:$J$37000,"31*",'Accounting data'!$K$2:$K$37000,"62*")</f>
        <v>0</v>
      </c>
    </row>
    <row r="172" spans="1:5" x14ac:dyDescent="0.25">
      <c r="A172" s="521" t="s">
        <v>991</v>
      </c>
      <c r="B172" s="521" t="s">
        <v>993</v>
      </c>
      <c r="C172" s="521">
        <v>3100</v>
      </c>
      <c r="D172" s="521">
        <v>6200</v>
      </c>
      <c r="E172" s="522">
        <f>SUMIFS('Accounting data'!$G$2:$G$37000,'Accounting data'!$I$2:$I$37000,"7*",'Accounting data'!$J$2:$J$37000,"31*",'Accounting data'!$K$2:$K$37000,"62*")+SUMIFS('Accounting data'!$G$2:$G$37000,'Accounting data'!$I$2:$I$37000,"8*",'Accounting data'!$J$2:$J$37000,"31*",'Accounting data'!$K$2:$K$37000,"62*")+SUMIFS('Accounting data'!$G$2:$G$37000,'Accounting data'!$I$2:$I$37000,"9*",'Accounting data'!$J$2:$J$37000,"31*",'Accounting data'!$K$2:$K$37000,"62*")</f>
        <v>0</v>
      </c>
    </row>
    <row r="173" spans="1:5" x14ac:dyDescent="0.25">
      <c r="A173" s="523" t="s">
        <v>992</v>
      </c>
      <c r="B173" s="521" t="s">
        <v>993</v>
      </c>
      <c r="C173" s="521">
        <v>3100</v>
      </c>
      <c r="D173" s="521">
        <v>6200</v>
      </c>
      <c r="E173" s="522">
        <f>SUMIFS('Accounting data'!$G$2:$G$37000,'Accounting data'!$H$2:$H$37000,"9999*",'Accounting data'!$I$2:$I$37000,"7*",'Accounting data'!$J$2:$J$37000,"31*",'Accounting data'!$K$2:$K$37000,"62*")+SUMIFS('Accounting data'!$G$2:$G$37000,'Accounting data'!$H$2:$H$37000,"9999*",'Accounting data'!$I$2:$I$37000,"8*",'Accounting data'!$J$2:$J$37000,"31*",'Accounting data'!$K$2:$K$37000,"62*")+SUMIFS('Accounting data'!$G$2:$G$37000,'Accounting data'!$H$2:$H$37000,"9999*",'Accounting data'!$I$2:$I$37000,"9*",'Accounting data'!$J$2:$J$37000,"31*",'Accounting data'!$K$2:$K$37000,"62*")</f>
        <v>0</v>
      </c>
    </row>
    <row r="174" spans="1:5" x14ac:dyDescent="0.25">
      <c r="A174" s="521"/>
      <c r="B174" s="521"/>
      <c r="C174" s="521"/>
      <c r="D174" s="521"/>
      <c r="E174" s="522"/>
    </row>
    <row r="175" spans="1:5" x14ac:dyDescent="0.25">
      <c r="A175" s="521"/>
      <c r="B175" s="521"/>
      <c r="C175" s="521"/>
      <c r="D175" s="521"/>
      <c r="E175" s="522"/>
    </row>
    <row r="176" spans="1:5" ht="14.4" x14ac:dyDescent="0.3">
      <c r="A176" s="524" t="s">
        <v>1018</v>
      </c>
      <c r="B176" s="524"/>
      <c r="C176" s="524"/>
      <c r="D176" s="524"/>
      <c r="E176" s="525">
        <f>(E170-E171-E172)+(E173+E174+E175)</f>
        <v>0</v>
      </c>
    </row>
    <row r="184" spans="1:5" x14ac:dyDescent="0.25">
      <c r="A184" s="521" t="s">
        <v>991</v>
      </c>
      <c r="B184" s="521" t="s">
        <v>991</v>
      </c>
      <c r="C184" s="521">
        <v>3400</v>
      </c>
      <c r="D184" s="521">
        <v>6200</v>
      </c>
      <c r="E184" s="522">
        <f>SUMIFS('Accounting data'!$G$2:$G$37000,'Accounting data'!$J$2:$J$37000,"34*",'Accounting data'!$K$2:$K$37000,"62*")</f>
        <v>0</v>
      </c>
    </row>
    <row r="185" spans="1:5" x14ac:dyDescent="0.25">
      <c r="A185" s="521" t="s">
        <v>992</v>
      </c>
      <c r="B185" s="521" t="s">
        <v>991</v>
      </c>
      <c r="C185" s="521">
        <v>3400</v>
      </c>
      <c r="D185" s="521">
        <v>6200</v>
      </c>
      <c r="E185" s="522">
        <f>SUMIFS('Accounting data'!$G$2:$G$37000,'Accounting data'!$H$2:$H$37000,"9999*",'Accounting data'!$J$2:$J$37000,"34*",'Accounting data'!$K$2:$K$37000,"62*")</f>
        <v>0</v>
      </c>
    </row>
    <row r="186" spans="1:5" x14ac:dyDescent="0.25">
      <c r="A186" s="521" t="s">
        <v>991</v>
      </c>
      <c r="B186" s="521" t="s">
        <v>993</v>
      </c>
      <c r="C186" s="521">
        <v>3400</v>
      </c>
      <c r="D186" s="521">
        <v>6200</v>
      </c>
      <c r="E186" s="522">
        <f>SUMIFS('Accounting data'!$G$2:$G$37000,'Accounting data'!$I$2:$I$37000,"7*",'Accounting data'!$J$2:$J$37000,"34*",'Accounting data'!$K$2:$K$37000,"62*")+SUMIFS('Accounting data'!$G$2:$G$37000,'Accounting data'!$I$2:$I$37000,"8*",'Accounting data'!$J$2:$J$37000,"34*",'Accounting data'!$K$2:$K$37000,"62*")+SUMIFS('Accounting data'!$G$2:$G$37000,'Accounting data'!$I$2:$I$37000,"9*",'Accounting data'!$J$2:$J$37000,"34*",'Accounting data'!$K$2:$K$37000,"62*")</f>
        <v>0</v>
      </c>
    </row>
    <row r="187" spans="1:5" x14ac:dyDescent="0.25">
      <c r="A187" s="523" t="s">
        <v>992</v>
      </c>
      <c r="B187" s="521" t="s">
        <v>993</v>
      </c>
      <c r="C187" s="521">
        <v>3400</v>
      </c>
      <c r="D187" s="521">
        <v>6200</v>
      </c>
      <c r="E187" s="522">
        <f>SUMIFS('Accounting data'!$G$2:$G$37000,'Accounting data'!$H$2:$H$37000,"9999*",'Accounting data'!$I$2:$I$37000,"7*",'Accounting data'!$J$2:$J$37000,"34*",'Accounting data'!$K$2:$K$37000,"62*")+SUMIFS('Accounting data'!$G$2:$G$37000,'Accounting data'!$H$2:$H$37000,"9999*",'Accounting data'!$I$2:$I$37000,"8*",'Accounting data'!$J$2:$J$37000,"34*",'Accounting data'!$K$2:$K$37000,"62*")+SUMIFS('Accounting data'!$G$2:$G$37000,'Accounting data'!$H$2:$H$37000,"9999*",'Accounting data'!$I$2:$I$37000,"9*",'Accounting data'!$J$2:$J$37000,"34*",'Accounting data'!$K$2:$K$37000,"62*")</f>
        <v>0</v>
      </c>
    </row>
    <row r="188" spans="1:5" x14ac:dyDescent="0.25">
      <c r="A188" s="521"/>
      <c r="B188" s="521"/>
      <c r="C188" s="521"/>
      <c r="D188" s="521"/>
      <c r="E188" s="522"/>
    </row>
    <row r="189" spans="1:5" x14ac:dyDescent="0.25">
      <c r="A189" s="521"/>
      <c r="B189" s="521"/>
      <c r="C189" s="521"/>
      <c r="D189" s="521"/>
      <c r="E189" s="522"/>
    </row>
    <row r="190" spans="1:5" ht="14.4" x14ac:dyDescent="0.3">
      <c r="A190" s="524" t="s">
        <v>1019</v>
      </c>
      <c r="B190" s="524"/>
      <c r="C190" s="524"/>
      <c r="D190" s="524"/>
      <c r="E190" s="525">
        <f>(E184-E185-E186)+(E187+E188+E189)</f>
        <v>0</v>
      </c>
    </row>
    <row r="191" spans="1:5" x14ac:dyDescent="0.25">
      <c r="A191" s="521" t="s">
        <v>991</v>
      </c>
      <c r="B191" s="521" t="s">
        <v>991</v>
      </c>
      <c r="C191" s="521">
        <v>4000</v>
      </c>
      <c r="D191" s="521">
        <v>6200</v>
      </c>
      <c r="E191" s="522">
        <f>SUMIFS('Accounting data'!$G$2:$G$37000,'Accounting data'!$J$2:$J$37000,"4*",'Accounting data'!$K$2:$K$37000,"62*")</f>
        <v>0</v>
      </c>
    </row>
    <row r="192" spans="1:5" x14ac:dyDescent="0.25">
      <c r="A192" s="521" t="s">
        <v>992</v>
      </c>
      <c r="B192" s="521" t="s">
        <v>991</v>
      </c>
      <c r="C192" s="521">
        <v>4000</v>
      </c>
      <c r="D192" s="521">
        <v>6200</v>
      </c>
      <c r="E192" s="522">
        <f>SUMIFS('Accounting data'!$G$2:$G$37000,'Accounting data'!$H$2:$H$37000,"9999*",'Accounting data'!$J$2:$J$37000,"4*",'Accounting data'!$K$2:$K$37000,"62*")</f>
        <v>0</v>
      </c>
    </row>
    <row r="193" spans="1:5" x14ac:dyDescent="0.25">
      <c r="A193" s="521" t="s">
        <v>991</v>
      </c>
      <c r="B193" s="521" t="s">
        <v>993</v>
      </c>
      <c r="C193" s="521">
        <v>4000</v>
      </c>
      <c r="D193" s="521">
        <v>6200</v>
      </c>
      <c r="E193" s="522">
        <f>SUMIFS('Accounting data'!$G$2:$G$37000,'Accounting data'!$I$2:$I$37000,"7*",'Accounting data'!$J$2:$J$37000,"4*",'Accounting data'!$K$2:$K$37000,"62*")+SUMIFS('Accounting data'!$G$2:$G$37000,'Accounting data'!$I$2:$I$37000,"8*",'Accounting data'!$J$2:$J$37000,"4*",'Accounting data'!$K$2:$K$37000,"62*")+SUMIFS('Accounting data'!$G$2:$G$37000,'Accounting data'!$I$2:$I$37000,"9*",'Accounting data'!$J$2:$J$37000,"4*",'Accounting data'!$K$2:$K$37000,"62*")</f>
        <v>0</v>
      </c>
    </row>
    <row r="194" spans="1:5" x14ac:dyDescent="0.25">
      <c r="A194" s="523" t="s">
        <v>992</v>
      </c>
      <c r="B194" s="521" t="s">
        <v>993</v>
      </c>
      <c r="C194" s="521">
        <v>4000</v>
      </c>
      <c r="D194" s="521">
        <v>6200</v>
      </c>
      <c r="E194" s="522">
        <f>SUMIFS('Accounting data'!$G$2:$G$37000,'Accounting data'!$H$2:$H$37000,"9999*",'Accounting data'!$I$2:$I$37000,"7*",'Accounting data'!$J$2:$J$37000,"4*",'Accounting data'!$K$2:$K$37000,"62*")+SUMIFS('Accounting data'!$G$2:$G$37000,'Accounting data'!$H$2:$H$37000,"9999*",'Accounting data'!$I$2:$I$37000,"8*",'Accounting data'!$J$2:$J$37000,"4*",'Accounting data'!$K$2:$K$37000,"62*")+SUMIFS('Accounting data'!$G$2:$G$37000,'Accounting data'!$H$2:$H$37000,"9999*",'Accounting data'!$I$2:$I$37000,"9*",'Accounting data'!$J$2:$J$37000,"4*",'Accounting data'!$K$2:$K$37000,"62*")</f>
        <v>0</v>
      </c>
    </row>
    <row r="195" spans="1:5" x14ac:dyDescent="0.25">
      <c r="A195" s="521"/>
      <c r="B195" s="521"/>
      <c r="C195" s="521"/>
      <c r="D195" s="521"/>
      <c r="E195" s="522"/>
    </row>
    <row r="196" spans="1:5" x14ac:dyDescent="0.25">
      <c r="A196" s="521"/>
      <c r="B196" s="521"/>
      <c r="C196" s="521"/>
      <c r="D196" s="521"/>
      <c r="E196" s="522"/>
    </row>
    <row r="197" spans="1:5" ht="14.4" x14ac:dyDescent="0.3">
      <c r="A197" s="524" t="s">
        <v>1020</v>
      </c>
      <c r="B197" s="524"/>
      <c r="C197" s="524"/>
      <c r="D197" s="524"/>
      <c r="E197" s="525">
        <f>(E191-E192-E193)+(E194+E195+E196)</f>
        <v>0</v>
      </c>
    </row>
    <row r="198" spans="1:5" ht="14.4" x14ac:dyDescent="0.3">
      <c r="A198" s="527" t="s">
        <v>1021</v>
      </c>
      <c r="B198" s="527"/>
      <c r="C198" s="527"/>
      <c r="D198" s="527"/>
      <c r="E198" s="528">
        <f>E113+E120+E127+E134+E141+E148+E155+E162+E169+E176+E183+E190</f>
        <v>346878</v>
      </c>
    </row>
    <row r="199" spans="1:5" ht="14.4" x14ac:dyDescent="0.3">
      <c r="A199" s="521" t="s">
        <v>1007</v>
      </c>
      <c r="B199" s="521" t="s">
        <v>991</v>
      </c>
      <c r="C199" s="521">
        <v>1000</v>
      </c>
      <c r="D199" s="521">
        <v>6200</v>
      </c>
      <c r="E199" s="529">
        <f>SUMIFS('Accounting data'!$G$2:$G$37000,'Accounting data'!$H$2:$H$37000,"11*",'Accounting data'!$J$2:$J$37000,"1*",'Accounting data'!$K$2:$K$37000,"62*")+SUMIFS('Accounting data'!$G$2:$G$37000,'Accounting data'!$H$2:$H$37000,"12*",'Accounting data'!$J$2:$J$37000,"1*",'Accounting data'!$K$2:$K$37000,"62*")+SUMIFS('Accounting data'!$G$2:$G$37000,'Accounting data'!$H$2:$H$37000,"13*",'Accounting data'!$J$2:$J$37000,"1*",'Accounting data'!$K$2:$K$37000,"62*")</f>
        <v>15444</v>
      </c>
    </row>
    <row r="200" spans="1:5" ht="14.4" x14ac:dyDescent="0.3">
      <c r="A200" s="521" t="s">
        <v>1007</v>
      </c>
      <c r="B200" s="521" t="s">
        <v>991</v>
      </c>
      <c r="C200" s="521">
        <v>2000</v>
      </c>
      <c r="D200" s="521">
        <v>6200</v>
      </c>
      <c r="E200" s="529">
        <f>SUMIFS('Accounting data'!$G$2:$G$37000,'Accounting data'!$H$2:$H$37000,"11*",'Accounting data'!$J$2:$J$37000,"2*",'Accounting data'!$K$2:$K$37000,"62*")+SUMIFS('Accounting data'!$G$2:$G$37000,'Accounting data'!$H$2:$H$37000,"12*",'Accounting data'!$J$2:$J$37000,"2*",'Accounting data'!$K$2:$K$37000,"62*")+SUMIFS('Accounting data'!$G$2:$G$37000,'Accounting data'!$H$2:$H$37000,"13*",'Accounting data'!$J$2:$J$37000,"2*",'Accounting data'!$K$2:$K$37000,"62*")</f>
        <v>41602</v>
      </c>
    </row>
    <row r="201" spans="1:5" ht="14.4" x14ac:dyDescent="0.3">
      <c r="A201" s="521" t="s">
        <v>1007</v>
      </c>
      <c r="B201" s="521" t="s">
        <v>991</v>
      </c>
      <c r="C201" s="521">
        <v>3000</v>
      </c>
      <c r="D201" s="521">
        <v>6200</v>
      </c>
      <c r="E201" s="529">
        <f>SUMIFS('Accounting data'!$G$2:$G$37000,'Accounting data'!$H$2:$H$37000,"11*",'Accounting data'!$J$2:$J$37000,"3*",'Accounting data'!$K$2:$K$37000,"62*")+SUMIFS('Accounting data'!$G$2:$G$37000,'Accounting data'!$H$2:$H$37000,"12*",'Accounting data'!$J$2:$J$37000,"3*",'Accounting data'!$K$2:$K$37000,"62*")+SUMIFS('Accounting data'!$G$2:$G$37000,'Accounting data'!$H$2:$H$37000,"13*",'Accounting data'!$J$2:$J$37000,"3*",'Accounting data'!$K$2:$K$37000,"62*")</f>
        <v>0</v>
      </c>
    </row>
    <row r="202" spans="1:5" ht="14.4" x14ac:dyDescent="0.3">
      <c r="A202" s="521" t="s">
        <v>1007</v>
      </c>
      <c r="B202" s="523">
        <v>700</v>
      </c>
      <c r="C202" s="521">
        <v>1000</v>
      </c>
      <c r="D202" s="521">
        <v>6200</v>
      </c>
      <c r="E202" s="529">
        <f>SUMIFS('Accounting data'!$G$2:$G$37000,'Accounting data'!$H$2:$H$37000,"11*",'Accounting data'!$I$2:$I$37000,"7*",'Accounting data'!$J$2:$J$37000,"1*",'Accounting data'!$K$2:$K$37000,"62*")+SUMIFS('Accounting data'!$G$2:$G$37000,'Accounting data'!$H$2:$H$37000,"12*",'Accounting data'!$I$2:$I$37000,"7*",'Accounting data'!$J$2:$J$37000,"1*",'Accounting data'!$K$2:$K$37000,"62*")+SUMIFS('Accounting data'!$G$2:$G$37000,'Accounting data'!$H$2:$H$37000,"13*",'Accounting data'!$I$2:$I$37000,"7*",'Accounting data'!$J$2:$J$37000,"1*",'Accounting data'!$K$2:$K$37000,"62*")</f>
        <v>0</v>
      </c>
    </row>
    <row r="203" spans="1:5" ht="14.4" x14ac:dyDescent="0.3">
      <c r="A203" s="521" t="s">
        <v>1007</v>
      </c>
      <c r="B203" s="523">
        <v>800</v>
      </c>
      <c r="C203" s="521">
        <v>1000</v>
      </c>
      <c r="D203" s="521">
        <v>6200</v>
      </c>
      <c r="E203" s="529">
        <f>SUMIFS('Accounting data'!$G$2:$G$37000,'Accounting data'!$H$2:$H$37000,"11*",'Accounting data'!$I$2:$I$37000,"8*",'Accounting data'!$J$2:$J$37000,"1*",'Accounting data'!$K$2:$K$37000,"62*")+SUMIFS('Accounting data'!$G$2:$G$37000,'Accounting data'!$H$2:$H$37000,"12*",'Accounting data'!$I$2:$I$37000,"8*",'Accounting data'!$J$2:$J$37000,"1*",'Accounting data'!$K$2:$K$37000,"62*")+SUMIFS('Accounting data'!$G$2:$G$37000,'Accounting data'!$H$2:$H$37000,"13*",'Accounting data'!$I$2:$I$37000,"8*",'Accounting data'!$J$2:$J$37000,"1*",'Accounting data'!$K$2:$K$37000,"62*")</f>
        <v>0</v>
      </c>
    </row>
    <row r="204" spans="1:5" ht="14.4" x14ac:dyDescent="0.3">
      <c r="A204" s="521" t="s">
        <v>1007</v>
      </c>
      <c r="B204" s="523">
        <v>900</v>
      </c>
      <c r="C204" s="521">
        <v>1000</v>
      </c>
      <c r="D204" s="521">
        <v>6200</v>
      </c>
      <c r="E204" s="529">
        <f>SUMIFS('Accounting data'!$G$2:$G$37000,'Accounting data'!$H$2:$H$37000,"11*",'Accounting data'!$I$2:$I$37000,"9*",'Accounting data'!$J$2:$J$37000,"1*",'Accounting data'!$K$2:$K$37000,"62*")+SUMIFS('Accounting data'!$G$2:$G$37000,'Accounting data'!$H$2:$H$37000,"12*",'Accounting data'!$I$2:$I$37000,"9*",'Accounting data'!$J$2:$J$37000,"1*",'Accounting data'!$K$2:$K$37000,"62*")+SUMIFS('Accounting data'!$G$2:$G$37000,'Accounting data'!$H$2:$H$37000,"13*",'Accounting data'!$I$2:$I$37000,"9*",'Accounting data'!$J$2:$J$37000,"1*",'Accounting data'!$K$2:$K$37000,"62*")</f>
        <v>0</v>
      </c>
    </row>
    <row r="205" spans="1:5" ht="14.4" x14ac:dyDescent="0.3">
      <c r="A205" s="521" t="s">
        <v>1007</v>
      </c>
      <c r="B205" s="523">
        <v>700</v>
      </c>
      <c r="C205" s="521">
        <v>2000</v>
      </c>
      <c r="D205" s="521">
        <v>6200</v>
      </c>
      <c r="E205" s="529">
        <f>SUMIFS('Accounting data'!$G$2:$G$37000,'Accounting data'!$H$2:$H$37000,"11*",'Accounting data'!$I$2:$I$37000,"7*",'Accounting data'!$J$2:$J$37000,"2*",'Accounting data'!$K$2:$K$37000,"62*")+SUMIFS('Accounting data'!$G$2:$G$37000,'Accounting data'!$H$2:$H$37000,"12*",'Accounting data'!$I$2:$I$37000,"7*",'Accounting data'!$J$2:$J$37000,"2*",'Accounting data'!$K$2:$K$37000,"62*")+SUMIFS('Accounting data'!$G$2:$G$37000,'Accounting data'!$H$2:$H$37000,"13*",'Accounting data'!$I$2:$I$37000,"7*",'Accounting data'!$J$2:$J$37000,"2*",'Accounting data'!$K$2:$K$37000,"62*")</f>
        <v>0</v>
      </c>
    </row>
    <row r="206" spans="1:5" ht="14.4" x14ac:dyDescent="0.3">
      <c r="A206" s="521" t="s">
        <v>1007</v>
      </c>
      <c r="B206" s="523">
        <v>800</v>
      </c>
      <c r="C206" s="521">
        <v>2000</v>
      </c>
      <c r="D206" s="521">
        <v>6200</v>
      </c>
      <c r="E206" s="529">
        <f>SUMIFS('Accounting data'!$G$2:$G$37000,'Accounting data'!$H$2:$H$37000,"11*",'Accounting data'!$I$2:$I$37000,"8*",'Accounting data'!$J$2:$J$37000,"2*",'Accounting data'!$K$2:$K$37000,"62*")+SUMIFS('Accounting data'!$G$2:$G$37000,'Accounting data'!$H$2:$H$37000,"12*",'Accounting data'!$I$2:$I$37000,"8*",'Accounting data'!$J$2:$J$37000,"2*",'Accounting data'!$K$2:$K$37000,"62*")+SUMIFS('Accounting data'!$G$2:$G$37000,'Accounting data'!$H$2:$H$37000,"13*",'Accounting data'!$I$2:$I$37000,"8*",'Accounting data'!$J$2:$J$37000,"2*",'Accounting data'!$K$2:$K$37000,"62*")</f>
        <v>0</v>
      </c>
    </row>
    <row r="207" spans="1:5" ht="14.4" x14ac:dyDescent="0.3">
      <c r="A207" s="521" t="s">
        <v>1007</v>
      </c>
      <c r="B207" s="523">
        <v>900</v>
      </c>
      <c r="C207" s="521">
        <v>2000</v>
      </c>
      <c r="D207" s="521">
        <v>6200</v>
      </c>
      <c r="E207" s="529">
        <f>SUMIFS('Accounting data'!$G$2:$G$37000,'Accounting data'!$H$2:$H$37000,"11*",'Accounting data'!$I$2:$I$37000,"9*",'Accounting data'!$J$2:$J$37000,"2*",'Accounting data'!$K$2:$K$37000,"62*")+SUMIFS('Accounting data'!$G$2:$G$37000,'Accounting data'!$H$2:$H$37000,"12*",'Accounting data'!$I$2:$I$37000,"9*",'Accounting data'!$J$2:$J$37000,"2*",'Accounting data'!$K$2:$K$37000,"62*")+SUMIFS('Accounting data'!$G$2:$G$37000,'Accounting data'!$H$2:$H$37000,"13*",'Accounting data'!$I$2:$I$37000,"9*",'Accounting data'!$J$2:$J$37000,"2*",'Accounting data'!$K$2:$K$37000,"62*")</f>
        <v>0</v>
      </c>
    </row>
    <row r="208" spans="1:5" ht="14.4" x14ac:dyDescent="0.3">
      <c r="A208" s="521" t="s">
        <v>1007</v>
      </c>
      <c r="B208" s="523">
        <v>700</v>
      </c>
      <c r="C208" s="521">
        <v>3000</v>
      </c>
      <c r="D208" s="521">
        <v>6200</v>
      </c>
      <c r="E208" s="529">
        <f>SUMIFS('Accounting data'!$G$2:$G$37000,'Accounting data'!$H$2:$H$37000,"11*",'Accounting data'!$I$2:$I$37000,"7*",'Accounting data'!$J$2:$J$37000,"3*",'Accounting data'!$K$2:$K$37000,"62*")+SUMIFS('Accounting data'!$G$2:$G$37000,'Accounting data'!$H$2:$H$37000,"12*",'Accounting data'!$I$2:$I$37000,"7*",'Accounting data'!$J$2:$J$37000,"3*",'Accounting data'!$K$2:$K$37000,"62*")+SUMIFS('Accounting data'!$G$2:$G$37000,'Accounting data'!$H$2:$H$37000,"13*",'Accounting data'!$I$2:$I$37000,"7*",'Accounting data'!$J$2:$J$37000,"3*",'Accounting data'!$K$2:$K$37000,"62*")</f>
        <v>0</v>
      </c>
    </row>
    <row r="209" spans="1:5" ht="14.4" x14ac:dyDescent="0.3">
      <c r="A209" s="521" t="s">
        <v>1007</v>
      </c>
      <c r="B209" s="523">
        <v>800</v>
      </c>
      <c r="C209" s="521">
        <v>3000</v>
      </c>
      <c r="D209" s="521">
        <v>6200</v>
      </c>
      <c r="E209" s="529">
        <f>SUMIFS('Accounting data'!$G$2:$G$37000,'Accounting data'!$H$2:$H$37000,"11*",'Accounting data'!$I$2:$I$37000,"8*",'Accounting data'!$J$2:$J$37000,"3*",'Accounting data'!$K$2:$K$37000,"62*")+SUMIFS('Accounting data'!$G$2:$G$37000,'Accounting data'!$H$2:$H$37000,"12*",'Accounting data'!$I$2:$I$37000,"8*",'Accounting data'!$J$2:$J$37000,"3*",'Accounting data'!$K$2:$K$37000,"62*")+SUMIFS('Accounting data'!$G$2:$G$37000,'Accounting data'!$H$2:$H$37000,"13*",'Accounting data'!$I$2:$I$37000,"8*",'Accounting data'!$J$2:$J$37000,"3*",'Accounting data'!$K$2:$K$37000,"62*")</f>
        <v>0</v>
      </c>
    </row>
    <row r="210" spans="1:5" ht="14.4" x14ac:dyDescent="0.3">
      <c r="A210" s="521" t="s">
        <v>1007</v>
      </c>
      <c r="B210" s="523">
        <v>900</v>
      </c>
      <c r="C210" s="521">
        <v>3000</v>
      </c>
      <c r="D210" s="521">
        <v>6200</v>
      </c>
      <c r="E210" s="529">
        <f>SUMIFS('Accounting data'!$G$2:$G$37000,'Accounting data'!$H$2:$H$37000,"11*",'Accounting data'!$I$2:$I$37000,"9*",'Accounting data'!$J$2:$J$37000,"3*",'Accounting data'!$K$2:$K$37000,"62*")+SUMIFS('Accounting data'!$G$2:$G$37000,'Accounting data'!$H$2:$H$37000,"12*",'Accounting data'!$I$2:$I$37000,"9*",'Accounting data'!$J$2:$J$37000,"3*",'Accounting data'!$K$2:$K$37000,"62*")+SUMIFS('Accounting data'!$G$2:$G$37000,'Accounting data'!$H$2:$H$37000,"13*",'Accounting data'!$I$2:$I$37000,"9*",'Accounting data'!$J$2:$J$37000,"3*",'Accounting data'!$K$2:$K$37000,"62*")</f>
        <v>0</v>
      </c>
    </row>
    <row r="211" spans="1:5" ht="14.4" x14ac:dyDescent="0.3">
      <c r="A211" s="524" t="s">
        <v>1022</v>
      </c>
      <c r="B211" s="524"/>
      <c r="C211" s="524"/>
      <c r="D211" s="524"/>
      <c r="E211" s="525">
        <f>(E199+E200+E201)-(E202+E203+E204+E205+E206+E207+E208+E209+E210)</f>
        <v>57046</v>
      </c>
    </row>
    <row r="212" spans="1:5" ht="14.4" x14ac:dyDescent="0.3">
      <c r="A212" s="521" t="s">
        <v>991</v>
      </c>
      <c r="B212" s="521" t="s">
        <v>991</v>
      </c>
      <c r="C212" s="521">
        <v>1000</v>
      </c>
      <c r="D212" s="530" t="s">
        <v>1023</v>
      </c>
      <c r="E212" s="529">
        <f>SUMIFS('Accounting data'!$G$2:$G$37000,'Accounting data'!$J$2:$J$37000,"1*",'Accounting data'!$K$2:$K$37000,"63*")+SUMIFS('Accounting data'!$G$2:$G$37000,'Accounting data'!$J$2:$J$37000,"1*",'Accounting data'!$K$2:$K$37000,"64*")+SUMIFS('Accounting data'!$G$2:$G$37000,'Accounting data'!$J$2:$J$37000,"1*",'Accounting data'!$K$2:$K$37000,"65*")</f>
        <v>83884</v>
      </c>
    </row>
    <row r="213" spans="1:5" ht="14.4" x14ac:dyDescent="0.3">
      <c r="A213" s="521" t="s">
        <v>992</v>
      </c>
      <c r="B213" s="521" t="s">
        <v>991</v>
      </c>
      <c r="C213" s="521">
        <v>1000</v>
      </c>
      <c r="D213" s="521">
        <v>6300</v>
      </c>
      <c r="E213" s="529">
        <f>SUMIFS('Accounting data'!$G$2:$G$37000,'Accounting data'!$H$2:$H$37000,"9999*",'Accounting data'!$J$2:$J$37000,"1*",'Accounting data'!$K$2:$K$37000,"63*")</f>
        <v>0</v>
      </c>
    </row>
    <row r="214" spans="1:5" ht="14.4" x14ac:dyDescent="0.3">
      <c r="A214" s="521" t="s">
        <v>992</v>
      </c>
      <c r="B214" s="521" t="s">
        <v>991</v>
      </c>
      <c r="C214" s="521">
        <v>1000</v>
      </c>
      <c r="D214" s="521">
        <v>6400</v>
      </c>
      <c r="E214" s="529">
        <f>SUMIFS('Accounting data'!$G$2:$G$37000,'Accounting data'!$H$2:$H$37000,"9999*",'Accounting data'!$J$2:$J$37000,"1*",'Accounting data'!$K$2:$K$37000,"64*")</f>
        <v>0</v>
      </c>
    </row>
    <row r="215" spans="1:5" ht="14.4" x14ac:dyDescent="0.3">
      <c r="A215" s="521" t="s">
        <v>992</v>
      </c>
      <c r="B215" s="521" t="s">
        <v>991</v>
      </c>
      <c r="C215" s="521">
        <v>1000</v>
      </c>
      <c r="D215" s="521">
        <v>6500</v>
      </c>
      <c r="E215" s="529">
        <f>SUMIFS('Accounting data'!$G$2:$G$37000,'Accounting data'!$H$2:$H$37000,"9999*",'Accounting data'!$J$2:$J$37000,"1*",'Accounting data'!$K$2:$K$37000,"65*")</f>
        <v>0</v>
      </c>
    </row>
    <row r="216" spans="1:5" ht="14.4" x14ac:dyDescent="0.3">
      <c r="A216" s="521" t="s">
        <v>991</v>
      </c>
      <c r="B216" s="521" t="s">
        <v>993</v>
      </c>
      <c r="C216" s="521">
        <v>1000</v>
      </c>
      <c r="D216" s="530" t="s">
        <v>1023</v>
      </c>
      <c r="E216" s="529">
        <f>SUMIFS('Accounting data'!$G$2:$G$37000,'Accounting data'!$I$2:$I$37000,"7*",'Accounting data'!$J$2:$J$37000,"1*",'Accounting data'!$K$2:$K$37000,"63*")+SUMIFS('Accounting data'!$G$2:$G$37000,'Accounting data'!$I$2:$I$37000,"8*",'Accounting data'!$J$2:$J$37000,"1*",'Accounting data'!$K$2:$K$37000,"63*")+SUMIFS('Accounting data'!$G$2:$G$37000,'Accounting data'!$I$2:$I$37000,"9*",'Accounting data'!$J$2:$J$37000,"1*",'Accounting data'!$K$2:$K$37000,"63*")+SUMIFS('Accounting data'!$G$2:$G$37000,'Accounting data'!$I$2:$I$37000,"7*",'Accounting data'!$J$2:$J$37000,"1*",'Accounting data'!$K$2:$K$37000,"64*")+SUMIFS('Accounting data'!$G$2:$G$37000,'Accounting data'!$I$2:$I$37000,"8*",'Accounting data'!$J$2:$J$37000,"1*",'Accounting data'!$K$2:$K$37000,"64*")+SUMIFS('Accounting data'!$G$2:$G$37000,'Accounting data'!$I$2:$I$37000,"9*",'Accounting data'!$J$2:$J$37000,"1*",'Accounting data'!$K$2:$K$37000,"64*")+SUMIFS('Accounting data'!$G$2:$G$37000,'Accounting data'!$I$2:$I$37000,"7*",'Accounting data'!$J$2:$J$37000,"1*",'Accounting data'!$K$2:$K$37000,"65*")+SUMIFS('Accounting data'!$G$2:$G$37000,'Accounting data'!$I$2:$I$37000,"8*",'Accounting data'!$J$2:$J$37000,"1*",'Accounting data'!$K$2:$K$37000,"65*")+SUMIFS('Accounting data'!$G$2:$G$37000,'Accounting data'!$I$2:$I$37000,"9*",'Accounting data'!$J$2:$J$37000,"1*",'Accounting data'!$K$2:$K$37000,"65*")</f>
        <v>0</v>
      </c>
    </row>
    <row r="217" spans="1:5" ht="14.4" x14ac:dyDescent="0.3">
      <c r="A217" s="523" t="s">
        <v>992</v>
      </c>
      <c r="B217" s="521" t="s">
        <v>993</v>
      </c>
      <c r="C217" s="521">
        <v>1000</v>
      </c>
      <c r="D217" s="521">
        <v>6300</v>
      </c>
      <c r="E217" s="529">
        <f>SUMIFS('Accounting data'!$G$2:$G$37000,'Accounting data'!$H$2:$H$37000,"9999*",'Accounting data'!$I$2:$I$37000,"7*",'Accounting data'!$J$2:$J$37000,"1*",'Accounting data'!$K$2:$K$37000,"63*")+SUMIFS('Accounting data'!$G$2:$G$37000,'Accounting data'!$H$2:$H$37000,"9999*",'Accounting data'!$I$2:$I$37000,"8*",'Accounting data'!$J$2:$J$37000,"1*",'Accounting data'!$K$2:$K$37000,"63*")+SUMIFS('Accounting data'!$G$2:$G$37000,'Accounting data'!$H$2:$H$37000,"9999*",'Accounting data'!$I$2:$I$37000,"9*",'Accounting data'!$J$2:$J$37000,"1*",'Accounting data'!$K$2:$K$37000,"63*")</f>
        <v>0</v>
      </c>
    </row>
    <row r="218" spans="1:5" ht="14.4" x14ac:dyDescent="0.3">
      <c r="A218" s="523" t="s">
        <v>992</v>
      </c>
      <c r="B218" s="521" t="s">
        <v>993</v>
      </c>
      <c r="C218" s="521">
        <v>1000</v>
      </c>
      <c r="D218" s="521">
        <v>6400</v>
      </c>
      <c r="E218" s="529">
        <f>SUMIFS('Accounting data'!$G$2:$G$37000,'Accounting data'!$H$2:$H$37000,"9999*",'Accounting data'!$I$2:$I$37000,"7*",'Accounting data'!$J$2:$J$37000,"1*",'Accounting data'!$K$2:$K$37000,"64*")+SUMIFS('Accounting data'!$G$2:$G$37000,'Accounting data'!$H$2:$H$37000,"9999*",'Accounting data'!$I$2:$I$37000,"8*",'Accounting data'!$J$2:$J$37000,"1*",'Accounting data'!$K$2:$K$37000,"64*")+SUMIFS('Accounting data'!$G$2:$G$37000,'Accounting data'!$H$2:$H$37000,"9999*",'Accounting data'!$I$2:$I$37000,"9*",'Accounting data'!$J$2:$J$37000,"1*",'Accounting data'!$K$2:$K$37000,"64*")</f>
        <v>0</v>
      </c>
    </row>
    <row r="219" spans="1:5" ht="14.4" x14ac:dyDescent="0.3">
      <c r="A219" s="523" t="s">
        <v>992</v>
      </c>
      <c r="B219" s="521" t="s">
        <v>993</v>
      </c>
      <c r="C219" s="521">
        <v>1000</v>
      </c>
      <c r="D219" s="521">
        <v>6500</v>
      </c>
      <c r="E219" s="529">
        <f>SUMIFS('Accounting data'!$G$2:$G$37000,'Accounting data'!$H$2:$H$37000,"9999*",'Accounting data'!$I$2:$I$37000,"7*",'Accounting data'!$J$2:$J$37000,"1*",'Accounting data'!$K$2:$K$37000,"65*")+SUMIFS('Accounting data'!$G$2:$G$37000,'Accounting data'!$H$2:$H$37000,"9999*",'Accounting data'!$I$2:$I$37000,"8*",'Accounting data'!$J$2:$J$37000,"1*",'Accounting data'!$K$2:$K$37000,"65*")+SUMIFS('Accounting data'!$G$2:$G$37000,'Accounting data'!$H$2:$H$37000,"9999*",'Accounting data'!$I$2:$I$37000,"9*",'Accounting data'!$J$2:$J$37000,"1*",'Accounting data'!$K$2:$K$37000,"65*")</f>
        <v>0</v>
      </c>
    </row>
    <row r="238" spans="1:5" ht="14.4" x14ac:dyDescent="0.3">
      <c r="A238" s="524" t="s">
        <v>1024</v>
      </c>
      <c r="B238" s="524"/>
      <c r="C238" s="524"/>
      <c r="D238" s="524"/>
      <c r="E238" s="525">
        <f>((E212-E213-E214-E215-E216)+(E217+E218+E219+E220+E221+E222+E223+E224+E225))-((E226-E227-E228)+(E229+E230+E231))-((E232-E233-E234)+(E235+E236+E237))</f>
        <v>83884</v>
      </c>
    </row>
    <row r="239" spans="1:5" x14ac:dyDescent="0.25">
      <c r="A239" s="521" t="s">
        <v>991</v>
      </c>
      <c r="B239" s="521" t="s">
        <v>991</v>
      </c>
      <c r="C239" s="521">
        <v>2100</v>
      </c>
      <c r="D239" s="530" t="s">
        <v>1023</v>
      </c>
      <c r="E239" s="522">
        <f>SUMIFS('Accounting data'!$G$2:$G$37000,'Accounting data'!$J$2:$J$37000,"21*",'Accounting data'!$K$2:$K$37000,"63*")+SUMIFS('Accounting data'!$G$2:$G$37000,'Accounting data'!$J$2:$J$37000,"21*",'Accounting data'!$K$2:$K$37000,"64*")+SUMIFS('Accounting data'!$G$2:$G$37000,'Accounting data'!$J$2:$J$37000,"21*",'Accounting data'!$K$2:$K$37000,"65*")</f>
        <v>41539</v>
      </c>
    </row>
    <row r="240" spans="1:5" x14ac:dyDescent="0.25">
      <c r="A240" s="521" t="s">
        <v>992</v>
      </c>
      <c r="B240" s="521" t="s">
        <v>991</v>
      </c>
      <c r="C240" s="521">
        <v>2100</v>
      </c>
      <c r="D240" s="521">
        <v>6300</v>
      </c>
      <c r="E240" s="522">
        <f>SUMIFS('Accounting data'!$G$2:$G$37000,'Accounting data'!$H$2:$H$37000,"9999*",'Accounting data'!$J$2:$J$37000,"21*",'Accounting data'!$K$2:$K$37000,"63*")</f>
        <v>0</v>
      </c>
    </row>
    <row r="241" spans="1:5" x14ac:dyDescent="0.25">
      <c r="A241" s="521" t="s">
        <v>992</v>
      </c>
      <c r="B241" s="521" t="s">
        <v>991</v>
      </c>
      <c r="C241" s="521">
        <v>2100</v>
      </c>
      <c r="D241" s="521">
        <v>6400</v>
      </c>
      <c r="E241" s="522">
        <f>SUMIFS('Accounting data'!$G$2:$G$37000,'Accounting data'!$H$2:$H$37000,"9999*",'Accounting data'!$J$2:$J$37000,"21*",'Accounting data'!$K$2:$K$37000,"64*")</f>
        <v>0</v>
      </c>
    </row>
    <row r="242" spans="1:5" x14ac:dyDescent="0.25">
      <c r="A242" s="521" t="s">
        <v>992</v>
      </c>
      <c r="B242" s="521" t="s">
        <v>991</v>
      </c>
      <c r="C242" s="521">
        <v>2100</v>
      </c>
      <c r="D242" s="521">
        <v>6500</v>
      </c>
      <c r="E242" s="522">
        <f>SUMIFS('Accounting data'!$G$2:$G$37000,'Accounting data'!$H$2:$H$37000,"9999*",'Accounting data'!$J$2:$J$37000,"21*",'Accounting data'!$K$2:$K$37000,"65*")</f>
        <v>0</v>
      </c>
    </row>
    <row r="243" spans="1:5" x14ac:dyDescent="0.25">
      <c r="A243" s="521" t="s">
        <v>991</v>
      </c>
      <c r="B243" s="521" t="s">
        <v>993</v>
      </c>
      <c r="C243" s="521">
        <v>2100</v>
      </c>
      <c r="D243" s="530" t="s">
        <v>1023</v>
      </c>
      <c r="E243" s="522">
        <f>SUMIFS('Accounting data'!$G$2:$G$37000,'Accounting data'!$I$2:$I$37000,"7*",'Accounting data'!$J$2:$J$37000,"21*",'Accounting data'!$K$2:$K$37000,"63*")+SUMIFS('Accounting data'!$G$2:$G$37000,'Accounting data'!$I$2:$I$37000,"8*",'Accounting data'!$J$2:$J$37000,"21*",'Accounting data'!$K$2:$K$37000,"63*")+SUMIFS('Accounting data'!$G$2:$G$37000,'Accounting data'!$I$2:$I$37000,"9*",'Accounting data'!$J$2:$J$37000,"21*",'Accounting data'!$K$2:$K$37000,"63*")+SUMIFS('Accounting data'!$G$2:$G$37000,'Accounting data'!$I$2:$I$37000,"7*",'Accounting data'!$J$2:$J$37000,"21*",'Accounting data'!$K$2:$K$37000,"64*")+SUMIFS('Accounting data'!$G$2:$G$37000,'Accounting data'!$I$2:$I$37000,"8*",'Accounting data'!$J$2:$J$37000,"21*",'Accounting data'!$K$2:$K$37000,"64*")+SUMIFS('Accounting data'!$G$2:$G$37000,'Accounting data'!$I$2:$I$37000,"9*",'Accounting data'!$J$2:$J$37000,"21*",'Accounting data'!$K$2:$K$37000,"64*")+SUMIFS('Accounting data'!$G$2:$G$37000,'Accounting data'!$I$2:$I$37000,"7*",'Accounting data'!$J$2:$J$37000,"21*",'Accounting data'!$K$2:$K$37000,"65*")+SUMIFS('Accounting data'!$G$2:$G$37000,'Accounting data'!$I$2:$I$37000,"8*",'Accounting data'!$J$2:$J$37000,"21*",'Accounting data'!$K$2:$K$37000,"65*")+SUMIFS('Accounting data'!$G$2:$G$37000,'Accounting data'!$I$2:$I$37000,"9*",'Accounting data'!$J$2:$J$37000,"21*",'Accounting data'!$K$2:$K$37000,"65*")</f>
        <v>0</v>
      </c>
    </row>
    <row r="244" spans="1:5" x14ac:dyDescent="0.25">
      <c r="A244" s="523" t="s">
        <v>992</v>
      </c>
      <c r="B244" s="521" t="s">
        <v>993</v>
      </c>
      <c r="C244" s="521">
        <v>2100</v>
      </c>
      <c r="D244" s="521">
        <v>6300</v>
      </c>
      <c r="E244" s="522">
        <f>SUMIFS('Accounting data'!$G$2:$G$37000,'Accounting data'!$H$2:$H$37000,"9999*",'Accounting data'!$I$2:$I$37000,"7*",'Accounting data'!$J$2:$J$37000,"21*",'Accounting data'!$K$2:$K$37000,"63*")+SUMIFS('Accounting data'!$G$2:$G$37000,'Accounting data'!$H$2:$H$37000,"9999*",'Accounting data'!$I$2:$I$37000,"8*",'Accounting data'!$J$2:$J$37000,"21*",'Accounting data'!$K$2:$K$37000,"63*")+SUMIFS('Accounting data'!$G$2:$G$37000,'Accounting data'!$H$2:$H$37000,"9999*",'Accounting data'!$I$2:$I$37000,"9*",'Accounting data'!$J$2:$J$37000,"21*",'Accounting data'!$K$2:$K$37000,"63*")</f>
        <v>0</v>
      </c>
    </row>
    <row r="245" spans="1:5" x14ac:dyDescent="0.25">
      <c r="A245" s="523" t="s">
        <v>992</v>
      </c>
      <c r="B245" s="521" t="s">
        <v>993</v>
      </c>
      <c r="C245" s="521">
        <v>2100</v>
      </c>
      <c r="D245" s="521">
        <v>6400</v>
      </c>
      <c r="E245" s="522">
        <f>SUMIFS('Accounting data'!$G$2:$G$37000,'Accounting data'!$H$2:$H$37000,"9999*",'Accounting data'!$I$2:$I$37000,"7*",'Accounting data'!$J$2:$J$37000,"21*",'Accounting data'!$K$2:$K$37000,"64*")+SUMIFS('Accounting data'!$G$2:$G$37000,'Accounting data'!$H$2:$H$37000,"9999*",'Accounting data'!$I$2:$I$37000,"8*",'Accounting data'!$J$2:$J$37000,"21*",'Accounting data'!$K$2:$K$37000,"64*")+SUMIFS('Accounting data'!$G$2:$G$37000,'Accounting data'!$H$2:$H$37000,"9999*",'Accounting data'!$I$2:$I$37000,"9*",'Accounting data'!$J$2:$J$37000,"21*",'Accounting data'!$K$2:$K$37000,"64*")</f>
        <v>0</v>
      </c>
    </row>
    <row r="246" spans="1:5" x14ac:dyDescent="0.25">
      <c r="A246" s="523" t="s">
        <v>992</v>
      </c>
      <c r="B246" s="521" t="s">
        <v>993</v>
      </c>
      <c r="C246" s="521">
        <v>2100</v>
      </c>
      <c r="D246" s="521">
        <v>6500</v>
      </c>
      <c r="E246" s="522">
        <f>SUMIFS('Accounting data'!$G$2:$G$37000,'Accounting data'!$H$2:$H$37000,"9999*",'Accounting data'!$I$2:$I$37000,"7*",'Accounting data'!$J$2:$J$37000,"21*",'Accounting data'!$K$2:$K$37000,"65*")+SUMIFS('Accounting data'!$G$2:$G$37000,'Accounting data'!$H$2:$H$37000,"9999*",'Accounting data'!$I$2:$I$37000,"8*",'Accounting data'!$J$2:$J$37000,"21*",'Accounting data'!$K$2:$K$37000,"65*")+SUMIFS('Accounting data'!$G$2:$G$37000,'Accounting data'!$H$2:$H$37000,"9999*",'Accounting data'!$I$2:$I$37000,"9*",'Accounting data'!$J$2:$J$37000,"21*",'Accounting data'!$K$2:$K$37000,"65*")</f>
        <v>0</v>
      </c>
    </row>
    <row r="265" spans="1:5" x14ac:dyDescent="0.25">
      <c r="A265" s="524" t="s">
        <v>1025</v>
      </c>
      <c r="B265" s="524"/>
      <c r="C265" s="524"/>
      <c r="D265" s="524"/>
      <c r="E265" s="526">
        <f>((E239-E240-E241-E242-E243)+(E244+E245+E246+E247+E248+E249+E250+E251+E252))-((E253-E254-E255)+(E256+E257+E258))-((E259-E260-E261)+(E262+E263+E264))</f>
        <v>41539</v>
      </c>
    </row>
    <row r="266" spans="1:5" x14ac:dyDescent="0.25">
      <c r="A266" s="521" t="s">
        <v>991</v>
      </c>
      <c r="B266" s="521" t="s">
        <v>991</v>
      </c>
      <c r="C266" s="521">
        <v>2200</v>
      </c>
      <c r="D266" s="530" t="s">
        <v>1023</v>
      </c>
      <c r="E266" s="522">
        <f>SUMIFS('Accounting data'!$G$2:$G$37000,'Accounting data'!$J$2:$J$37000,"22*",'Accounting data'!$K$2:$K$37000,"63*")+SUMIFS('Accounting data'!$G$2:$G$37000,'Accounting data'!$J$2:$J$37000,"22*",'Accounting data'!$K$2:$K$37000,"64*")+SUMIFS('Accounting data'!$G$2:$G$37000,'Accounting data'!$J$2:$J$37000,"22*",'Accounting data'!$K$2:$K$37000,"65*")</f>
        <v>39536</v>
      </c>
    </row>
    <row r="267" spans="1:5" x14ac:dyDescent="0.25">
      <c r="A267" s="521" t="s">
        <v>992</v>
      </c>
      <c r="B267" s="521" t="s">
        <v>991</v>
      </c>
      <c r="C267" s="521">
        <v>2200</v>
      </c>
      <c r="D267" s="521">
        <v>6300</v>
      </c>
      <c r="E267" s="522">
        <f>SUMIFS('Accounting data'!$G$2:$G$37000,'Accounting data'!$H$2:$H$37000,"9999*",'Accounting data'!$J$2:$J$37000,"22*",'Accounting data'!$K$2:$K$37000,"63*")</f>
        <v>0</v>
      </c>
    </row>
    <row r="268" spans="1:5" x14ac:dyDescent="0.25">
      <c r="A268" s="521" t="s">
        <v>992</v>
      </c>
      <c r="B268" s="521" t="s">
        <v>991</v>
      </c>
      <c r="C268" s="521">
        <v>2200</v>
      </c>
      <c r="D268" s="521">
        <v>6400</v>
      </c>
      <c r="E268" s="522">
        <f>SUMIFS('Accounting data'!$G$2:$G$37000,'Accounting data'!$H$2:$H$37000,"9999*",'Accounting data'!$J$2:$J$37000,"22*",'Accounting data'!$K$2:$K$37000,"64*")</f>
        <v>0</v>
      </c>
    </row>
    <row r="269" spans="1:5" x14ac:dyDescent="0.25">
      <c r="A269" s="521" t="s">
        <v>992</v>
      </c>
      <c r="B269" s="521" t="s">
        <v>991</v>
      </c>
      <c r="C269" s="521">
        <v>2200</v>
      </c>
      <c r="D269" s="521">
        <v>6500</v>
      </c>
      <c r="E269" s="522">
        <f>SUMIFS('Accounting data'!$G$2:$G$37000,'Accounting data'!$H$2:$H$37000,"9999*",'Accounting data'!$J$2:$J$37000,"22*",'Accounting data'!$K$2:$K$37000,"65*")</f>
        <v>0</v>
      </c>
    </row>
    <row r="270" spans="1:5" x14ac:dyDescent="0.25">
      <c r="A270" s="521" t="s">
        <v>991</v>
      </c>
      <c r="B270" s="521" t="s">
        <v>993</v>
      </c>
      <c r="C270" s="521">
        <v>2200</v>
      </c>
      <c r="D270" s="530" t="s">
        <v>1023</v>
      </c>
      <c r="E270" s="522">
        <f>SUMIFS('Accounting data'!$G$2:$G$37000,'Accounting data'!$I$2:$I$37000,"7*",'Accounting data'!$J$2:$J$37000,"22*",'Accounting data'!$K$2:$K$37000,"63*")+SUMIFS('Accounting data'!$G$2:$G$37000,'Accounting data'!$I$2:$I$37000,"8*",'Accounting data'!$J$2:$J$37000,"22*",'Accounting data'!$K$2:$K$37000,"63*")+SUMIFS('Accounting data'!$G$2:$G$37000,'Accounting data'!$I$2:$I$37000,"9*",'Accounting data'!$J$2:$J$37000,"22*",'Accounting data'!$K$2:$K$37000,"63*")+SUMIFS('Accounting data'!$G$2:$G$37000,'Accounting data'!$I$2:$I$37000,"7*",'Accounting data'!$J$2:$J$37000,"22*",'Accounting data'!$K$2:$K$37000,"64*")+SUMIFS('Accounting data'!$G$2:$G$37000,'Accounting data'!$I$2:$I$37000,"8*",'Accounting data'!$J$2:$J$37000,"22*",'Accounting data'!$K$2:$K$37000,"64*")+SUMIFS('Accounting data'!$G$2:$G$37000,'Accounting data'!$I$2:$I$37000,"9*",'Accounting data'!$J$2:$J$37000,"22*",'Accounting data'!$K$2:$K$37000,"64*")+SUMIFS('Accounting data'!$G$2:$G$37000,'Accounting data'!$I$2:$I$37000,"7*",'Accounting data'!$J$2:$J$37000,"22*",'Accounting data'!$K$2:$K$37000,"65*")+SUMIFS('Accounting data'!$G$2:$G$37000,'Accounting data'!$I$2:$I$37000,"8*",'Accounting data'!$J$2:$J$37000,"22*",'Accounting data'!$K$2:$K$37000,"65*")+SUMIFS('Accounting data'!$G$2:$G$37000,'Accounting data'!$I$2:$I$37000,"9*",'Accounting data'!$J$2:$J$37000,"22*",'Accounting data'!$K$2:$K$37000,"65*")</f>
        <v>0</v>
      </c>
    </row>
    <row r="271" spans="1:5" x14ac:dyDescent="0.25">
      <c r="A271" s="523" t="s">
        <v>992</v>
      </c>
      <c r="B271" s="521" t="s">
        <v>993</v>
      </c>
      <c r="C271" s="521">
        <v>2200</v>
      </c>
      <c r="D271" s="521">
        <v>6300</v>
      </c>
      <c r="E271" s="522">
        <f>SUMIFS('Accounting data'!$G$2:$G$37000,'Accounting data'!$H$2:$H$37000,"9999*",'Accounting data'!$I$2:$I$37000,"7*",'Accounting data'!$J$2:$J$37000,"22*",'Accounting data'!$K$2:$K$37000,"63*")+SUMIFS('Accounting data'!$G$2:$G$37000,'Accounting data'!$H$2:$H$37000,"9999*",'Accounting data'!$I$2:$I$37000,"8*",'Accounting data'!$J$2:$J$37000,"22*",'Accounting data'!$K$2:$K$37000,"63*")+SUMIFS('Accounting data'!$G$2:$G$37000,'Accounting data'!$H$2:$H$37000,"9999*",'Accounting data'!$I$2:$I$37000,"9*",'Accounting data'!$J$2:$J$37000,"22*",'Accounting data'!$K$2:$K$37000,"63*")</f>
        <v>0</v>
      </c>
    </row>
    <row r="272" spans="1:5" x14ac:dyDescent="0.25">
      <c r="A272" s="523" t="s">
        <v>992</v>
      </c>
      <c r="B272" s="521" t="s">
        <v>993</v>
      </c>
      <c r="C272" s="521">
        <v>2200</v>
      </c>
      <c r="D272" s="521">
        <v>6400</v>
      </c>
      <c r="E272" s="522">
        <f>SUMIFS('Accounting data'!$G$2:$G$37000,'Accounting data'!$H$2:$H$37000,"9999*",'Accounting data'!$I$2:$I$37000,"7*",'Accounting data'!$J$2:$J$37000,"22*",'Accounting data'!$K$2:$K$37000,"64*")+SUMIFS('Accounting data'!$G$2:$G$37000,'Accounting data'!$H$2:$H$37000,"9999*",'Accounting data'!$I$2:$I$37000,"8*",'Accounting data'!$J$2:$J$37000,"22*",'Accounting data'!$K$2:$K$37000,"64*")+SUMIFS('Accounting data'!$G$2:$G$37000,'Accounting data'!$H$2:$H$37000,"9999*",'Accounting data'!$I$2:$I$37000,"9*",'Accounting data'!$J$2:$J$37000,"22*",'Accounting data'!$K$2:$K$37000,"64*")</f>
        <v>0</v>
      </c>
    </row>
    <row r="273" spans="1:5" x14ac:dyDescent="0.25">
      <c r="A273" s="523" t="s">
        <v>992</v>
      </c>
      <c r="B273" s="521" t="s">
        <v>993</v>
      </c>
      <c r="C273" s="521">
        <v>2200</v>
      </c>
      <c r="D273" s="521">
        <v>6500</v>
      </c>
      <c r="E273" s="522">
        <f>SUMIFS('Accounting data'!$G$2:$G$37000,'Accounting data'!$H$2:$H$37000,"9999*",'Accounting data'!$I$2:$I$37000,"7*",'Accounting data'!$J$2:$J$37000,"22*",'Accounting data'!$K$2:$K$37000,"65*")+SUMIFS('Accounting data'!$G$2:$G$37000,'Accounting data'!$H$2:$H$37000,"9999*",'Accounting data'!$I$2:$I$37000,"8*",'Accounting data'!$J$2:$J$37000,"22*",'Accounting data'!$K$2:$K$37000,"65*")+SUMIFS('Accounting data'!$G$2:$G$37000,'Accounting data'!$H$2:$H$37000,"9999*",'Accounting data'!$I$2:$I$37000,"9*",'Accounting data'!$J$2:$J$37000,"22*",'Accounting data'!$K$2:$K$37000,"65*")</f>
        <v>0</v>
      </c>
    </row>
    <row r="292" spans="1:5" x14ac:dyDescent="0.25">
      <c r="A292" s="524" t="s">
        <v>1026</v>
      </c>
      <c r="B292" s="524"/>
      <c r="C292" s="524"/>
      <c r="D292" s="524"/>
      <c r="E292" s="526">
        <f>((E266-E267-E268-E269-E270)+(E271+E272+E273+E274+E275+E276+E277+E278+E279))-((E280-E281-E282)+(E283+E284+E285))-((E286-E287-E288)+(E289+E290+E291))</f>
        <v>39536</v>
      </c>
    </row>
    <row r="293" spans="1:5" x14ac:dyDescent="0.25">
      <c r="A293" s="521" t="s">
        <v>991</v>
      </c>
      <c r="B293" s="521" t="s">
        <v>991</v>
      </c>
      <c r="C293" s="521">
        <v>2300</v>
      </c>
      <c r="D293" s="530" t="s">
        <v>1023</v>
      </c>
      <c r="E293" s="522">
        <f>SUMIFS('Accounting data'!$G$2:$G$37000,'Accounting data'!$J$2:$J$37000,"23*",'Accounting data'!$K$2:$K$37000,"63*")+SUMIFS('Accounting data'!$G$2:$G$37000,'Accounting data'!$J$2:$J$37000,"23*",'Accounting data'!$K$2:$K$37000,"64*")+SUMIFS('Accounting data'!$G$2:$G$37000,'Accounting data'!$J$2:$J$37000,"23*",'Accounting data'!$K$2:$K$37000,"65*")</f>
        <v>21384</v>
      </c>
    </row>
    <row r="294" spans="1:5" x14ac:dyDescent="0.25">
      <c r="A294" s="521" t="s">
        <v>992</v>
      </c>
      <c r="B294" s="521" t="s">
        <v>991</v>
      </c>
      <c r="C294" s="521">
        <v>2300</v>
      </c>
      <c r="D294" s="521">
        <v>6300</v>
      </c>
      <c r="E294" s="522">
        <f>SUMIFS('Accounting data'!$G$2:$G$37000,'Accounting data'!$H$2:$H$37000,"9999*",'Accounting data'!$J$2:$J$37000,"23*",'Accounting data'!$K$2:$K$37000,"63*")</f>
        <v>0</v>
      </c>
    </row>
    <row r="295" spans="1:5" x14ac:dyDescent="0.25">
      <c r="A295" s="521" t="s">
        <v>992</v>
      </c>
      <c r="B295" s="521" t="s">
        <v>991</v>
      </c>
      <c r="C295" s="521">
        <v>2300</v>
      </c>
      <c r="D295" s="521">
        <v>6400</v>
      </c>
      <c r="E295" s="522">
        <f>SUMIFS('Accounting data'!$G$2:$G$37000,'Accounting data'!$H$2:$H$37000,"9999*",'Accounting data'!$J$2:$J$37000,"23*",'Accounting data'!$K$2:$K$37000,"64*")</f>
        <v>0</v>
      </c>
    </row>
    <row r="296" spans="1:5" x14ac:dyDescent="0.25">
      <c r="A296" s="521" t="s">
        <v>992</v>
      </c>
      <c r="B296" s="521" t="s">
        <v>991</v>
      </c>
      <c r="C296" s="521">
        <v>2300</v>
      </c>
      <c r="D296" s="521">
        <v>6500</v>
      </c>
      <c r="E296" s="522">
        <f>SUMIFS('Accounting data'!$G$2:$G$37000,'Accounting data'!$H$2:$H$37000,"9999*",'Accounting data'!$J$2:$J$37000,"23*",'Accounting data'!$K$2:$K$37000,"65*")</f>
        <v>0</v>
      </c>
    </row>
    <row r="297" spans="1:5" x14ac:dyDescent="0.25">
      <c r="A297" s="521" t="s">
        <v>991</v>
      </c>
      <c r="B297" s="521" t="s">
        <v>993</v>
      </c>
      <c r="C297" s="521">
        <v>2300</v>
      </c>
      <c r="D297" s="530" t="s">
        <v>1023</v>
      </c>
      <c r="E297" s="522">
        <f>SUMIFS('Accounting data'!$G$2:$G$37000,'Accounting data'!$I$2:$I$37000,"7*",'Accounting data'!$J$2:$J$37000,"23*",'Accounting data'!$K$2:$K$37000,"63*")+SUMIFS('Accounting data'!$G$2:$G$37000,'Accounting data'!$I$2:$I$37000,"8*",'Accounting data'!$J$2:$J$37000,"23*",'Accounting data'!$K$2:$K$37000,"63*")+SUMIFS('Accounting data'!$G$2:$G$37000,'Accounting data'!$I$2:$I$37000,"9*",'Accounting data'!$J$2:$J$37000,"23*",'Accounting data'!$K$2:$K$37000,"63*")+SUMIFS('Accounting data'!$G$2:$G$37000,'Accounting data'!$I$2:$I$37000,"7*",'Accounting data'!$J$2:$J$37000,"23*",'Accounting data'!$K$2:$K$37000,"64*")+SUMIFS('Accounting data'!$G$2:$G$37000,'Accounting data'!$I$2:$I$37000,"8*",'Accounting data'!$J$2:$J$37000,"23*",'Accounting data'!$K$2:$K$37000,"64*")+SUMIFS('Accounting data'!$G$2:$G$37000,'Accounting data'!$I$2:$I$37000,"9*",'Accounting data'!$J$2:$J$37000,"23*",'Accounting data'!$K$2:$K$37000,"64*")+SUMIFS('Accounting data'!$G$2:$G$37000,'Accounting data'!$I$2:$I$37000,"7*",'Accounting data'!$J$2:$J$37000,"23*",'Accounting data'!$K$2:$K$37000,"65*")+SUMIFS('Accounting data'!$G$2:$G$37000,'Accounting data'!$I$2:$I$37000,"8*",'Accounting data'!$J$2:$J$37000,"23*",'Accounting data'!$K$2:$K$37000,"65*")+SUMIFS('Accounting data'!$G$2:$G$37000,'Accounting data'!$I$2:$I$37000,"9*",'Accounting data'!$J$2:$J$37000,"23*",'Accounting data'!$K$2:$K$37000,"65*")</f>
        <v>0</v>
      </c>
    </row>
    <row r="298" spans="1:5" x14ac:dyDescent="0.25">
      <c r="A298" s="523" t="s">
        <v>992</v>
      </c>
      <c r="B298" s="521" t="s">
        <v>993</v>
      </c>
      <c r="C298" s="521">
        <v>2300</v>
      </c>
      <c r="D298" s="521">
        <v>6300</v>
      </c>
      <c r="E298" s="522">
        <f>SUMIFS('Accounting data'!$G$2:$G$37000,'Accounting data'!$H$2:$H$37000,"9999*",'Accounting data'!$I$2:$I$37000,"7*",'Accounting data'!$J$2:$J$37000,"23*",'Accounting data'!$K$2:$K$37000,"63*")+SUMIFS('Accounting data'!$G$2:$G$37000,'Accounting data'!$H$2:$H$37000,"9999*",'Accounting data'!$I$2:$I$37000,"8*",'Accounting data'!$J$2:$J$37000,"23*",'Accounting data'!$K$2:$K$37000,"63*")+SUMIFS('Accounting data'!$G$2:$G$37000,'Accounting data'!$H$2:$H$37000,"9999*",'Accounting data'!$I$2:$I$37000,"9*",'Accounting data'!$J$2:$J$37000,"23*",'Accounting data'!$K$2:$K$37000,"63*")</f>
        <v>0</v>
      </c>
    </row>
    <row r="299" spans="1:5" x14ac:dyDescent="0.25">
      <c r="A299" s="523" t="s">
        <v>992</v>
      </c>
      <c r="B299" s="521" t="s">
        <v>993</v>
      </c>
      <c r="C299" s="521">
        <v>2300</v>
      </c>
      <c r="D299" s="521">
        <v>6400</v>
      </c>
      <c r="E299" s="522">
        <f>SUMIFS('Accounting data'!$G$2:$G$37000,'Accounting data'!$H$2:$H$37000,"9999*",'Accounting data'!$I$2:$I$37000,"7*",'Accounting data'!$J$2:$J$37000,"23*",'Accounting data'!$K$2:$K$37000,"64*")+SUMIFS('Accounting data'!$G$2:$G$37000,'Accounting data'!$H$2:$H$37000,"9999*",'Accounting data'!$I$2:$I$37000,"8*",'Accounting data'!$J$2:$J$37000,"23*",'Accounting data'!$K$2:$K$37000,"64*")+SUMIFS('Accounting data'!$G$2:$G$37000,'Accounting data'!$H$2:$H$37000,"9999*",'Accounting data'!$I$2:$I$37000,"9*",'Accounting data'!$J$2:$J$37000,"23*",'Accounting data'!$K$2:$K$37000,"64*")</f>
        <v>0</v>
      </c>
    </row>
    <row r="300" spans="1:5" x14ac:dyDescent="0.25">
      <c r="A300" s="523" t="s">
        <v>992</v>
      </c>
      <c r="B300" s="521" t="s">
        <v>993</v>
      </c>
      <c r="C300" s="521">
        <v>2300</v>
      </c>
      <c r="D300" s="521">
        <v>6500</v>
      </c>
      <c r="E300" s="522">
        <f>SUMIFS('Accounting data'!$G$2:$G$37000,'Accounting data'!$H$2:$H$37000,"9999*",'Accounting data'!$I$2:$I$37000,"7*",'Accounting data'!$J$2:$J$37000,"23*",'Accounting data'!$K$2:$K$37000,"65*")+SUMIFS('Accounting data'!$G$2:$G$37000,'Accounting data'!$H$2:$H$37000,"9999*",'Accounting data'!$I$2:$I$37000,"8*",'Accounting data'!$J$2:$J$37000,"23*",'Accounting data'!$K$2:$K$37000,"65*")+SUMIFS('Accounting data'!$G$2:$G$37000,'Accounting data'!$H$2:$H$37000,"9999*",'Accounting data'!$I$2:$I$37000,"9*",'Accounting data'!$J$2:$J$37000,"23*",'Accounting data'!$K$2:$K$37000,"65*")</f>
        <v>0</v>
      </c>
    </row>
    <row r="319" spans="1:5" x14ac:dyDescent="0.25">
      <c r="A319" s="524" t="s">
        <v>1027</v>
      </c>
      <c r="B319" s="524"/>
      <c r="C319" s="524"/>
      <c r="D319" s="524"/>
      <c r="E319" s="526">
        <f>((E293-E294-E295-E296-E297)+(E298+E299+E300+E301+E302+E303+E304+E305+E306))-((E307-E308-E309)+(E310+E311+E312))-((E313-E314-E315)+(E316+E317+E318))</f>
        <v>21384</v>
      </c>
    </row>
    <row r="320" spans="1:5" x14ac:dyDescent="0.25">
      <c r="A320" s="521" t="s">
        <v>991</v>
      </c>
      <c r="B320" s="521" t="s">
        <v>991</v>
      </c>
      <c r="C320" s="521">
        <v>2400</v>
      </c>
      <c r="D320" s="530" t="s">
        <v>1023</v>
      </c>
      <c r="E320" s="522">
        <f>SUMIFS('Accounting data'!$G$2:$G$37000,'Accounting data'!$J$2:$J$37000,"24*",'Accounting data'!$K$2:$K$37000,"63*")+SUMIFS('Accounting data'!$G$2:$G$37000,'Accounting data'!$J$2:$J$37000,"24*",'Accounting data'!$K$2:$K$37000,"64*")+SUMIFS('Accounting data'!$G$2:$G$37000,'Accounting data'!$J$2:$J$37000,"24*",'Accounting data'!$K$2:$K$37000,"65*")</f>
        <v>32907</v>
      </c>
    </row>
    <row r="321" spans="1:5" x14ac:dyDescent="0.25">
      <c r="A321" s="521" t="s">
        <v>992</v>
      </c>
      <c r="B321" s="521" t="s">
        <v>991</v>
      </c>
      <c r="C321" s="521">
        <v>2400</v>
      </c>
      <c r="D321" s="521">
        <v>6300</v>
      </c>
      <c r="E321" s="522">
        <f>SUMIFS('Accounting data'!$G$2:$G$37000,'Accounting data'!$H$2:$H$37000,"9999*",'Accounting data'!$J$2:$J$37000,"24*",'Accounting data'!$K$2:$K$37000,"63*")</f>
        <v>0</v>
      </c>
    </row>
    <row r="322" spans="1:5" x14ac:dyDescent="0.25">
      <c r="A322" s="521" t="s">
        <v>992</v>
      </c>
      <c r="B322" s="521" t="s">
        <v>991</v>
      </c>
      <c r="C322" s="521">
        <v>2400</v>
      </c>
      <c r="D322" s="521">
        <v>6400</v>
      </c>
      <c r="E322" s="522">
        <f>SUMIFS('Accounting data'!$G$2:$G$37000,'Accounting data'!$H$2:$H$37000,"9999*",'Accounting data'!$J$2:$J$37000,"24*",'Accounting data'!$K$2:$K$37000,"64*")</f>
        <v>0</v>
      </c>
    </row>
    <row r="323" spans="1:5" x14ac:dyDescent="0.25">
      <c r="A323" s="521" t="s">
        <v>992</v>
      </c>
      <c r="B323" s="521" t="s">
        <v>991</v>
      </c>
      <c r="C323" s="521">
        <v>2400</v>
      </c>
      <c r="D323" s="521">
        <v>6500</v>
      </c>
      <c r="E323" s="522">
        <f>SUMIFS('Accounting data'!$G$2:$G$37000,'Accounting data'!$H$2:$H$37000,"9999*",'Accounting data'!$J$2:$J$37000,"24*",'Accounting data'!$K$2:$K$37000,"65*")</f>
        <v>0</v>
      </c>
    </row>
    <row r="324" spans="1:5" x14ac:dyDescent="0.25">
      <c r="A324" s="521" t="s">
        <v>991</v>
      </c>
      <c r="B324" s="521" t="s">
        <v>993</v>
      </c>
      <c r="C324" s="521">
        <v>2400</v>
      </c>
      <c r="D324" s="530" t="s">
        <v>1023</v>
      </c>
      <c r="E324" s="522">
        <f>SUMIFS('Accounting data'!$G$2:$G$37000,'Accounting data'!$I$2:$I$37000,"7*",'Accounting data'!$J$2:$J$37000,"24*",'Accounting data'!$K$2:$K$37000,"63*")+SUMIFS('Accounting data'!$G$2:$G$37000,'Accounting data'!$I$2:$I$37000,"8*",'Accounting data'!$J$2:$J$37000,"24*",'Accounting data'!$K$2:$K$37000,"63*")+SUMIFS('Accounting data'!$G$2:$G$37000,'Accounting data'!$I$2:$I$37000,"9*",'Accounting data'!$J$2:$J$37000,"24*",'Accounting data'!$K$2:$K$37000,"63*")+SUMIFS('Accounting data'!$G$2:$G$37000,'Accounting data'!$I$2:$I$37000,"7*",'Accounting data'!$J$2:$J$37000,"24*",'Accounting data'!$K$2:$K$37000,"64*")+SUMIFS('Accounting data'!$G$2:$G$37000,'Accounting data'!$I$2:$I$37000,"8*",'Accounting data'!$J$2:$J$37000,"24*",'Accounting data'!$K$2:$K$37000,"64*")+SUMIFS('Accounting data'!$G$2:$G$37000,'Accounting data'!$I$2:$I$37000,"9*",'Accounting data'!$J$2:$J$37000,"24*",'Accounting data'!$K$2:$K$37000,"64*")+SUMIFS('Accounting data'!$G$2:$G$37000,'Accounting data'!$I$2:$I$37000,"7*",'Accounting data'!$J$2:$J$37000,"24*",'Accounting data'!$K$2:$K$37000,"65*")+SUMIFS('Accounting data'!$G$2:$G$37000,'Accounting data'!$I$2:$I$37000,"8*",'Accounting data'!$J$2:$J$37000,"24*",'Accounting data'!$K$2:$K$37000,"65*")+SUMIFS('Accounting data'!$G$2:$G$37000,'Accounting data'!$I$2:$I$37000,"9*",'Accounting data'!$J$2:$J$37000,"24*",'Accounting data'!$K$2:$K$37000,"65*")</f>
        <v>0</v>
      </c>
    </row>
    <row r="325" spans="1:5" x14ac:dyDescent="0.25">
      <c r="A325" s="523" t="s">
        <v>992</v>
      </c>
      <c r="B325" s="521" t="s">
        <v>993</v>
      </c>
      <c r="C325" s="521">
        <v>2400</v>
      </c>
      <c r="D325" s="521">
        <v>6300</v>
      </c>
      <c r="E325" s="522">
        <f>SUMIFS('Accounting data'!$G$2:$G$37000,'Accounting data'!$H$2:$H$37000,"9999*",'Accounting data'!$I$2:$I$37000,"7*",'Accounting data'!$J$2:$J$37000,"24*",'Accounting data'!$K$2:$K$37000,"63*")+SUMIFS('Accounting data'!$G$2:$G$37000,'Accounting data'!$H$2:$H$37000,"9999*",'Accounting data'!$I$2:$I$37000,"8*",'Accounting data'!$J$2:$J$37000,"24*",'Accounting data'!$K$2:$K$37000,"63*")+SUMIFS('Accounting data'!$G$2:$G$37000,'Accounting data'!$H$2:$H$37000,"9999*",'Accounting data'!$I$2:$I$37000,"9*",'Accounting data'!$J$2:$J$37000,"24*",'Accounting data'!$K$2:$K$37000,"63*")</f>
        <v>0</v>
      </c>
    </row>
    <row r="326" spans="1:5" x14ac:dyDescent="0.25">
      <c r="A326" s="523" t="s">
        <v>992</v>
      </c>
      <c r="B326" s="521" t="s">
        <v>993</v>
      </c>
      <c r="C326" s="521">
        <v>2400</v>
      </c>
      <c r="D326" s="521">
        <v>6400</v>
      </c>
      <c r="E326" s="522">
        <f>SUMIFS('Accounting data'!$G$2:$G$37000,'Accounting data'!$H$2:$H$37000,"9999*",'Accounting data'!$I$2:$I$37000,"7*",'Accounting data'!$J$2:$J$37000,"24*",'Accounting data'!$K$2:$K$37000,"64*")+SUMIFS('Accounting data'!$G$2:$G$37000,'Accounting data'!$H$2:$H$37000,"9999*",'Accounting data'!$I$2:$I$37000,"8*",'Accounting data'!$J$2:$J$37000,"24*",'Accounting data'!$K$2:$K$37000,"64*")+SUMIFS('Accounting data'!$G$2:$G$37000,'Accounting data'!$H$2:$H$37000,"9999*",'Accounting data'!$I$2:$I$37000,"9*",'Accounting data'!$J$2:$J$37000,"24*",'Accounting data'!$K$2:$K$37000,"64*")</f>
        <v>0</v>
      </c>
    </row>
    <row r="327" spans="1:5" x14ac:dyDescent="0.25">
      <c r="A327" s="523" t="s">
        <v>992</v>
      </c>
      <c r="B327" s="521" t="s">
        <v>993</v>
      </c>
      <c r="C327" s="521">
        <v>2400</v>
      </c>
      <c r="D327" s="521">
        <v>6500</v>
      </c>
      <c r="E327" s="522">
        <f>SUMIFS('Accounting data'!$G$2:$G$37000,'Accounting data'!$H$2:$H$37000,"9999*",'Accounting data'!$I$2:$I$37000,"7*",'Accounting data'!$J$2:$J$37000,"24*",'Accounting data'!$K$2:$K$37000,"65*")+SUMIFS('Accounting data'!$G$2:$G$37000,'Accounting data'!$H$2:$H$37000,"9999*",'Accounting data'!$I$2:$I$37000,"8*",'Accounting data'!$J$2:$J$37000,"24*",'Accounting data'!$K$2:$K$37000,"65*")+SUMIFS('Accounting data'!$G$2:$G$37000,'Accounting data'!$H$2:$H$37000,"9999*",'Accounting data'!$I$2:$I$37000,"9*",'Accounting data'!$J$2:$J$37000,"24*",'Accounting data'!$K$2:$K$37000,"65*")</f>
        <v>0</v>
      </c>
    </row>
    <row r="346" spans="1:5" x14ac:dyDescent="0.25">
      <c r="A346" s="524" t="s">
        <v>1028</v>
      </c>
      <c r="B346" s="524"/>
      <c r="C346" s="524"/>
      <c r="D346" s="524"/>
      <c r="E346" s="526">
        <f>((E320-E321-E322-E323-E324)+(E325+E326+E327+E328+E329+E330+E331+E332+E333))-((E334-E335-E336)+(E337+E338+E339))-((E340-E341-E342)+(E343+E344+E345))</f>
        <v>32907</v>
      </c>
    </row>
    <row r="347" spans="1:5" x14ac:dyDescent="0.25">
      <c r="A347" s="521" t="s">
        <v>991</v>
      </c>
      <c r="B347" s="521" t="s">
        <v>991</v>
      </c>
      <c r="C347" s="521">
        <v>2500</v>
      </c>
      <c r="D347" s="530" t="s">
        <v>1023</v>
      </c>
      <c r="E347" s="522">
        <f>SUMIFS('Accounting data'!$G$2:$G$37000,'Accounting data'!$J$2:$J$37000,"25*",'Accounting data'!$K$2:$K$37000,"63*")+SUMIFS('Accounting data'!$G$2:$G$37000,'Accounting data'!$J$2:$J$37000,"25*",'Accounting data'!$K$2:$K$37000,"64*")+SUMIFS('Accounting data'!$G$2:$G$37000,'Accounting data'!$J$2:$J$37000,"25*",'Accounting data'!$K$2:$K$37000,"65*")</f>
        <v>40418</v>
      </c>
    </row>
    <row r="348" spans="1:5" x14ac:dyDescent="0.25">
      <c r="A348" s="521" t="s">
        <v>992</v>
      </c>
      <c r="B348" s="521" t="s">
        <v>991</v>
      </c>
      <c r="C348" s="521">
        <v>2500</v>
      </c>
      <c r="D348" s="521">
        <v>6300</v>
      </c>
      <c r="E348" s="522">
        <f>SUMIFS('Accounting data'!$G$2:$G$37000,'Accounting data'!$H$2:$H$37000,"9999*",'Accounting data'!$J$2:$J$37000,"25*",'Accounting data'!$K$2:$K$37000,"63*")</f>
        <v>0</v>
      </c>
    </row>
    <row r="349" spans="1:5" x14ac:dyDescent="0.25">
      <c r="A349" s="521" t="s">
        <v>992</v>
      </c>
      <c r="B349" s="521" t="s">
        <v>991</v>
      </c>
      <c r="C349" s="521">
        <v>2500</v>
      </c>
      <c r="D349" s="521">
        <v>6400</v>
      </c>
      <c r="E349" s="522">
        <f>SUMIFS('Accounting data'!$G$2:$G$37000,'Accounting data'!$H$2:$H$37000,"9999*",'Accounting data'!$J$2:$J$37000,"25*",'Accounting data'!$K$2:$K$37000,"64*")</f>
        <v>0</v>
      </c>
    </row>
    <row r="350" spans="1:5" x14ac:dyDescent="0.25">
      <c r="A350" s="521" t="s">
        <v>992</v>
      </c>
      <c r="B350" s="521" t="s">
        <v>991</v>
      </c>
      <c r="C350" s="521">
        <v>2500</v>
      </c>
      <c r="D350" s="521">
        <v>6500</v>
      </c>
      <c r="E350" s="522">
        <f>SUMIFS('Accounting data'!$G$2:$G$37000,'Accounting data'!$H$2:$H$37000,"9999*",'Accounting data'!$J$2:$J$37000,"25*",'Accounting data'!$K$2:$K$37000,"65*")</f>
        <v>0</v>
      </c>
    </row>
    <row r="351" spans="1:5" x14ac:dyDescent="0.25">
      <c r="A351" s="521" t="s">
        <v>991</v>
      </c>
      <c r="B351" s="521" t="s">
        <v>993</v>
      </c>
      <c r="C351" s="521">
        <v>2500</v>
      </c>
      <c r="D351" s="530" t="s">
        <v>1023</v>
      </c>
      <c r="E351" s="522">
        <f>SUMIFS('Accounting data'!$G$2:$G$37000,'Accounting data'!$I$2:$I$37000,"7*",'Accounting data'!$J$2:$J$37000,"25*",'Accounting data'!$K$2:$K$37000,"63*")+SUMIFS('Accounting data'!$G$2:$G$37000,'Accounting data'!$I$2:$I$37000,"8*",'Accounting data'!$J$2:$J$37000,"25*",'Accounting data'!$K$2:$K$37000,"63*")+SUMIFS('Accounting data'!$G$2:$G$37000,'Accounting data'!$I$2:$I$37000,"9*",'Accounting data'!$J$2:$J$37000,"25*",'Accounting data'!$K$2:$K$37000,"63*")+SUMIFS('Accounting data'!$G$2:$G$37000,'Accounting data'!$I$2:$I$37000,"7*",'Accounting data'!$J$2:$J$37000,"25*",'Accounting data'!$K$2:$K$37000,"64*")+SUMIFS('Accounting data'!$G$2:$G$37000,'Accounting data'!$I$2:$I$37000,"8*",'Accounting data'!$J$2:$J$37000,"25*",'Accounting data'!$K$2:$K$37000,"64*")+SUMIFS('Accounting data'!$G$2:$G$37000,'Accounting data'!$I$2:$I$37000,"9*",'Accounting data'!$J$2:$J$37000,"25*",'Accounting data'!$K$2:$K$37000,"64*")+SUMIFS('Accounting data'!$G$2:$G$37000,'Accounting data'!$I$2:$I$37000,"7*",'Accounting data'!$J$2:$J$37000,"25*",'Accounting data'!$K$2:$K$37000,"65*")+SUMIFS('Accounting data'!$G$2:$G$37000,'Accounting data'!$I$2:$I$37000,"8*",'Accounting data'!$J$2:$J$37000,"25*",'Accounting data'!$K$2:$K$37000,"65*")+SUMIFS('Accounting data'!$G$2:$G$37000,'Accounting data'!$I$2:$I$37000,"9*",'Accounting data'!$J$2:$J$37000,"25*",'Accounting data'!$K$2:$K$37000,"65*")</f>
        <v>0</v>
      </c>
    </row>
    <row r="352" spans="1:5" x14ac:dyDescent="0.25">
      <c r="A352" s="523" t="s">
        <v>992</v>
      </c>
      <c r="B352" s="521" t="s">
        <v>993</v>
      </c>
      <c r="C352" s="521">
        <v>2500</v>
      </c>
      <c r="D352" s="521">
        <v>6300</v>
      </c>
      <c r="E352" s="522">
        <f>SUMIFS('Accounting data'!$G$2:$G$37000,'Accounting data'!$H$2:$H$37000,"9999*",'Accounting data'!$I$2:$I$37000,"7*",'Accounting data'!$J$2:$J$37000,"25*",'Accounting data'!$K$2:$K$37000,"63*")+SUMIFS('Accounting data'!$G$2:$G$37000,'Accounting data'!$H$2:$H$37000,"9999*",'Accounting data'!$I$2:$I$37000,"8*",'Accounting data'!$J$2:$J$37000,"25*",'Accounting data'!$K$2:$K$37000,"63*")+SUMIFS('Accounting data'!$G$2:$G$37000,'Accounting data'!$H$2:$H$37000,"9999*",'Accounting data'!$I$2:$I$37000,"9*",'Accounting data'!$J$2:$J$37000,"25*",'Accounting data'!$K$2:$K$37000,"63*")</f>
        <v>0</v>
      </c>
    </row>
    <row r="353" spans="1:5" x14ac:dyDescent="0.25">
      <c r="A353" s="523" t="s">
        <v>992</v>
      </c>
      <c r="B353" s="521" t="s">
        <v>993</v>
      </c>
      <c r="C353" s="521">
        <v>2500</v>
      </c>
      <c r="D353" s="521">
        <v>6400</v>
      </c>
      <c r="E353" s="522">
        <f>SUMIFS('Accounting data'!$G$2:$G$37000,'Accounting data'!$H$2:$H$37000,"9999*",'Accounting data'!$I$2:$I$37000,"7*",'Accounting data'!$J$2:$J$37000,"25*",'Accounting data'!$K$2:$K$37000,"64*")+SUMIFS('Accounting data'!$G$2:$G$37000,'Accounting data'!$H$2:$H$37000,"9999*",'Accounting data'!$I$2:$I$37000,"8*",'Accounting data'!$J$2:$J$37000,"25*",'Accounting data'!$K$2:$K$37000,"64*")+SUMIFS('Accounting data'!$G$2:$G$37000,'Accounting data'!$H$2:$H$37000,"9999*",'Accounting data'!$I$2:$I$37000,"9*",'Accounting data'!$J$2:$J$37000,"25*",'Accounting data'!$K$2:$K$37000,"64*")</f>
        <v>0</v>
      </c>
    </row>
    <row r="354" spans="1:5" x14ac:dyDescent="0.25">
      <c r="A354" s="523" t="s">
        <v>992</v>
      </c>
      <c r="B354" s="521" t="s">
        <v>993</v>
      </c>
      <c r="C354" s="521">
        <v>2500</v>
      </c>
      <c r="D354" s="521">
        <v>6500</v>
      </c>
      <c r="E354" s="522">
        <f>SUMIFS('Accounting data'!$G$2:$G$37000,'Accounting data'!$H$2:$H$37000,"9999*",'Accounting data'!$I$2:$I$37000,"7*",'Accounting data'!$J$2:$J$37000,"25*",'Accounting data'!$K$2:$K$37000,"65*")+SUMIFS('Accounting data'!$G$2:$G$37000,'Accounting data'!$H$2:$H$37000,"9999*",'Accounting data'!$I$2:$I$37000,"8*",'Accounting data'!$J$2:$J$37000,"25*",'Accounting data'!$K$2:$K$37000,"65*")+SUMIFS('Accounting data'!$G$2:$G$37000,'Accounting data'!$H$2:$H$37000,"9999*",'Accounting data'!$I$2:$I$37000,"9*",'Accounting data'!$J$2:$J$37000,"25*",'Accounting data'!$K$2:$K$37000,"65*")</f>
        <v>0</v>
      </c>
    </row>
    <row r="373" spans="1:5" x14ac:dyDescent="0.25">
      <c r="A373" s="524" t="s">
        <v>1029</v>
      </c>
      <c r="B373" s="524"/>
      <c r="C373" s="524"/>
      <c r="D373" s="524"/>
      <c r="E373" s="526">
        <f>((E347-E348-E349-E350-E351)+(E352+E353+E354+E355+E356+E357+E358+E359+E360))-((E361-E362-E363)+(E364+E365+E366))-((E367-E368-E369)+(E370+E371+E372))</f>
        <v>40418</v>
      </c>
    </row>
    <row r="374" spans="1:5" x14ac:dyDescent="0.25">
      <c r="A374" s="521" t="s">
        <v>991</v>
      </c>
      <c r="B374" s="521" t="s">
        <v>991</v>
      </c>
      <c r="C374" s="521">
        <v>2900</v>
      </c>
      <c r="D374" s="530" t="s">
        <v>1023</v>
      </c>
      <c r="E374" s="522">
        <f>SUMIFS('Accounting data'!$G$2:$G$37000,'Accounting data'!$J$2:$J$37000,"29*",'Accounting data'!$K$2:$K$37000,"63*")+SUMIFS('Accounting data'!$G$2:$G$37000,'Accounting data'!$J$2:$J$37000,"29*",'Accounting data'!$K$2:$K$37000,"64*")+SUMIFS('Accounting data'!$G$2:$G$37000,'Accounting data'!$J$2:$J$37000,"29*",'Accounting data'!$K$2:$K$37000,"65*")</f>
        <v>0</v>
      </c>
    </row>
    <row r="375" spans="1:5" x14ac:dyDescent="0.25">
      <c r="A375" s="521" t="s">
        <v>992</v>
      </c>
      <c r="B375" s="521" t="s">
        <v>991</v>
      </c>
      <c r="C375" s="521">
        <v>2900</v>
      </c>
      <c r="D375" s="521">
        <v>6300</v>
      </c>
      <c r="E375" s="522">
        <f>SUMIFS('Accounting data'!$G$2:$G$37000,'Accounting data'!$H$2:$H$37000,"9999*",'Accounting data'!$J$2:$J$37000,"29*",'Accounting data'!$K$2:$K$37000,"63*")</f>
        <v>0</v>
      </c>
    </row>
    <row r="376" spans="1:5" x14ac:dyDescent="0.25">
      <c r="A376" s="521" t="s">
        <v>992</v>
      </c>
      <c r="B376" s="521" t="s">
        <v>991</v>
      </c>
      <c r="C376" s="521">
        <v>2900</v>
      </c>
      <c r="D376" s="521">
        <v>6400</v>
      </c>
      <c r="E376" s="522">
        <f>SUMIFS('Accounting data'!$G$2:$G$37000,'Accounting data'!$H$2:$H$37000,"9999*",'Accounting data'!$J$2:$J$37000,"29*",'Accounting data'!$K$2:$K$37000,"64*")</f>
        <v>0</v>
      </c>
    </row>
    <row r="377" spans="1:5" x14ac:dyDescent="0.25">
      <c r="A377" s="521" t="s">
        <v>992</v>
      </c>
      <c r="B377" s="521" t="s">
        <v>991</v>
      </c>
      <c r="C377" s="521">
        <v>2900</v>
      </c>
      <c r="D377" s="521">
        <v>6500</v>
      </c>
      <c r="E377" s="522">
        <f>SUMIFS('Accounting data'!$G$2:$G$37000,'Accounting data'!$H$2:$H$37000,"9999*",'Accounting data'!$J$2:$J$37000,"29*",'Accounting data'!$K$2:$K$37000,"65*")</f>
        <v>0</v>
      </c>
    </row>
    <row r="378" spans="1:5" x14ac:dyDescent="0.25">
      <c r="A378" s="521" t="s">
        <v>991</v>
      </c>
      <c r="B378" s="521" t="s">
        <v>993</v>
      </c>
      <c r="C378" s="521">
        <v>2900</v>
      </c>
      <c r="D378" s="530" t="s">
        <v>1023</v>
      </c>
      <c r="E378" s="522">
        <f>SUMIFS('Accounting data'!$G$2:$G$37000,'Accounting data'!$I$2:$I$37000,"7*",'Accounting data'!$J$2:$J$37000,"29*",'Accounting data'!$K$2:$K$37000,"63*")+SUMIFS('Accounting data'!$G$2:$G$37000,'Accounting data'!$I$2:$I$37000,"8*",'Accounting data'!$J$2:$J$37000,"29*",'Accounting data'!$K$2:$K$37000,"63*")+SUMIFS('Accounting data'!$G$2:$G$37000,'Accounting data'!$I$2:$I$37000,"9*",'Accounting data'!$J$2:$J$37000,"29*",'Accounting data'!$K$2:$K$37000,"63*")+SUMIFS('Accounting data'!$G$2:$G$37000,'Accounting data'!$I$2:$I$37000,"7*",'Accounting data'!$J$2:$J$37000,"29*",'Accounting data'!$K$2:$K$37000,"64*")+SUMIFS('Accounting data'!$G$2:$G$37000,'Accounting data'!$I$2:$I$37000,"8*",'Accounting data'!$J$2:$J$37000,"29*",'Accounting data'!$K$2:$K$37000,"64*")+SUMIFS('Accounting data'!$G$2:$G$37000,'Accounting data'!$I$2:$I$37000,"9*",'Accounting data'!$J$2:$J$37000,"29*",'Accounting data'!$K$2:$K$37000,"64*")+SUMIFS('Accounting data'!$G$2:$G$37000,'Accounting data'!$I$2:$I$37000,"7*",'Accounting data'!$J$2:$J$37000,"29*",'Accounting data'!$K$2:$K$37000,"65*")+SUMIFS('Accounting data'!$G$2:$G$37000,'Accounting data'!$I$2:$I$37000,"8*",'Accounting data'!$J$2:$J$37000,"29*",'Accounting data'!$K$2:$K$37000,"65*")+SUMIFS('Accounting data'!$G$2:$G$37000,'Accounting data'!$I$2:$I$37000,"9*",'Accounting data'!$J$2:$J$37000,"29*",'Accounting data'!$K$2:$K$37000,"65*")</f>
        <v>0</v>
      </c>
    </row>
    <row r="379" spans="1:5" x14ac:dyDescent="0.25">
      <c r="A379" s="523" t="s">
        <v>992</v>
      </c>
      <c r="B379" s="521" t="s">
        <v>993</v>
      </c>
      <c r="C379" s="521">
        <v>2900</v>
      </c>
      <c r="D379" s="521">
        <v>6300</v>
      </c>
      <c r="E379" s="522">
        <f>SUMIFS('Accounting data'!$G$2:$G$37000,'Accounting data'!$H$2:$H$37000,"9999*",'Accounting data'!$I$2:$I$37000,"7*",'Accounting data'!$J$2:$J$37000,"29*",'Accounting data'!$K$2:$K$37000,"63*")+SUMIFS('Accounting data'!$G$2:$G$37000,'Accounting data'!$H$2:$H$37000,"9999*",'Accounting data'!$I$2:$I$37000,"8*",'Accounting data'!$J$2:$J$37000,"29*",'Accounting data'!$K$2:$K$37000,"63*")+SUMIFS('Accounting data'!$G$2:$G$37000,'Accounting data'!$H$2:$H$37000,"9999*",'Accounting data'!$I$2:$I$37000,"9*",'Accounting data'!$J$2:$J$37000,"29*",'Accounting data'!$K$2:$K$37000,"63*")</f>
        <v>0</v>
      </c>
    </row>
    <row r="380" spans="1:5" x14ac:dyDescent="0.25">
      <c r="A380" s="523" t="s">
        <v>992</v>
      </c>
      <c r="B380" s="521" t="s">
        <v>993</v>
      </c>
      <c r="C380" s="521">
        <v>2900</v>
      </c>
      <c r="D380" s="521">
        <v>6400</v>
      </c>
      <c r="E380" s="522">
        <f>SUMIFS('Accounting data'!$G$2:$G$37000,'Accounting data'!$H$2:$H$37000,"9999*",'Accounting data'!$I$2:$I$37000,"7*",'Accounting data'!$J$2:$J$37000,"29*",'Accounting data'!$K$2:$K$37000,"64*")+SUMIFS('Accounting data'!$G$2:$G$37000,'Accounting data'!$H$2:$H$37000,"9999*",'Accounting data'!$I$2:$I$37000,"8*",'Accounting data'!$J$2:$J$37000,"29*",'Accounting data'!$K$2:$K$37000,"64*")+SUMIFS('Accounting data'!$G$2:$G$37000,'Accounting data'!$H$2:$H$37000,"9999*",'Accounting data'!$I$2:$I$37000,"9*",'Accounting data'!$J$2:$J$37000,"29*",'Accounting data'!$K$2:$K$37000,"64*")</f>
        <v>0</v>
      </c>
    </row>
    <row r="381" spans="1:5" x14ac:dyDescent="0.25">
      <c r="A381" s="523" t="s">
        <v>992</v>
      </c>
      <c r="B381" s="521" t="s">
        <v>993</v>
      </c>
      <c r="C381" s="521">
        <v>2900</v>
      </c>
      <c r="D381" s="521">
        <v>6500</v>
      </c>
      <c r="E381" s="522">
        <f>SUMIFS('Accounting data'!$G$2:$G$37000,'Accounting data'!$H$2:$H$37000,"9999*",'Accounting data'!$I$2:$I$37000,"7*",'Accounting data'!$J$2:$J$37000,"29*",'Accounting data'!$K$2:$K$37000,"65*")+SUMIFS('Accounting data'!$G$2:$G$37000,'Accounting data'!$H$2:$H$37000,"9999*",'Accounting data'!$I$2:$I$37000,"8*",'Accounting data'!$J$2:$J$37000,"29*",'Accounting data'!$K$2:$K$37000,"65*")+SUMIFS('Accounting data'!$G$2:$G$37000,'Accounting data'!$H$2:$H$37000,"9999*",'Accounting data'!$I$2:$I$37000,"9*",'Accounting data'!$J$2:$J$37000,"29*",'Accounting data'!$K$2:$K$37000,"65*")</f>
        <v>0</v>
      </c>
    </row>
    <row r="400" spans="1:5" x14ac:dyDescent="0.25">
      <c r="A400" s="524" t="s">
        <v>1030</v>
      </c>
      <c r="B400" s="524"/>
      <c r="C400" s="524"/>
      <c r="D400" s="524"/>
      <c r="E400" s="526">
        <f>((E374-E375-E376-E377-E378)+(E379+E380+E381+E382+E383+E384+E385+E386+E387))-((E388-E389-E390)+(E391+E392+E393))-((E394-E395-E396)+(E397+E398+E399))</f>
        <v>0</v>
      </c>
    </row>
    <row r="401" spans="1:5" x14ac:dyDescent="0.25">
      <c r="A401" s="521" t="s">
        <v>991</v>
      </c>
      <c r="B401" s="521" t="s">
        <v>991</v>
      </c>
      <c r="C401" s="521">
        <v>2600</v>
      </c>
      <c r="D401" s="530" t="s">
        <v>1023</v>
      </c>
      <c r="E401" s="522">
        <f>SUMIFS('Accounting data'!$G$2:$G$37000,'Accounting data'!$J$2:$J$37000,"26*",'Accounting data'!$K$2:$K$37000,"63*")+SUMIFS('Accounting data'!$G$2:$G$37000,'Accounting data'!$J$2:$J$37000,"26*",'Accounting data'!$K$2:$K$37000,"64*")+SUMIFS('Accounting data'!$G$2:$G$37000,'Accounting data'!$J$2:$J$37000,"26*",'Accounting data'!$K$2:$K$37000,"65*")</f>
        <v>262784</v>
      </c>
    </row>
    <row r="402" spans="1:5" x14ac:dyDescent="0.25">
      <c r="A402" s="521" t="s">
        <v>992</v>
      </c>
      <c r="B402" s="521" t="s">
        <v>991</v>
      </c>
      <c r="C402" s="521">
        <v>2600</v>
      </c>
      <c r="D402" s="521">
        <v>6300</v>
      </c>
      <c r="E402" s="522">
        <f>SUMIFS('Accounting data'!$G$2:$G$37000,'Accounting data'!$H$2:$H$37000,"9999*",'Accounting data'!$J$2:$J$37000,"26*",'Accounting data'!$K$2:$K$37000,"63*")</f>
        <v>0</v>
      </c>
    </row>
    <row r="403" spans="1:5" x14ac:dyDescent="0.25">
      <c r="A403" s="521" t="s">
        <v>992</v>
      </c>
      <c r="B403" s="521" t="s">
        <v>991</v>
      </c>
      <c r="C403" s="521">
        <v>2600</v>
      </c>
      <c r="D403" s="521">
        <v>6400</v>
      </c>
      <c r="E403" s="522">
        <f>SUMIFS('Accounting data'!$G$2:$G$37000,'Accounting data'!$H$2:$H$37000,"9999*",'Accounting data'!$J$2:$J$37000,"26*",'Accounting data'!$K$2:$K$37000,"64*")</f>
        <v>0</v>
      </c>
    </row>
    <row r="404" spans="1:5" x14ac:dyDescent="0.25">
      <c r="A404" s="521" t="s">
        <v>992</v>
      </c>
      <c r="B404" s="521" t="s">
        <v>991</v>
      </c>
      <c r="C404" s="521">
        <v>2600</v>
      </c>
      <c r="D404" s="521">
        <v>6500</v>
      </c>
      <c r="E404" s="522">
        <f>SUMIFS('Accounting data'!$G$2:$G$37000,'Accounting data'!$H$2:$H$37000,"9999*",'Accounting data'!$J$2:$J$37000,"26*",'Accounting data'!$K$2:$K$37000,"65*")</f>
        <v>0</v>
      </c>
    </row>
    <row r="405" spans="1:5" x14ac:dyDescent="0.25">
      <c r="A405" s="521" t="s">
        <v>991</v>
      </c>
      <c r="B405" s="521" t="s">
        <v>993</v>
      </c>
      <c r="C405" s="521">
        <v>2600</v>
      </c>
      <c r="D405" s="530" t="s">
        <v>1023</v>
      </c>
      <c r="E405" s="522">
        <f>SUMIFS('Accounting data'!$G$2:$G$37000,'Accounting data'!$I$2:$I$37000,"7*",'Accounting data'!$J$2:$J$37000,"26*",'Accounting data'!$K$2:$K$37000,"63*")+SUMIFS('Accounting data'!$G$2:$G$37000,'Accounting data'!$I$2:$I$37000,"8*",'Accounting data'!$J$2:$J$37000,"26*",'Accounting data'!$K$2:$K$37000,"63*")+SUMIFS('Accounting data'!$G$2:$G$37000,'Accounting data'!$I$2:$I$37000,"9*",'Accounting data'!$J$2:$J$37000,"26*",'Accounting data'!$K$2:$K$37000,"63*")+SUMIFS('Accounting data'!$G$2:$G$37000,'Accounting data'!$I$2:$I$37000,"7*",'Accounting data'!$J$2:$J$37000,"26*",'Accounting data'!$K$2:$K$37000,"64*")+SUMIFS('Accounting data'!$G$2:$G$37000,'Accounting data'!$I$2:$I$37000,"8*",'Accounting data'!$J$2:$J$37000,"26*",'Accounting data'!$K$2:$K$37000,"64*")+SUMIFS('Accounting data'!$G$2:$G$37000,'Accounting data'!$I$2:$I$37000,"9*",'Accounting data'!$J$2:$J$37000,"26*",'Accounting data'!$K$2:$K$37000,"64*")+SUMIFS('Accounting data'!$G$2:$G$37000,'Accounting data'!$I$2:$I$37000,"7*",'Accounting data'!$J$2:$J$37000,"26*",'Accounting data'!$K$2:$K$37000,"65*")+SUMIFS('Accounting data'!$G$2:$G$37000,'Accounting data'!$I$2:$I$37000,"8*",'Accounting data'!$J$2:$J$37000,"26*",'Accounting data'!$K$2:$K$37000,"65*")+SUMIFS('Accounting data'!$G$2:$G$37000,'Accounting data'!$I$2:$I$37000,"9*",'Accounting data'!$J$2:$J$37000,"26*",'Accounting data'!$K$2:$K$37000,"65*")</f>
        <v>0</v>
      </c>
    </row>
    <row r="406" spans="1:5" x14ac:dyDescent="0.25">
      <c r="A406" s="523" t="s">
        <v>992</v>
      </c>
      <c r="B406" s="521" t="s">
        <v>993</v>
      </c>
      <c r="C406" s="521">
        <v>2600</v>
      </c>
      <c r="D406" s="521">
        <v>6300</v>
      </c>
      <c r="E406" s="522">
        <f>SUMIFS('Accounting data'!$G$2:$G$37000,'Accounting data'!$H$2:$H$37000,"9999*",'Accounting data'!$I$2:$I$37000,"7*",'Accounting data'!$J$2:$J$37000,"26*",'Accounting data'!$K$2:$K$37000,"63*")+SUMIFS('Accounting data'!$G$2:$G$37000,'Accounting data'!$H$2:$H$37000,"9999*",'Accounting data'!$I$2:$I$37000,"8*",'Accounting data'!$J$2:$J$37000,"26*",'Accounting data'!$K$2:$K$37000,"63*")+SUMIFS('Accounting data'!$G$2:$G$37000,'Accounting data'!$H$2:$H$37000,"9999*",'Accounting data'!$I$2:$I$37000,"9*",'Accounting data'!$J$2:$J$37000,"26*",'Accounting data'!$K$2:$K$37000,"63*")</f>
        <v>0</v>
      </c>
    </row>
    <row r="407" spans="1:5" x14ac:dyDescent="0.25">
      <c r="A407" s="523" t="s">
        <v>992</v>
      </c>
      <c r="B407" s="521" t="s">
        <v>993</v>
      </c>
      <c r="C407" s="521">
        <v>2600</v>
      </c>
      <c r="D407" s="521">
        <v>6400</v>
      </c>
      <c r="E407" s="522">
        <f>SUMIFS('Accounting data'!$G$2:$G$37000,'Accounting data'!$H$2:$H$37000,"9999*",'Accounting data'!$I$2:$I$37000,"7*",'Accounting data'!$J$2:$J$37000,"26*",'Accounting data'!$K$2:$K$37000,"64*")+SUMIFS('Accounting data'!$G$2:$G$37000,'Accounting data'!$H$2:$H$37000,"9999*",'Accounting data'!$I$2:$I$37000,"8*",'Accounting data'!$J$2:$J$37000,"26*",'Accounting data'!$K$2:$K$37000,"64*")+SUMIFS('Accounting data'!$G$2:$G$37000,'Accounting data'!$H$2:$H$37000,"9999*",'Accounting data'!$I$2:$I$37000,"9*",'Accounting data'!$J$2:$J$37000,"26*",'Accounting data'!$K$2:$K$37000,"64*")</f>
        <v>0</v>
      </c>
    </row>
    <row r="408" spans="1:5" x14ac:dyDescent="0.25">
      <c r="A408" s="523" t="s">
        <v>992</v>
      </c>
      <c r="B408" s="521" t="s">
        <v>993</v>
      </c>
      <c r="C408" s="521">
        <v>2600</v>
      </c>
      <c r="D408" s="521">
        <v>6500</v>
      </c>
      <c r="E408" s="522">
        <f>SUMIFS('Accounting data'!$G$2:$G$37000,'Accounting data'!$H$2:$H$37000,"9999*",'Accounting data'!$I$2:$I$37000,"7*",'Accounting data'!$J$2:$J$37000,"26*",'Accounting data'!$K$2:$K$37000,"65*")+SUMIFS('Accounting data'!$G$2:$G$37000,'Accounting data'!$H$2:$H$37000,"9999*",'Accounting data'!$I$2:$I$37000,"8*",'Accounting data'!$J$2:$J$37000,"26*",'Accounting data'!$K$2:$K$37000,"65*")+SUMIFS('Accounting data'!$G$2:$G$37000,'Accounting data'!$H$2:$H$37000,"9999*",'Accounting data'!$I$2:$I$37000,"9*",'Accounting data'!$J$2:$J$37000,"26*",'Accounting data'!$K$2:$K$37000,"65*")</f>
        <v>0</v>
      </c>
    </row>
    <row r="427" spans="1:5" x14ac:dyDescent="0.25">
      <c r="A427" s="524" t="s">
        <v>1031</v>
      </c>
      <c r="B427" s="524"/>
      <c r="C427" s="524"/>
      <c r="D427" s="524"/>
      <c r="E427" s="526">
        <f>((E401-E402-E403-E404-E405)+(E406+E407+E408+E409+E410+E411+E412+E413+E414))-((E415-E416-E417)+(E418+E419+E420))-((E421-E422-E423)+(E424+E425+E426))</f>
        <v>262784</v>
      </c>
    </row>
    <row r="428" spans="1:5" x14ac:dyDescent="0.25">
      <c r="A428" s="521" t="s">
        <v>991</v>
      </c>
      <c r="B428" s="521" t="s">
        <v>991</v>
      </c>
      <c r="C428" s="521">
        <v>2700</v>
      </c>
      <c r="D428" s="530" t="s">
        <v>1023</v>
      </c>
      <c r="E428" s="522">
        <f>SUMIFS('Accounting data'!$G$2:$G$37000,'Accounting data'!$J$2:$J$37000,"27*",'Accounting data'!$K$2:$K$37000,"63*")+SUMIFS('Accounting data'!$G$2:$G$37000,'Accounting data'!$J$2:$J$37000,"27*",'Accounting data'!$K$2:$K$37000,"64*")+SUMIFS('Accounting data'!$G$2:$G$37000,'Accounting data'!$J$2:$J$37000,"27*",'Accounting data'!$K$2:$K$37000,"65*")</f>
        <v>0</v>
      </c>
    </row>
    <row r="429" spans="1:5" x14ac:dyDescent="0.25">
      <c r="A429" s="521" t="s">
        <v>992</v>
      </c>
      <c r="B429" s="521" t="s">
        <v>991</v>
      </c>
      <c r="C429" s="521">
        <v>2700</v>
      </c>
      <c r="D429" s="521">
        <v>6300</v>
      </c>
      <c r="E429" s="522">
        <f>SUMIFS('Accounting data'!$G$2:$G$37000,'Accounting data'!$H$2:$H$37000,"9999*",'Accounting data'!$J$2:$J$37000,"27*",'Accounting data'!$K$2:$K$37000,"63*")</f>
        <v>0</v>
      </c>
    </row>
    <row r="430" spans="1:5" x14ac:dyDescent="0.25">
      <c r="A430" s="521" t="s">
        <v>992</v>
      </c>
      <c r="B430" s="521" t="s">
        <v>991</v>
      </c>
      <c r="C430" s="521">
        <v>2700</v>
      </c>
      <c r="D430" s="521">
        <v>6400</v>
      </c>
      <c r="E430" s="522">
        <f>SUMIFS('Accounting data'!$G$2:$G$37000,'Accounting data'!$H$2:$H$37000,"9999*",'Accounting data'!$J$2:$J$37000,"27*",'Accounting data'!$K$2:$K$37000,"64*")</f>
        <v>0</v>
      </c>
    </row>
    <row r="431" spans="1:5" x14ac:dyDescent="0.25">
      <c r="A431" s="521" t="s">
        <v>992</v>
      </c>
      <c r="B431" s="521" t="s">
        <v>991</v>
      </c>
      <c r="C431" s="521">
        <v>2700</v>
      </c>
      <c r="D431" s="521">
        <v>6500</v>
      </c>
      <c r="E431" s="522">
        <f>SUMIFS('Accounting data'!$G$2:$G$37000,'Accounting data'!$H$2:$H$37000,"9999*",'Accounting data'!$J$2:$J$37000,"27*",'Accounting data'!$K$2:$K$37000,"65*")</f>
        <v>0</v>
      </c>
    </row>
    <row r="432" spans="1:5" x14ac:dyDescent="0.25">
      <c r="A432" s="521" t="s">
        <v>991</v>
      </c>
      <c r="B432" s="521" t="s">
        <v>993</v>
      </c>
      <c r="C432" s="521">
        <v>2700</v>
      </c>
      <c r="D432" s="530" t="s">
        <v>1023</v>
      </c>
      <c r="E432" s="522">
        <f>SUMIFS('Accounting data'!$G$2:$G$37000,'Accounting data'!$I$2:$I$37000,"7*",'Accounting data'!$J$2:$J$37000,"27*",'Accounting data'!$K$2:$K$37000,"63*")+SUMIFS('Accounting data'!$G$2:$G$37000,'Accounting data'!$I$2:$I$37000,"8*",'Accounting data'!$J$2:$J$37000,"27*",'Accounting data'!$K$2:$K$37000,"63*")+SUMIFS('Accounting data'!$G$2:$G$37000,'Accounting data'!$I$2:$I$37000,"9*",'Accounting data'!$J$2:$J$37000,"27*",'Accounting data'!$K$2:$K$37000,"63*")+SUMIFS('Accounting data'!$G$2:$G$37000,'Accounting data'!$I$2:$I$37000,"7*",'Accounting data'!$J$2:$J$37000,"27*",'Accounting data'!$K$2:$K$37000,"64*")+SUMIFS('Accounting data'!$G$2:$G$37000,'Accounting data'!$I$2:$I$37000,"8*",'Accounting data'!$J$2:$J$37000,"27*",'Accounting data'!$K$2:$K$37000,"64*")+SUMIFS('Accounting data'!$G$2:$G$37000,'Accounting data'!$I$2:$I$37000,"9*",'Accounting data'!$J$2:$J$37000,"27*",'Accounting data'!$K$2:$K$37000,"64*")+SUMIFS('Accounting data'!$G$2:$G$37000,'Accounting data'!$I$2:$I$37000,"7*",'Accounting data'!$J$2:$J$37000,"27*",'Accounting data'!$K$2:$K$37000,"65*")+SUMIFS('Accounting data'!$G$2:$G$37000,'Accounting data'!$I$2:$I$37000,"8*",'Accounting data'!$J$2:$J$37000,"27*",'Accounting data'!$K$2:$K$37000,"65*")+SUMIFS('Accounting data'!$G$2:$G$37000,'Accounting data'!$I$2:$I$37000,"9*",'Accounting data'!$J$2:$J$37000,"27*",'Accounting data'!$K$2:$K$37000,"65*")</f>
        <v>0</v>
      </c>
    </row>
    <row r="433" spans="1:5" x14ac:dyDescent="0.25">
      <c r="A433" s="523" t="s">
        <v>992</v>
      </c>
      <c r="B433" s="521" t="s">
        <v>993</v>
      </c>
      <c r="C433" s="521">
        <v>2700</v>
      </c>
      <c r="D433" s="521">
        <v>6300</v>
      </c>
      <c r="E433" s="522">
        <f>SUMIFS('Accounting data'!$G$2:$G$37000,'Accounting data'!$H$2:$H$37000,"9999*",'Accounting data'!$I$2:$I$37000,"7*",'Accounting data'!$J$2:$J$37000,"27*",'Accounting data'!$K$2:$K$37000,"63*")+SUMIFS('Accounting data'!$G$2:$G$37000,'Accounting data'!$H$2:$H$37000,"9999*",'Accounting data'!$I$2:$I$37000,"8*",'Accounting data'!$J$2:$J$37000,"27*",'Accounting data'!$K$2:$K$37000,"63*")+SUMIFS('Accounting data'!$G$2:$G$37000,'Accounting data'!$H$2:$H$37000,"9999*",'Accounting data'!$I$2:$I$37000,"9*",'Accounting data'!$J$2:$J$37000,"27*",'Accounting data'!$K$2:$K$37000,"63*")</f>
        <v>0</v>
      </c>
    </row>
    <row r="434" spans="1:5" x14ac:dyDescent="0.25">
      <c r="A434" s="523" t="s">
        <v>992</v>
      </c>
      <c r="B434" s="521" t="s">
        <v>993</v>
      </c>
      <c r="C434" s="521">
        <v>2700</v>
      </c>
      <c r="D434" s="521">
        <v>6400</v>
      </c>
      <c r="E434" s="522">
        <f>SUMIFS('Accounting data'!$G$2:$G$37000,'Accounting data'!$H$2:$H$37000,"9999*",'Accounting data'!$I$2:$I$37000,"7*",'Accounting data'!$J$2:$J$37000,"27*",'Accounting data'!$K$2:$K$37000,"64*")+SUMIFS('Accounting data'!$G$2:$G$37000,'Accounting data'!$H$2:$H$37000,"9999*",'Accounting data'!$I$2:$I$37000,"8*",'Accounting data'!$J$2:$J$37000,"27*",'Accounting data'!$K$2:$K$37000,"64*")+SUMIFS('Accounting data'!$G$2:$G$37000,'Accounting data'!$H$2:$H$37000,"9999*",'Accounting data'!$I$2:$I$37000,"9*",'Accounting data'!$J$2:$J$37000,"27*",'Accounting data'!$K$2:$K$37000,"64*")</f>
        <v>0</v>
      </c>
    </row>
    <row r="435" spans="1:5" x14ac:dyDescent="0.25">
      <c r="A435" s="523" t="s">
        <v>992</v>
      </c>
      <c r="B435" s="521" t="s">
        <v>993</v>
      </c>
      <c r="C435" s="521">
        <v>2700</v>
      </c>
      <c r="D435" s="521">
        <v>6500</v>
      </c>
      <c r="E435" s="522">
        <f>SUMIFS('Accounting data'!$G$2:$G$37000,'Accounting data'!$H$2:$H$37000,"9999*",'Accounting data'!$I$2:$I$37000,"7*",'Accounting data'!$J$2:$J$37000,"27*",'Accounting data'!$K$2:$K$37000,"65*")+SUMIFS('Accounting data'!$G$2:$G$37000,'Accounting data'!$H$2:$H$37000,"9999*",'Accounting data'!$I$2:$I$37000,"8*",'Accounting data'!$J$2:$J$37000,"27*",'Accounting data'!$K$2:$K$37000,"65*")+SUMIFS('Accounting data'!$G$2:$G$37000,'Accounting data'!$H$2:$H$37000,"9999*",'Accounting data'!$I$2:$I$37000,"9*",'Accounting data'!$J$2:$J$37000,"27*",'Accounting data'!$K$2:$K$37000,"65*")</f>
        <v>0</v>
      </c>
    </row>
    <row r="454" spans="1:5" x14ac:dyDescent="0.25">
      <c r="A454" s="524" t="s">
        <v>1032</v>
      </c>
      <c r="B454" s="524"/>
      <c r="C454" s="524"/>
      <c r="D454" s="524"/>
      <c r="E454" s="526">
        <f>((E428-E429-E430-E431-E432)+(E433+E434+E435+E436+E437+E438+E439+E440+E441))-((E442-E443-E444)+(E445+E446+E447))-((E448-E449-E450)+(E451+E452+E453))</f>
        <v>0</v>
      </c>
    </row>
    <row r="455" spans="1:5" x14ac:dyDescent="0.25">
      <c r="A455" s="521" t="s">
        <v>991</v>
      </c>
      <c r="B455" s="521" t="s">
        <v>991</v>
      </c>
      <c r="C455" s="521">
        <v>3100</v>
      </c>
      <c r="D455" s="530" t="s">
        <v>1023</v>
      </c>
      <c r="E455" s="522">
        <f>SUMIFS('Accounting data'!$G$2:$G$37000,'Accounting data'!$J$2:$J$37000,"31*",'Accounting data'!$K$2:$K$37000,"63*")+SUMIFS('Accounting data'!$G$2:$G$37000,'Accounting data'!$J$2:$J$37000,"31*",'Accounting data'!$K$2:$K$37000,"64*")+SUMIFS('Accounting data'!$G$2:$G$37000,'Accounting data'!$J$2:$J$37000,"31*",'Accounting data'!$K$2:$K$37000,"65*")</f>
        <v>0</v>
      </c>
    </row>
    <row r="456" spans="1:5" x14ac:dyDescent="0.25">
      <c r="A456" s="521" t="s">
        <v>992</v>
      </c>
      <c r="B456" s="521" t="s">
        <v>991</v>
      </c>
      <c r="C456" s="521">
        <v>3100</v>
      </c>
      <c r="D456" s="521">
        <v>6300</v>
      </c>
      <c r="E456" s="522">
        <f>SUMIFS('Accounting data'!$G$2:$G$37000,'Accounting data'!$H$2:$H$37000,"9999*",'Accounting data'!$J$2:$J$37000,"31*",'Accounting data'!$K$2:$K$37000,"63*")</f>
        <v>0</v>
      </c>
    </row>
    <row r="457" spans="1:5" x14ac:dyDescent="0.25">
      <c r="A457" s="521" t="s">
        <v>992</v>
      </c>
      <c r="B457" s="521" t="s">
        <v>991</v>
      </c>
      <c r="C457" s="521">
        <v>3100</v>
      </c>
      <c r="D457" s="521">
        <v>6400</v>
      </c>
      <c r="E457" s="522">
        <f>SUMIFS('Accounting data'!$G$2:$G$37000,'Accounting data'!$H$2:$H$37000,"9999*",'Accounting data'!$J$2:$J$37000,"31*",'Accounting data'!$K$2:$K$37000,"64*")</f>
        <v>0</v>
      </c>
    </row>
    <row r="458" spans="1:5" x14ac:dyDescent="0.25">
      <c r="A458" s="521" t="s">
        <v>992</v>
      </c>
      <c r="B458" s="521" t="s">
        <v>991</v>
      </c>
      <c r="C458" s="521">
        <v>3100</v>
      </c>
      <c r="D458" s="521">
        <v>6500</v>
      </c>
      <c r="E458" s="522">
        <f>SUMIFS('Accounting data'!$G$2:$G$37000,'Accounting data'!$H$2:$H$37000,"9999*",'Accounting data'!$J$2:$J$37000,"31*",'Accounting data'!$K$2:$K$37000,"65*")</f>
        <v>0</v>
      </c>
    </row>
    <row r="459" spans="1:5" x14ac:dyDescent="0.25">
      <c r="A459" s="521" t="s">
        <v>991</v>
      </c>
      <c r="B459" s="521" t="s">
        <v>993</v>
      </c>
      <c r="C459" s="521">
        <v>3100</v>
      </c>
      <c r="D459" s="530" t="s">
        <v>1023</v>
      </c>
      <c r="E459" s="522">
        <f>SUMIFS('Accounting data'!$G$2:$G$37000,'Accounting data'!$I$2:$I$37000,"7*",'Accounting data'!$J$2:$J$37000,"31*",'Accounting data'!$K$2:$K$37000,"63*")+SUMIFS('Accounting data'!$G$2:$G$37000,'Accounting data'!$I$2:$I$37000,"8*",'Accounting data'!$J$2:$J$37000,"31*",'Accounting data'!$K$2:$K$37000,"63*")+SUMIFS('Accounting data'!$G$2:$G$37000,'Accounting data'!$I$2:$I$37000,"9*",'Accounting data'!$J$2:$J$37000,"31*",'Accounting data'!$K$2:$K$37000,"63*")+SUMIFS('Accounting data'!$G$2:$G$37000,'Accounting data'!$I$2:$I$37000,"7*",'Accounting data'!$J$2:$J$37000,"31*",'Accounting data'!$K$2:$K$37000,"64*")+SUMIFS('Accounting data'!$G$2:$G$37000,'Accounting data'!$I$2:$I$37000,"8*",'Accounting data'!$J$2:$J$37000,"31*",'Accounting data'!$K$2:$K$37000,"64*")+SUMIFS('Accounting data'!$G$2:$G$37000,'Accounting data'!$I$2:$I$37000,"9*",'Accounting data'!$J$2:$J$37000,"31*",'Accounting data'!$K$2:$K$37000,"64*")+SUMIFS('Accounting data'!$G$2:$G$37000,'Accounting data'!$I$2:$I$37000,"7*",'Accounting data'!$J$2:$J$37000,"31*",'Accounting data'!$K$2:$K$37000,"65*")+SUMIFS('Accounting data'!$G$2:$G$37000,'Accounting data'!$I$2:$I$37000,"8*",'Accounting data'!$J$2:$J$37000,"31*",'Accounting data'!$K$2:$K$37000,"65*")+SUMIFS('Accounting data'!$G$2:$G$37000,'Accounting data'!$I$2:$I$37000,"9*",'Accounting data'!$J$2:$J$37000,"31*",'Accounting data'!$K$2:$K$37000,"65*")</f>
        <v>0</v>
      </c>
    </row>
    <row r="460" spans="1:5" x14ac:dyDescent="0.25">
      <c r="A460" s="523" t="s">
        <v>992</v>
      </c>
      <c r="B460" s="521" t="s">
        <v>993</v>
      </c>
      <c r="C460" s="521">
        <v>3100</v>
      </c>
      <c r="D460" s="521">
        <v>6300</v>
      </c>
      <c r="E460" s="522">
        <f>SUMIFS('Accounting data'!$G$2:$G$37000,'Accounting data'!$H$2:$H$37000,"9999*",'Accounting data'!$I$2:$I$37000,"7*",'Accounting data'!$J$2:$J$37000,"31*",'Accounting data'!$K$2:$K$37000,"63*")+SUMIFS('Accounting data'!$G$2:$G$37000,'Accounting data'!$H$2:$H$37000,"9999*",'Accounting data'!$I$2:$I$37000,"8*",'Accounting data'!$J$2:$J$37000,"31*",'Accounting data'!$K$2:$K$37000,"63*")+SUMIFS('Accounting data'!$G$2:$G$37000,'Accounting data'!$H$2:$H$37000,"9999*",'Accounting data'!$I$2:$I$37000,"9*",'Accounting data'!$J$2:$J$37000,"31*",'Accounting data'!$K$2:$K$37000,"63*")</f>
        <v>0</v>
      </c>
    </row>
    <row r="461" spans="1:5" x14ac:dyDescent="0.25">
      <c r="A461" s="523" t="s">
        <v>992</v>
      </c>
      <c r="B461" s="521" t="s">
        <v>993</v>
      </c>
      <c r="C461" s="521">
        <v>3100</v>
      </c>
      <c r="D461" s="521">
        <v>6400</v>
      </c>
      <c r="E461" s="522">
        <f>SUMIFS('Accounting data'!$G$2:$G$37000,'Accounting data'!$H$2:$H$37000,"9999*",'Accounting data'!$I$2:$I$37000,"7*",'Accounting data'!$J$2:$J$37000,"31*",'Accounting data'!$K$2:$K$37000,"64*")+SUMIFS('Accounting data'!$G$2:$G$37000,'Accounting data'!$H$2:$H$37000,"9999*",'Accounting data'!$I$2:$I$37000,"8*",'Accounting data'!$J$2:$J$37000,"31*",'Accounting data'!$K$2:$K$37000,"64*")+SUMIFS('Accounting data'!$G$2:$G$37000,'Accounting data'!$H$2:$H$37000,"9999*",'Accounting data'!$I$2:$I$37000,"9*",'Accounting data'!$J$2:$J$37000,"31*",'Accounting data'!$K$2:$K$37000,"64*")</f>
        <v>0</v>
      </c>
    </row>
    <row r="462" spans="1:5" x14ac:dyDescent="0.25">
      <c r="A462" s="523" t="s">
        <v>992</v>
      </c>
      <c r="B462" s="521" t="s">
        <v>993</v>
      </c>
      <c r="C462" s="521">
        <v>3100</v>
      </c>
      <c r="D462" s="521">
        <v>6500</v>
      </c>
      <c r="E462" s="522">
        <f>SUMIFS('Accounting data'!$G$2:$G$37000,'Accounting data'!$H$2:$H$37000,"9999*",'Accounting data'!$I$2:$I$37000,"7*",'Accounting data'!$J$2:$J$37000,"31*",'Accounting data'!$K$2:$K$37000,"65*")+SUMIFS('Accounting data'!$G$2:$G$37000,'Accounting data'!$H$2:$H$37000,"9999*",'Accounting data'!$I$2:$I$37000,"8*",'Accounting data'!$J$2:$J$37000,"31*",'Accounting data'!$K$2:$K$37000,"65*")+SUMIFS('Accounting data'!$G$2:$G$37000,'Accounting data'!$H$2:$H$37000,"9999*",'Accounting data'!$I$2:$I$37000,"9*",'Accounting data'!$J$2:$J$37000,"31*",'Accounting data'!$K$2:$K$37000,"65*")</f>
        <v>0</v>
      </c>
    </row>
    <row r="481" spans="1:5" x14ac:dyDescent="0.25">
      <c r="A481" s="524" t="s">
        <v>1033</v>
      </c>
      <c r="B481" s="524"/>
      <c r="C481" s="524"/>
      <c r="D481" s="524"/>
      <c r="E481" s="526">
        <f>((E455-E456-E457-E458-E459)+(E460+E461+E462+E463+E464+E465+E466+E467+E468))-((E469-E470-E471)+(E472+E473+E474))-((E475-E476-E477)+(E478+E479+E480))</f>
        <v>0</v>
      </c>
    </row>
    <row r="509" spans="1:5" x14ac:dyDescent="0.25">
      <c r="A509" s="521" t="s">
        <v>991</v>
      </c>
      <c r="B509" s="521" t="s">
        <v>991</v>
      </c>
      <c r="C509" s="521">
        <v>3400</v>
      </c>
      <c r="D509" s="530" t="s">
        <v>1023</v>
      </c>
      <c r="E509" s="522">
        <f>SUMIFS('Accounting data'!$G$2:$G$37000,'Accounting data'!$J$2:$J$37000,"34*",'Accounting data'!$K$2:$K$37000,"63*")+SUMIFS('Accounting data'!$G$2:$G$37000,'Accounting data'!$J$2:$J$37000,"34*",'Accounting data'!$K$2:$K$37000,"64*")+SUMIFS('Accounting data'!$G$2:$G$37000,'Accounting data'!$J$2:$J$37000,"34*",'Accounting data'!$K$2:$K$37000,"65*")</f>
        <v>0</v>
      </c>
    </row>
    <row r="510" spans="1:5" x14ac:dyDescent="0.25">
      <c r="A510" s="521" t="s">
        <v>992</v>
      </c>
      <c r="B510" s="521" t="s">
        <v>991</v>
      </c>
      <c r="C510" s="521">
        <v>3400</v>
      </c>
      <c r="D510" s="521">
        <v>6300</v>
      </c>
      <c r="E510" s="522">
        <f>SUMIFS('Accounting data'!$G$2:$G$37000,'Accounting data'!$H$2:$H$37000,"9999*",'Accounting data'!$J$2:$J$37000,"34*",'Accounting data'!$K$2:$K$37000,"63*")</f>
        <v>0</v>
      </c>
    </row>
    <row r="511" spans="1:5" x14ac:dyDescent="0.25">
      <c r="A511" s="521" t="s">
        <v>992</v>
      </c>
      <c r="B511" s="521" t="s">
        <v>991</v>
      </c>
      <c r="C511" s="521">
        <v>3400</v>
      </c>
      <c r="D511" s="521">
        <v>6400</v>
      </c>
      <c r="E511" s="522">
        <f>SUMIFS('Accounting data'!$G$2:$G$37000,'Accounting data'!$H$2:$H$37000,"9999*",'Accounting data'!$J$2:$J$37000,"34*",'Accounting data'!$K$2:$K$37000,"64*")</f>
        <v>0</v>
      </c>
    </row>
    <row r="512" spans="1:5" x14ac:dyDescent="0.25">
      <c r="A512" s="521" t="s">
        <v>992</v>
      </c>
      <c r="B512" s="521" t="s">
        <v>991</v>
      </c>
      <c r="C512" s="521">
        <v>3400</v>
      </c>
      <c r="D512" s="521">
        <v>6500</v>
      </c>
      <c r="E512" s="522">
        <f>SUMIFS('Accounting data'!$G$2:$G$37000,'Accounting data'!$H$2:$H$37000,"9999*",'Accounting data'!$J$2:$J$37000,"34*",'Accounting data'!$K$2:$K$37000,"65*")</f>
        <v>0</v>
      </c>
    </row>
    <row r="513" spans="1:5" x14ac:dyDescent="0.25">
      <c r="A513" s="521" t="s">
        <v>991</v>
      </c>
      <c r="B513" s="521" t="s">
        <v>993</v>
      </c>
      <c r="C513" s="521">
        <v>3400</v>
      </c>
      <c r="D513" s="530" t="s">
        <v>1023</v>
      </c>
      <c r="E513" s="522">
        <f>SUMIFS('Accounting data'!$G$2:$G$37000,'Accounting data'!$I$2:$I$37000,"7*",'Accounting data'!$J$2:$J$37000,"34*",'Accounting data'!$K$2:$K$37000,"63*")+SUMIFS('Accounting data'!$G$2:$G$37000,'Accounting data'!$I$2:$I$37000,"8*",'Accounting data'!$J$2:$J$37000,"34*",'Accounting data'!$K$2:$K$37000,"63*")+SUMIFS('Accounting data'!$G$2:$G$37000,'Accounting data'!$I$2:$I$37000,"9*",'Accounting data'!$J$2:$J$37000,"34*",'Accounting data'!$K$2:$K$37000,"63*")+SUMIFS('Accounting data'!$G$2:$G$37000,'Accounting data'!$I$2:$I$37000,"7*",'Accounting data'!$J$2:$J$37000,"34*",'Accounting data'!$K$2:$K$37000,"64*")+SUMIFS('Accounting data'!$G$2:$G$37000,'Accounting data'!$I$2:$I$37000,"8*",'Accounting data'!$J$2:$J$37000,"34*",'Accounting data'!$K$2:$K$37000,"64*")+SUMIFS('Accounting data'!$G$2:$G$37000,'Accounting data'!$I$2:$I$37000,"9*",'Accounting data'!$J$2:$J$37000,"34*",'Accounting data'!$K$2:$K$37000,"64*")+SUMIFS('Accounting data'!$G$2:$G$37000,'Accounting data'!$I$2:$I$37000,"7*",'Accounting data'!$J$2:$J$37000,"34*",'Accounting data'!$K$2:$K$37000,"65*")+SUMIFS('Accounting data'!$G$2:$G$37000,'Accounting data'!$I$2:$I$37000,"8*",'Accounting data'!$J$2:$J$37000,"34*",'Accounting data'!$K$2:$K$37000,"65*")+SUMIFS('Accounting data'!$G$2:$G$37000,'Accounting data'!$I$2:$I$37000,"9*",'Accounting data'!$J$2:$J$37000,"34*",'Accounting data'!$K$2:$K$37000,"65*")</f>
        <v>0</v>
      </c>
    </row>
    <row r="514" spans="1:5" x14ac:dyDescent="0.25">
      <c r="A514" s="523" t="s">
        <v>992</v>
      </c>
      <c r="B514" s="521" t="s">
        <v>993</v>
      </c>
      <c r="C514" s="521">
        <v>3400</v>
      </c>
      <c r="D514" s="521">
        <v>6300</v>
      </c>
      <c r="E514" s="522">
        <f>SUMIFS('Accounting data'!$G$2:$G$37000,'Accounting data'!$H$2:$H$37000,"9999*",'Accounting data'!$I$2:$I$37000,"7*",'Accounting data'!$J$2:$J$37000,"34*",'Accounting data'!$K$2:$K$37000,"63*")+SUMIFS('Accounting data'!$G$2:$G$37000,'Accounting data'!$H$2:$H$37000,"9999*",'Accounting data'!$I$2:$I$37000,"8*",'Accounting data'!$J$2:$J$37000,"34*",'Accounting data'!$K$2:$K$37000,"63*")+SUMIFS('Accounting data'!$G$2:$G$37000,'Accounting data'!$H$2:$H$37000,"9999*",'Accounting data'!$I$2:$I$37000,"9*",'Accounting data'!$J$2:$J$37000,"34*",'Accounting data'!$K$2:$K$37000,"63*")</f>
        <v>0</v>
      </c>
    </row>
    <row r="515" spans="1:5" x14ac:dyDescent="0.25">
      <c r="A515" s="523" t="s">
        <v>992</v>
      </c>
      <c r="B515" s="521" t="s">
        <v>993</v>
      </c>
      <c r="C515" s="521">
        <v>3400</v>
      </c>
      <c r="D515" s="521">
        <v>6400</v>
      </c>
      <c r="E515" s="522">
        <f>SUMIFS('Accounting data'!$G$2:$G$37000,'Accounting data'!$H$2:$H$37000,"9999*",'Accounting data'!$I$2:$I$37000,"7*",'Accounting data'!$J$2:$J$37000,"34*",'Accounting data'!$K$2:$K$37000,"64*")+SUMIFS('Accounting data'!$G$2:$G$37000,'Accounting data'!$H$2:$H$37000,"9999*",'Accounting data'!$I$2:$I$37000,"8*",'Accounting data'!$J$2:$J$37000,"34*",'Accounting data'!$K$2:$K$37000,"64*")+SUMIFS('Accounting data'!$G$2:$G$37000,'Accounting data'!$H$2:$H$37000,"9999*",'Accounting data'!$I$2:$I$37000,"9*",'Accounting data'!$J$2:$J$37000,"34*",'Accounting data'!$K$2:$K$37000,"64*")</f>
        <v>0</v>
      </c>
    </row>
    <row r="516" spans="1:5" x14ac:dyDescent="0.25">
      <c r="A516" s="523" t="s">
        <v>992</v>
      </c>
      <c r="B516" s="521" t="s">
        <v>993</v>
      </c>
      <c r="C516" s="521">
        <v>3400</v>
      </c>
      <c r="D516" s="521">
        <v>6500</v>
      </c>
      <c r="E516" s="522">
        <f>SUMIFS('Accounting data'!$G$2:$G$37000,'Accounting data'!$H$2:$H$37000,"9999*",'Accounting data'!$I$2:$I$37000,"7*",'Accounting data'!$J$2:$J$37000,"34*",'Accounting data'!$K$2:$K$37000,"65*")+SUMIFS('Accounting data'!$G$2:$G$37000,'Accounting data'!$H$2:$H$37000,"9999*",'Accounting data'!$I$2:$I$37000,"8*",'Accounting data'!$J$2:$J$37000,"34*",'Accounting data'!$K$2:$K$37000,"65*")+SUMIFS('Accounting data'!$G$2:$G$37000,'Accounting data'!$H$2:$H$37000,"9999*",'Accounting data'!$I$2:$I$37000,"9*",'Accounting data'!$J$2:$J$37000,"34*",'Accounting data'!$K$2:$K$37000,"65*")</f>
        <v>0</v>
      </c>
    </row>
    <row r="535" spans="1:5" x14ac:dyDescent="0.25">
      <c r="A535" s="524" t="s">
        <v>1034</v>
      </c>
      <c r="B535" s="524"/>
      <c r="C535" s="524"/>
      <c r="D535" s="524"/>
      <c r="E535" s="526">
        <f>((E509-E510-E511-E512-E513)+(E514+E515+E516+E517+E518+E519+E520+E521+E522))-((E523-E524-E525)+(E526+E527+E528))-((E529-E530-E531)+(E532+E533+E534))</f>
        <v>0</v>
      </c>
    </row>
    <row r="536" spans="1:5" x14ac:dyDescent="0.25">
      <c r="A536" s="521" t="s">
        <v>991</v>
      </c>
      <c r="B536" s="521" t="s">
        <v>991</v>
      </c>
      <c r="C536" s="521">
        <v>4000</v>
      </c>
      <c r="D536" s="530" t="s">
        <v>1023</v>
      </c>
      <c r="E536" s="522">
        <f>SUMIFS('Accounting data'!$G$2:$G$37000,'Accounting data'!$J$2:$J$37000,"4*",'Accounting data'!$K$2:$K$37000,"63*")+SUMIFS('Accounting data'!$G$2:$G$37000,'Accounting data'!$J$2:$J$37000,"4*",'Accounting data'!$K$2:$K$37000,"64*")+SUMIFS('Accounting data'!$G$2:$G$37000,'Accounting data'!$J$2:$J$37000,"4*",'Accounting data'!$K$2:$K$37000,"65*")</f>
        <v>0</v>
      </c>
    </row>
    <row r="537" spans="1:5" x14ac:dyDescent="0.25">
      <c r="A537" s="521" t="s">
        <v>992</v>
      </c>
      <c r="B537" s="521" t="s">
        <v>991</v>
      </c>
      <c r="C537" s="521">
        <v>4000</v>
      </c>
      <c r="D537" s="521">
        <v>6300</v>
      </c>
      <c r="E537" s="522">
        <f>SUMIFS('Accounting data'!$G$2:$G$37000,'Accounting data'!$H$2:$H$37000,"9999*",'Accounting data'!$J$2:$J$37000,"4*",'Accounting data'!$K$2:$K$37000,"63*")</f>
        <v>0</v>
      </c>
    </row>
    <row r="538" spans="1:5" x14ac:dyDescent="0.25">
      <c r="A538" s="521" t="s">
        <v>992</v>
      </c>
      <c r="B538" s="521" t="s">
        <v>991</v>
      </c>
      <c r="C538" s="521">
        <v>4000</v>
      </c>
      <c r="D538" s="521">
        <v>6400</v>
      </c>
      <c r="E538" s="522">
        <f>SUMIFS('Accounting data'!$G$2:$G$37000,'Accounting data'!$H$2:$H$37000,"9999*",'Accounting data'!$J$2:$J$37000,"4*",'Accounting data'!$K$2:$K$37000,"64*")</f>
        <v>0</v>
      </c>
    </row>
    <row r="539" spans="1:5" x14ac:dyDescent="0.25">
      <c r="A539" s="521" t="s">
        <v>992</v>
      </c>
      <c r="B539" s="521" t="s">
        <v>991</v>
      </c>
      <c r="C539" s="521">
        <v>4000</v>
      </c>
      <c r="D539" s="521">
        <v>6500</v>
      </c>
      <c r="E539" s="522">
        <f>SUMIFS('Accounting data'!$G$2:$G$37000,'Accounting data'!$H$2:$H$37000,"9999*",'Accounting data'!$J$2:$J$37000,"4*",'Accounting data'!$K$2:$K$37000,"65*")</f>
        <v>0</v>
      </c>
    </row>
    <row r="540" spans="1:5" x14ac:dyDescent="0.25">
      <c r="A540" s="521" t="s">
        <v>991</v>
      </c>
      <c r="B540" s="521" t="s">
        <v>993</v>
      </c>
      <c r="C540" s="521">
        <v>4000</v>
      </c>
      <c r="D540" s="530" t="s">
        <v>1023</v>
      </c>
      <c r="E540" s="522">
        <f>SUMIFS('Accounting data'!$G$2:$G$37000,'Accounting data'!$I$2:$I$37000,"7*",'Accounting data'!$J$2:$J$37000,"4*",'Accounting data'!$K$2:$K$37000,"63*")+SUMIFS('Accounting data'!$G$2:$G$37000,'Accounting data'!$I$2:$I$37000,"8*",'Accounting data'!$J$2:$J$37000,"4*",'Accounting data'!$K$2:$K$37000,"63*")+SUMIFS('Accounting data'!$G$2:$G$37000,'Accounting data'!$I$2:$I$37000,"9*",'Accounting data'!$J$2:$J$37000,"4*",'Accounting data'!$K$2:$K$37000,"63*")+SUMIFS('Accounting data'!$G$2:$G$37000,'Accounting data'!$I$2:$I$37000,"7*",'Accounting data'!$J$2:$J$37000,"4*",'Accounting data'!$K$2:$K$37000,"64*")+SUMIFS('Accounting data'!$G$2:$G$37000,'Accounting data'!$I$2:$I$37000,"8*",'Accounting data'!$J$2:$J$37000,"4*",'Accounting data'!$K$2:$K$37000,"64*")+SUMIFS('Accounting data'!$G$2:$G$37000,'Accounting data'!$I$2:$I$37000,"9*",'Accounting data'!$J$2:$J$37000,"4*",'Accounting data'!$K$2:$K$37000,"64*")+SUMIFS('Accounting data'!$G$2:$G$37000,'Accounting data'!$I$2:$I$37000,"7*",'Accounting data'!$J$2:$J$37000,"4*",'Accounting data'!$K$2:$K$37000,"65*")+SUMIFS('Accounting data'!$G$2:$G$37000,'Accounting data'!$I$2:$I$37000,"8*",'Accounting data'!$J$2:$J$37000,"4*",'Accounting data'!$K$2:$K$37000,"65*")+SUMIFS('Accounting data'!$G$2:$G$37000,'Accounting data'!$I$2:$I$37000,"9*",'Accounting data'!$J$2:$J$37000,"4*",'Accounting data'!$K$2:$K$37000,"65*")</f>
        <v>0</v>
      </c>
    </row>
    <row r="541" spans="1:5" x14ac:dyDescent="0.25">
      <c r="A541" s="523" t="s">
        <v>992</v>
      </c>
      <c r="B541" s="521" t="s">
        <v>993</v>
      </c>
      <c r="C541" s="521">
        <v>4000</v>
      </c>
      <c r="D541" s="521">
        <v>6300</v>
      </c>
      <c r="E541" s="522">
        <f>SUMIFS('Accounting data'!$G$2:$G$37000,'Accounting data'!$H$2:$H$37000,"9999*",'Accounting data'!$I$2:$I$37000,"7*",'Accounting data'!$J$2:$J$37000,"4*",'Accounting data'!$K$2:$K$37000,"63*")+SUMIFS('Accounting data'!$G$2:$G$37000,'Accounting data'!$H$2:$H$37000,"9999*",'Accounting data'!$I$2:$I$37000,"8*",'Accounting data'!$J$2:$J$37000,"4*",'Accounting data'!$K$2:$K$37000,"63*")+SUMIFS('Accounting data'!$G$2:$G$37000,'Accounting data'!$H$2:$H$37000,"9999*",'Accounting data'!$I$2:$I$37000,"9*",'Accounting data'!$J$2:$J$37000,"4*",'Accounting data'!$K$2:$K$37000,"63*")</f>
        <v>0</v>
      </c>
    </row>
    <row r="542" spans="1:5" x14ac:dyDescent="0.25">
      <c r="A542" s="523" t="s">
        <v>992</v>
      </c>
      <c r="B542" s="521" t="s">
        <v>993</v>
      </c>
      <c r="C542" s="521">
        <v>4000</v>
      </c>
      <c r="D542" s="521">
        <v>6400</v>
      </c>
      <c r="E542" s="522">
        <f>SUMIFS('Accounting data'!$G$2:$G$37000,'Accounting data'!$H$2:$H$37000,"9999*",'Accounting data'!$I$2:$I$37000,"7*",'Accounting data'!$J$2:$J$37000,"4*",'Accounting data'!$K$2:$K$37000,"64*")+SUMIFS('Accounting data'!$G$2:$G$37000,'Accounting data'!$H$2:$H$37000,"9999*",'Accounting data'!$I$2:$I$37000,"8*",'Accounting data'!$J$2:$J$37000,"4*",'Accounting data'!$K$2:$K$37000,"64*")+SUMIFS('Accounting data'!$G$2:$G$37000,'Accounting data'!$H$2:$H$37000,"9999*",'Accounting data'!$I$2:$I$37000,"9*",'Accounting data'!$J$2:$J$37000,"4*",'Accounting data'!$K$2:$K$37000,"64*")</f>
        <v>0</v>
      </c>
    </row>
    <row r="543" spans="1:5" x14ac:dyDescent="0.25">
      <c r="A543" s="523" t="s">
        <v>992</v>
      </c>
      <c r="B543" s="521" t="s">
        <v>993</v>
      </c>
      <c r="C543" s="521">
        <v>4000</v>
      </c>
      <c r="D543" s="521">
        <v>6500</v>
      </c>
      <c r="E543" s="522">
        <f>SUMIFS('Accounting data'!$G$2:$G$37000,'Accounting data'!$H$2:$H$37000,"9999*",'Accounting data'!$I$2:$I$37000,"7*",'Accounting data'!$J$2:$J$37000,"4*",'Accounting data'!$K$2:$K$37000,"65*")+SUMIFS('Accounting data'!$G$2:$G$37000,'Accounting data'!$H$2:$H$37000,"9999*",'Accounting data'!$I$2:$I$37000,"8*",'Accounting data'!$J$2:$J$37000,"4*",'Accounting data'!$K$2:$K$37000,"65*")+SUMIFS('Accounting data'!$G$2:$G$37000,'Accounting data'!$H$2:$H$37000,"9999*",'Accounting data'!$I$2:$I$37000,"9*",'Accounting data'!$J$2:$J$37000,"4*",'Accounting data'!$K$2:$K$37000,"65*")</f>
        <v>0</v>
      </c>
    </row>
    <row r="562" spans="1:5" x14ac:dyDescent="0.25">
      <c r="A562" s="524" t="s">
        <v>1035</v>
      </c>
      <c r="B562" s="524"/>
      <c r="C562" s="524"/>
      <c r="D562" s="524"/>
      <c r="E562" s="526">
        <f>((E536-E537-E538-E539-E540)+(E541+E542+E543+E544+E545+E546+E547+E548+E549))-((E550-E551-E552)+(E553+E554+E555))-((E556-E557-E558)+(E559+E560+E561))</f>
        <v>0</v>
      </c>
    </row>
    <row r="563" spans="1:5" x14ac:dyDescent="0.25">
      <c r="A563" s="527" t="s">
        <v>1036</v>
      </c>
      <c r="B563" s="527"/>
      <c r="C563" s="527"/>
      <c r="D563" s="527"/>
      <c r="E563" s="531">
        <f>E238+E265+E292+E319+E346+E373+E400+E427+E454+E481+E508+E535</f>
        <v>522452</v>
      </c>
    </row>
    <row r="564" spans="1:5" ht="14.4" x14ac:dyDescent="0.3">
      <c r="A564" s="521" t="s">
        <v>1007</v>
      </c>
      <c r="B564" s="521" t="s">
        <v>991</v>
      </c>
      <c r="C564" s="521">
        <v>1000</v>
      </c>
      <c r="D564" s="521">
        <v>6300</v>
      </c>
      <c r="E564" s="529">
        <f>SUMIFS('Accounting data'!$G$2:$G$37000,'Accounting data'!$H$2:$H$37000,"11*",'Accounting data'!$J$2:$J$37000,"1*",'Accounting data'!$K$2:$K$37000,"63*")+SUMIFS('Accounting data'!$G$2:$G$37000,'Accounting data'!$H$2:$H$37000,"12*",'Accounting data'!$J$2:$J$37000,"1*",'Accounting data'!$K$2:$K$37000,"63*")+SUMIFS('Accounting data'!$G$2:$G$37000,'Accounting data'!$H$2:$H$37000,"13*",'Accounting data'!$J$2:$J$37000,"1*",'Accounting data'!$K$2:$K$37000,"63*")</f>
        <v>0</v>
      </c>
    </row>
    <row r="565" spans="1:5" ht="14.4" x14ac:dyDescent="0.3">
      <c r="A565" s="521" t="s">
        <v>1007</v>
      </c>
      <c r="B565" s="521" t="s">
        <v>991</v>
      </c>
      <c r="C565" s="521">
        <v>2000</v>
      </c>
      <c r="D565" s="521">
        <v>6300</v>
      </c>
      <c r="E565" s="529">
        <f>SUMIFS('Accounting data'!$G$2:$G$37000,'Accounting data'!$H$2:$H$37000,"11*",'Accounting data'!$J$2:$J$37000,"2*",'Accounting data'!$K$2:$K$37000,"63*")+SUMIFS('Accounting data'!$G$2:$G$37000,'Accounting data'!$H$2:$H$37000,"12*",'Accounting data'!$J$2:$J$37000,"2*",'Accounting data'!$K$2:$K$37000,"63*")+SUMIFS('Accounting data'!$G$2:$G$37000,'Accounting data'!$H$2:$H$37000,"13*",'Accounting data'!$J$2:$J$37000,"2*",'Accounting data'!$K$2:$K$37000,"63*")</f>
        <v>17159</v>
      </c>
    </row>
    <row r="566" spans="1:5" ht="14.4" x14ac:dyDescent="0.3">
      <c r="A566" s="521" t="s">
        <v>1007</v>
      </c>
      <c r="B566" s="521" t="s">
        <v>991</v>
      </c>
      <c r="C566" s="521">
        <v>3000</v>
      </c>
      <c r="D566" s="521">
        <v>6300</v>
      </c>
      <c r="E566" s="529">
        <f>SUMIFS('Accounting data'!$G$2:$G$37000,'Accounting data'!$H$2:$H$37000,"11*",'Accounting data'!$J$2:$J$37000,"3*",'Accounting data'!$K$2:$K$37000,"63*")+SUMIFS('Accounting data'!$G$2:$G$37000,'Accounting data'!$H$2:$H$37000,"12*",'Accounting data'!$J$2:$J$37000,"3*",'Accounting data'!$K$2:$K$37000,"63*")+SUMIFS('Accounting data'!$G$2:$G$37000,'Accounting data'!$H$2:$H$37000,"13*",'Accounting data'!$J$2:$J$37000,"3*",'Accounting data'!$K$2:$K$37000,"63*")</f>
        <v>0</v>
      </c>
    </row>
    <row r="567" spans="1:5" ht="14.4" x14ac:dyDescent="0.3">
      <c r="A567" s="521" t="s">
        <v>1007</v>
      </c>
      <c r="B567" s="523">
        <v>700</v>
      </c>
      <c r="C567" s="521">
        <v>1000</v>
      </c>
      <c r="D567" s="521">
        <v>6300</v>
      </c>
      <c r="E567" s="529">
        <f>SUMIFS('Accounting data'!$G$2:$G$37000,'Accounting data'!$H$2:$H$37000,"11*",'Accounting data'!$I$2:$I$37000,"7*",'Accounting data'!$J$2:$J$37000,"1*",'Accounting data'!$K$2:$K$37000,"63*")+SUMIFS('Accounting data'!$G$2:$G$37000,'Accounting data'!$H$2:$H$37000,"12*",'Accounting data'!$I$2:$I$37000,"7*",'Accounting data'!$J$2:$J$37000,"1*",'Accounting data'!$K$2:$K$37000,"63*")+SUMIFS('Accounting data'!$G$2:$G$37000,'Accounting data'!$H$2:$H$37000,"13*",'Accounting data'!$I$2:$I$37000,"7*",'Accounting data'!$J$2:$J$37000,"1*",'Accounting data'!$K$2:$K$37000,"63*")</f>
        <v>0</v>
      </c>
    </row>
    <row r="568" spans="1:5" ht="14.4" x14ac:dyDescent="0.3">
      <c r="A568" s="521" t="s">
        <v>1007</v>
      </c>
      <c r="B568" s="523">
        <v>800</v>
      </c>
      <c r="C568" s="521">
        <v>1000</v>
      </c>
      <c r="D568" s="521">
        <v>6300</v>
      </c>
      <c r="E568" s="529">
        <f>SUMIFS('Accounting data'!$G$2:$G$37000,'Accounting data'!$H$2:$H$37000,"11*",'Accounting data'!$I$2:$I$37000,"8*",'Accounting data'!$J$2:$J$37000,"1*",'Accounting data'!$K$2:$K$37000,"63*")+SUMIFS('Accounting data'!$G$2:$G$37000,'Accounting data'!$H$2:$H$37000,"12*",'Accounting data'!$I$2:$I$37000,"8*",'Accounting data'!$J$2:$J$37000,"1*",'Accounting data'!$K$2:$K$37000,"63*")+SUMIFS('Accounting data'!$G$2:$G$37000,'Accounting data'!$H$2:$H$37000,"13*",'Accounting data'!$I$2:$I$37000,"8*",'Accounting data'!$J$2:$J$37000,"1*",'Accounting data'!$K$2:$K$37000,"63*")</f>
        <v>0</v>
      </c>
    </row>
    <row r="569" spans="1:5" ht="14.4" x14ac:dyDescent="0.3">
      <c r="A569" s="521" t="s">
        <v>1007</v>
      </c>
      <c r="B569" s="523">
        <v>900</v>
      </c>
      <c r="C569" s="521">
        <v>1000</v>
      </c>
      <c r="D569" s="521">
        <v>6300</v>
      </c>
      <c r="E569" s="529">
        <f>SUMIFS('Accounting data'!$G$2:$G$37000,'Accounting data'!$H$2:$H$37000,"11*",'Accounting data'!$I$2:$I$37000,"9*",'Accounting data'!$J$2:$J$37000,"1*",'Accounting data'!$K$2:$K$37000,"63*")+SUMIFS('Accounting data'!$G$2:$G$37000,'Accounting data'!$H$2:$H$37000,"12*",'Accounting data'!$I$2:$I$37000,"9*",'Accounting data'!$J$2:$J$37000,"1*",'Accounting data'!$K$2:$K$37000,"63*")+SUMIFS('Accounting data'!$G$2:$G$37000,'Accounting data'!$H$2:$H$37000,"13*",'Accounting data'!$I$2:$I$37000,"9*",'Accounting data'!$J$2:$J$37000,"1*",'Accounting data'!$K$2:$K$37000,"63*")</f>
        <v>0</v>
      </c>
    </row>
    <row r="570" spans="1:5" x14ac:dyDescent="0.25">
      <c r="A570" s="521" t="s">
        <v>1007</v>
      </c>
      <c r="B570" s="523">
        <v>700</v>
      </c>
      <c r="C570" s="521">
        <v>2000</v>
      </c>
      <c r="D570" s="521">
        <v>6300</v>
      </c>
      <c r="E570" s="522">
        <f>SUMIFS('Accounting data'!$G$2:$G$37000,'Accounting data'!$H$2:$H$37000,"11*",'Accounting data'!$I$2:$I$37000,"7*",'Accounting data'!$J$2:$J$37000,"2*",'Accounting data'!$K$2:$K$37000,"63*")+SUMIFS('Accounting data'!$G$2:$G$37000,'Accounting data'!$H$2:$H$37000,"12*",'Accounting data'!$I$2:$I$37000,"7*",'Accounting data'!$J$2:$J$37000,"2*",'Accounting data'!$K$2:$K$37000,"63*")+SUMIFS('Accounting data'!$G$2:$G$37000,'Accounting data'!$H$2:$H$37000,"13*",'Accounting data'!$I$2:$I$37000,"7*",'Accounting data'!$J$2:$J$37000,"2*",'Accounting data'!$K$2:$K$37000,"63*")</f>
        <v>0</v>
      </c>
    </row>
    <row r="571" spans="1:5" x14ac:dyDescent="0.25">
      <c r="A571" s="521" t="s">
        <v>1007</v>
      </c>
      <c r="B571" s="523">
        <v>800</v>
      </c>
      <c r="C571" s="521">
        <v>2000</v>
      </c>
      <c r="D571" s="521">
        <v>6300</v>
      </c>
      <c r="E571" s="522">
        <f>SUMIFS('Accounting data'!$G$2:$G$37000,'Accounting data'!$H$2:$H$37000,"11*",'Accounting data'!$I$2:$I$37000,"8*",'Accounting data'!$J$2:$J$37000,"2*",'Accounting data'!$K$2:$K$37000,"63*")+SUMIFS('Accounting data'!$G$2:$G$37000,'Accounting data'!$H$2:$H$37000,"12*",'Accounting data'!$I$2:$I$37000,"8*",'Accounting data'!$J$2:$J$37000,"2*",'Accounting data'!$K$2:$K$37000,"63*")+SUMIFS('Accounting data'!$G$2:$G$37000,'Accounting data'!$H$2:$H$37000,"13*",'Accounting data'!$I$2:$I$37000,"8*",'Accounting data'!$J$2:$J$37000,"2*",'Accounting data'!$K$2:$K$37000,"63*")</f>
        <v>0</v>
      </c>
    </row>
    <row r="572" spans="1:5" x14ac:dyDescent="0.25">
      <c r="A572" s="521" t="s">
        <v>1007</v>
      </c>
      <c r="B572" s="523">
        <v>900</v>
      </c>
      <c r="C572" s="521">
        <v>2000</v>
      </c>
      <c r="D572" s="521">
        <v>6300</v>
      </c>
      <c r="E572" s="522">
        <f>SUMIFS('Accounting data'!$G$2:$G$37000,'Accounting data'!$H$2:$H$37000,"11*",'Accounting data'!$I$2:$I$37000,"9*",'Accounting data'!$J$2:$J$37000,"2*",'Accounting data'!$K$2:$K$37000,"63*")+SUMIFS('Accounting data'!$G$2:$G$37000,'Accounting data'!$H$2:$H$37000,"12*",'Accounting data'!$I$2:$I$37000,"9*",'Accounting data'!$J$2:$J$37000,"2*",'Accounting data'!$K$2:$K$37000,"63*")+SUMIFS('Accounting data'!$G$2:$G$37000,'Accounting data'!$H$2:$H$37000,"13*",'Accounting data'!$I$2:$I$37000,"9*",'Accounting data'!$J$2:$J$37000,"2*",'Accounting data'!$K$2:$K$37000,"63*")</f>
        <v>0</v>
      </c>
    </row>
    <row r="573" spans="1:5" x14ac:dyDescent="0.25">
      <c r="A573" s="521" t="s">
        <v>1007</v>
      </c>
      <c r="B573" s="523">
        <v>700</v>
      </c>
      <c r="C573" s="521">
        <v>3000</v>
      </c>
      <c r="D573" s="521">
        <v>6300</v>
      </c>
      <c r="E573" s="522">
        <f>SUMIFS('Accounting data'!$G$2:$G$37000,'Accounting data'!$H$2:$H$37000,"11*",'Accounting data'!$I$2:$I$37000,"7*",'Accounting data'!$J$2:$J$37000,"3*",'Accounting data'!$K$2:$K$37000,"63*")+SUMIFS('Accounting data'!$G$2:$G$37000,'Accounting data'!$H$2:$H$37000,"12*",'Accounting data'!$I$2:$I$37000,"7*",'Accounting data'!$J$2:$J$37000,"3*",'Accounting data'!$K$2:$K$37000,"63*")+SUMIFS('Accounting data'!$G$2:$G$37000,'Accounting data'!$H$2:$H$37000,"13*",'Accounting data'!$I$2:$I$37000,"7*",'Accounting data'!$J$2:$J$37000,"3*",'Accounting data'!$K$2:$K$37000,"63*")</f>
        <v>0</v>
      </c>
    </row>
    <row r="574" spans="1:5" x14ac:dyDescent="0.25">
      <c r="A574" s="521" t="s">
        <v>1007</v>
      </c>
      <c r="B574" s="523">
        <v>800</v>
      </c>
      <c r="C574" s="521">
        <v>3000</v>
      </c>
      <c r="D574" s="521">
        <v>6300</v>
      </c>
      <c r="E574" s="522">
        <f>SUMIFS('Accounting data'!$G$2:$G$37000,'Accounting data'!$H$2:$H$37000,"11*",'Accounting data'!$I$2:$I$37000,"8*",'Accounting data'!$J$2:$J$37000,"3*",'Accounting data'!$K$2:$K$37000,"63*")+SUMIFS('Accounting data'!$G$2:$G$37000,'Accounting data'!$H$2:$H$37000,"12*",'Accounting data'!$I$2:$I$37000,"8*",'Accounting data'!$J$2:$J$37000,"3*",'Accounting data'!$K$2:$K$37000,"63*")+SUMIFS('Accounting data'!$G$2:$G$37000,'Accounting data'!$H$2:$H$37000,"13*",'Accounting data'!$I$2:$I$37000,"8*",'Accounting data'!$J$2:$J$37000,"3*",'Accounting data'!$K$2:$K$37000,"63*")</f>
        <v>0</v>
      </c>
    </row>
    <row r="575" spans="1:5" x14ac:dyDescent="0.25">
      <c r="A575" s="521" t="s">
        <v>1007</v>
      </c>
      <c r="B575" s="523">
        <v>900</v>
      </c>
      <c r="C575" s="521">
        <v>3000</v>
      </c>
      <c r="D575" s="521">
        <v>6300</v>
      </c>
      <c r="E575" s="522">
        <f>SUMIFS('Accounting data'!$G$2:$G$37000,'Accounting data'!$H$2:$H$37000,"11*",'Accounting data'!$I$2:$I$37000,"9*",'Accounting data'!$J$2:$J$37000,"3*",'Accounting data'!$K$2:$K$37000,"63*")+SUMIFS('Accounting data'!$G$2:$G$37000,'Accounting data'!$H$2:$H$37000,"12*",'Accounting data'!$I$2:$I$37000,"9*",'Accounting data'!$J$2:$J$37000,"3*",'Accounting data'!$K$2:$K$37000,"63*")+SUMIFS('Accounting data'!$G$2:$G$37000,'Accounting data'!$H$2:$H$37000,"13*",'Accounting data'!$I$2:$I$37000,"9*",'Accounting data'!$J$2:$J$37000,"3*",'Accounting data'!$K$2:$K$37000,"63*")</f>
        <v>0</v>
      </c>
    </row>
    <row r="576" spans="1:5" x14ac:dyDescent="0.25">
      <c r="A576" s="524" t="s">
        <v>1037</v>
      </c>
      <c r="B576" s="524"/>
      <c r="C576" s="524"/>
      <c r="D576" s="524"/>
      <c r="E576" s="526">
        <f>(E564+E565+E566)-(E567+E568+E569+E570+E571+E572+E573+E574+E575)</f>
        <v>17159</v>
      </c>
    </row>
    <row r="577" spans="1:5" x14ac:dyDescent="0.25">
      <c r="A577" s="521" t="s">
        <v>1007</v>
      </c>
      <c r="B577" s="521" t="s">
        <v>991</v>
      </c>
      <c r="C577" s="521">
        <v>1000</v>
      </c>
      <c r="D577" s="521">
        <v>6400</v>
      </c>
      <c r="E577" s="522">
        <f>SUMIFS('Accounting data'!$G$2:$G$37000,'Accounting data'!$H$2:$H$37000,"11*",'Accounting data'!$J$2:$J$37000,"1*",'Accounting data'!$K$2:$K$37000,"64*")+SUMIFS('Accounting data'!$G$2:$G$37000,'Accounting data'!$H$2:$H$37000,"12*",'Accounting data'!$J$2:$J$37000,"1*",'Accounting data'!$K$2:$K$37000,"64*")+SUMIFS('Accounting data'!$G$2:$G$37000,'Accounting data'!$H$2:$H$37000,"13*",'Accounting data'!$J$2:$J$37000,"1*",'Accounting data'!$K$2:$K$37000,"64*")</f>
        <v>0</v>
      </c>
    </row>
    <row r="578" spans="1:5" x14ac:dyDescent="0.25">
      <c r="A578" s="521" t="s">
        <v>1007</v>
      </c>
      <c r="B578" s="521" t="s">
        <v>991</v>
      </c>
      <c r="C578" s="521">
        <v>2000</v>
      </c>
      <c r="D578" s="521">
        <v>6400</v>
      </c>
      <c r="E578" s="522">
        <f>SUMIFS('Accounting data'!$G$2:$G$37000,'Accounting data'!$H$2:$H$37000,"11*",'Accounting data'!$J$2:$J$37000,"2*",'Accounting data'!$K$2:$K$37000,"64*")+SUMIFS('Accounting data'!$G$2:$G$37000,'Accounting data'!$H$2:$H$37000,"12*",'Accounting data'!$J$2:$J$37000,"2*",'Accounting data'!$K$2:$K$37000,"64*")+SUMIFS('Accounting data'!$G$2:$G$37000,'Accounting data'!$H$2:$H$37000,"13*",'Accounting data'!$J$2:$J$37000,"2*",'Accounting data'!$K$2:$K$37000,"64*")</f>
        <v>0</v>
      </c>
    </row>
    <row r="579" spans="1:5" x14ac:dyDescent="0.25">
      <c r="A579" s="521" t="s">
        <v>1007</v>
      </c>
      <c r="B579" s="521" t="s">
        <v>991</v>
      </c>
      <c r="C579" s="521">
        <v>3000</v>
      </c>
      <c r="D579" s="521">
        <v>6400</v>
      </c>
      <c r="E579" s="522">
        <f>SUMIFS('Accounting data'!$G$2:$G$37000,'Accounting data'!$H$2:$H$37000,"11*",'Accounting data'!$J$2:$J$37000,"3*",'Accounting data'!$K$2:$K$37000,"64*")+SUMIFS('Accounting data'!$G$2:$G$37000,'Accounting data'!$H$2:$H$37000,"12*",'Accounting data'!$J$2:$J$37000,"3*",'Accounting data'!$K$2:$K$37000,"64*")+SUMIFS('Accounting data'!$G$2:$G$37000,'Accounting data'!$H$2:$H$37000,"13*",'Accounting data'!$J$2:$J$37000,"3*",'Accounting data'!$K$2:$K$37000,"64*")</f>
        <v>0</v>
      </c>
    </row>
    <row r="580" spans="1:5" x14ac:dyDescent="0.25">
      <c r="A580" s="521" t="s">
        <v>1007</v>
      </c>
      <c r="B580" s="523">
        <v>700</v>
      </c>
      <c r="C580" s="521">
        <v>1000</v>
      </c>
      <c r="D580" s="521">
        <v>6400</v>
      </c>
      <c r="E580" s="522">
        <f>SUMIFS('Accounting data'!$G$2:$G$37000,'Accounting data'!$H$2:$H$37000,"11*",'Accounting data'!$I$2:$I$37000,"7*",'Accounting data'!$J$2:$J$37000,"1*",'Accounting data'!$K$2:$K$37000,"64*")+SUMIFS('Accounting data'!$G$2:$G$37000,'Accounting data'!$H$2:$H$37000,"12*",'Accounting data'!$I$2:$I$37000,"7*",'Accounting data'!$J$2:$J$37000,"1*",'Accounting data'!$K$2:$K$37000,"64*")+SUMIFS('Accounting data'!$G$2:$G$37000,'Accounting data'!$H$2:$H$37000,"13*",'Accounting data'!$I$2:$I$37000,"7*",'Accounting data'!$J$2:$J$37000,"1*",'Accounting data'!$K$2:$K$37000,"64*")</f>
        <v>0</v>
      </c>
    </row>
    <row r="581" spans="1:5" x14ac:dyDescent="0.25">
      <c r="A581" s="521" t="s">
        <v>1007</v>
      </c>
      <c r="B581" s="523">
        <v>800</v>
      </c>
      <c r="C581" s="521">
        <v>1000</v>
      </c>
      <c r="D581" s="521">
        <v>6400</v>
      </c>
      <c r="E581" s="522">
        <f>SUMIFS('Accounting data'!$G$2:$G$37000,'Accounting data'!$H$2:$H$37000,"11*",'Accounting data'!$I$2:$I$37000,"8*",'Accounting data'!$J$2:$J$37000,"1*",'Accounting data'!$K$2:$K$37000,"64*")+SUMIFS('Accounting data'!$G$2:$G$37000,'Accounting data'!$H$2:$H$37000,"12*",'Accounting data'!$I$2:$I$37000,"8*",'Accounting data'!$J$2:$J$37000,"1*",'Accounting data'!$K$2:$K$37000,"64*")+SUMIFS('Accounting data'!$G$2:$G$37000,'Accounting data'!$H$2:$H$37000,"13*",'Accounting data'!$I$2:$I$37000,"8*",'Accounting data'!$J$2:$J$37000,"1*",'Accounting data'!$K$2:$K$37000,"64*")</f>
        <v>0</v>
      </c>
    </row>
    <row r="582" spans="1:5" x14ac:dyDescent="0.25">
      <c r="A582" s="521" t="s">
        <v>1007</v>
      </c>
      <c r="B582" s="523">
        <v>900</v>
      </c>
      <c r="C582" s="521">
        <v>1000</v>
      </c>
      <c r="D582" s="521">
        <v>6400</v>
      </c>
      <c r="E582" s="522">
        <f>SUMIFS('Accounting data'!$G$2:$G$37000,'Accounting data'!$H$2:$H$37000,"11*",'Accounting data'!$I$2:$I$37000,"9*",'Accounting data'!$J$2:$J$37000,"1*",'Accounting data'!$K$2:$K$37000,"64*")+SUMIFS('Accounting data'!$G$2:$G$37000,'Accounting data'!$H$2:$H$37000,"12*",'Accounting data'!$I$2:$I$37000,"9*",'Accounting data'!$J$2:$J$37000,"1*",'Accounting data'!$K$2:$K$37000,"64*")+SUMIFS('Accounting data'!$G$2:$G$37000,'Accounting data'!$H$2:$H$37000,"13*",'Accounting data'!$I$2:$I$37000,"9*",'Accounting data'!$J$2:$J$37000,"1*",'Accounting data'!$K$2:$K$37000,"64*")</f>
        <v>0</v>
      </c>
    </row>
    <row r="583" spans="1:5" x14ac:dyDescent="0.25">
      <c r="A583" s="521" t="s">
        <v>1007</v>
      </c>
      <c r="B583" s="523">
        <v>700</v>
      </c>
      <c r="C583" s="521">
        <v>2000</v>
      </c>
      <c r="D583" s="521">
        <v>6400</v>
      </c>
      <c r="E583" s="522">
        <f>SUMIFS('Accounting data'!$G$2:$G$37000,'Accounting data'!$H$2:$H$37000,"11*",'Accounting data'!$I$2:$I$37000,"7*",'Accounting data'!$J$2:$J$37000,"2*",'Accounting data'!$K$2:$K$37000,"64*")+SUMIFS('Accounting data'!$G$2:$G$37000,'Accounting data'!$H$2:$H$37000,"12*",'Accounting data'!$I$2:$I$37000,"7*",'Accounting data'!$J$2:$J$37000,"2*",'Accounting data'!$K$2:$K$37000,"64*")+SUMIFS('Accounting data'!$G$2:$G$37000,'Accounting data'!$H$2:$H$37000,"13*",'Accounting data'!$I$2:$I$37000,"7*",'Accounting data'!$J$2:$J$37000,"2*",'Accounting data'!$K$2:$K$37000,"64*")</f>
        <v>0</v>
      </c>
    </row>
    <row r="584" spans="1:5" x14ac:dyDescent="0.25">
      <c r="A584" s="521" t="s">
        <v>1007</v>
      </c>
      <c r="B584" s="523">
        <v>800</v>
      </c>
      <c r="C584" s="521">
        <v>2000</v>
      </c>
      <c r="D584" s="521">
        <v>6400</v>
      </c>
      <c r="E584" s="522">
        <f>SUMIFS('Accounting data'!$G$2:$G$37000,'Accounting data'!$H$2:$H$37000,"11*",'Accounting data'!$I$2:$I$37000,"8*",'Accounting data'!$J$2:$J$37000,"2*",'Accounting data'!$K$2:$K$37000,"64*")+SUMIFS('Accounting data'!$G$2:$G$37000,'Accounting data'!$H$2:$H$37000,"12*",'Accounting data'!$I$2:$I$37000,"8*",'Accounting data'!$J$2:$J$37000,"2*",'Accounting data'!$K$2:$K$37000,"64*")+SUMIFS('Accounting data'!$G$2:$G$37000,'Accounting data'!$H$2:$H$37000,"13*",'Accounting data'!$I$2:$I$37000,"8*",'Accounting data'!$J$2:$J$37000,"2*",'Accounting data'!$K$2:$K$37000,"64*")</f>
        <v>0</v>
      </c>
    </row>
    <row r="585" spans="1:5" x14ac:dyDescent="0.25">
      <c r="A585" s="521" t="s">
        <v>1007</v>
      </c>
      <c r="B585" s="523">
        <v>900</v>
      </c>
      <c r="C585" s="521">
        <v>2000</v>
      </c>
      <c r="D585" s="521">
        <v>6400</v>
      </c>
      <c r="E585" s="522">
        <f>SUMIFS('Accounting data'!$G$2:$G$37000,'Accounting data'!$H$2:$H$37000,"11*",'Accounting data'!$I$2:$I$37000,"9*",'Accounting data'!$J$2:$J$37000,"2*",'Accounting data'!$K$2:$K$37000,"64*")+SUMIFS('Accounting data'!$G$2:$G$37000,'Accounting data'!$H$2:$H$37000,"12*",'Accounting data'!$I$2:$I$37000,"9*",'Accounting data'!$J$2:$J$37000,"2*",'Accounting data'!$K$2:$K$37000,"64*")+SUMIFS('Accounting data'!$G$2:$G$37000,'Accounting data'!$H$2:$H$37000,"13*",'Accounting data'!$I$2:$I$37000,"9*",'Accounting data'!$J$2:$J$37000,"2*",'Accounting data'!$K$2:$K$37000,"64*")</f>
        <v>0</v>
      </c>
    </row>
    <row r="586" spans="1:5" x14ac:dyDescent="0.25">
      <c r="A586" s="521" t="s">
        <v>1007</v>
      </c>
      <c r="B586" s="523">
        <v>700</v>
      </c>
      <c r="C586" s="521">
        <v>3000</v>
      </c>
      <c r="D586" s="521">
        <v>6400</v>
      </c>
      <c r="E586" s="522">
        <f>SUMIFS('Accounting data'!$G$2:$G$37000,'Accounting data'!$H$2:$H$37000,"11*",'Accounting data'!$I$2:$I$37000,"7*",'Accounting data'!$J$2:$J$37000,"3*",'Accounting data'!$K$2:$K$37000,"64*")+SUMIFS('Accounting data'!$G$2:$G$37000,'Accounting data'!$H$2:$H$37000,"12*",'Accounting data'!$I$2:$I$37000,"7*",'Accounting data'!$J$2:$J$37000,"3*",'Accounting data'!$K$2:$K$37000,"64*")+SUMIFS('Accounting data'!$G$2:$G$37000,'Accounting data'!$H$2:$H$37000,"13*",'Accounting data'!$I$2:$I$37000,"7*",'Accounting data'!$J$2:$J$37000,"3*",'Accounting data'!$K$2:$K$37000,"64*")</f>
        <v>0</v>
      </c>
    </row>
    <row r="587" spans="1:5" x14ac:dyDescent="0.25">
      <c r="A587" s="521" t="s">
        <v>1007</v>
      </c>
      <c r="B587" s="523">
        <v>800</v>
      </c>
      <c r="C587" s="521">
        <v>3000</v>
      </c>
      <c r="D587" s="521">
        <v>6400</v>
      </c>
      <c r="E587" s="522">
        <f>SUMIFS('Accounting data'!$G$2:$G$37000,'Accounting data'!$H$2:$H$37000,"11*",'Accounting data'!$I$2:$I$37000,"8*",'Accounting data'!$J$2:$J$37000,"3*",'Accounting data'!$K$2:$K$37000,"64*")+SUMIFS('Accounting data'!$G$2:$G$37000,'Accounting data'!$H$2:$H$37000,"12*",'Accounting data'!$I$2:$I$37000,"8*",'Accounting data'!$J$2:$J$37000,"3*",'Accounting data'!$K$2:$K$37000,"64*")+SUMIFS('Accounting data'!$G$2:$G$37000,'Accounting data'!$H$2:$H$37000,"13*",'Accounting data'!$I$2:$I$37000,"8*",'Accounting data'!$J$2:$J$37000,"3*",'Accounting data'!$K$2:$K$37000,"64*")</f>
        <v>0</v>
      </c>
    </row>
    <row r="588" spans="1:5" x14ac:dyDescent="0.25">
      <c r="A588" s="521" t="s">
        <v>1007</v>
      </c>
      <c r="B588" s="523">
        <v>900</v>
      </c>
      <c r="C588" s="521">
        <v>3000</v>
      </c>
      <c r="D588" s="521">
        <v>6400</v>
      </c>
      <c r="E588" s="522">
        <f>SUMIFS('Accounting data'!$G$2:$G$37000,'Accounting data'!$H$2:$H$37000,"11*",'Accounting data'!$I$2:$I$37000,"9*",'Accounting data'!$J$2:$J$37000,"3*",'Accounting data'!$K$2:$K$37000,"64*")+SUMIFS('Accounting data'!$G$2:$G$37000,'Accounting data'!$H$2:$H$37000,"12*",'Accounting data'!$I$2:$I$37000,"9*",'Accounting data'!$J$2:$J$37000,"3*",'Accounting data'!$K$2:$K$37000,"64*")+SUMIFS('Accounting data'!$G$2:$G$37000,'Accounting data'!$H$2:$H$37000,"13*",'Accounting data'!$I$2:$I$37000,"9*",'Accounting data'!$J$2:$J$37000,"3*",'Accounting data'!$K$2:$K$37000,"64*")</f>
        <v>0</v>
      </c>
    </row>
    <row r="589" spans="1:5" x14ac:dyDescent="0.25">
      <c r="A589" s="524" t="s">
        <v>1038</v>
      </c>
      <c r="B589" s="524"/>
      <c r="C589" s="524"/>
      <c r="D589" s="524"/>
      <c r="E589" s="526">
        <f>(E577+E578+E579)-(E580+E581+E582+E583+E584+E585+E586+E587+E588)</f>
        <v>0</v>
      </c>
    </row>
    <row r="590" spans="1:5" x14ac:dyDescent="0.25">
      <c r="A590" s="521" t="s">
        <v>1007</v>
      </c>
      <c r="B590" s="521" t="s">
        <v>991</v>
      </c>
      <c r="C590" s="521">
        <v>1000</v>
      </c>
      <c r="D590" s="521">
        <v>6500</v>
      </c>
      <c r="E590" s="522">
        <f>SUMIFS('Accounting data'!$G$2:$G$37000,'Accounting data'!$H$2:$H$37000,"11*",'Accounting data'!$J$2:$J$37000,"1*",'Accounting data'!$K$2:$K$37000,"65*")+SUMIFS('Accounting data'!$G$2:$G$37000,'Accounting data'!$H$2:$H$37000,"12*",'Accounting data'!$J$2:$J$37000,"1*",'Accounting data'!$K$2:$K$37000,"65*")+SUMIFS('Accounting data'!$G$2:$G$37000,'Accounting data'!$H$2:$H$37000,"13*",'Accounting data'!$J$2:$J$37000,"1*",'Accounting data'!$K$2:$K$37000,"65*")</f>
        <v>0</v>
      </c>
    </row>
    <row r="591" spans="1:5" x14ac:dyDescent="0.25">
      <c r="A591" s="521" t="s">
        <v>1007</v>
      </c>
      <c r="B591" s="521" t="s">
        <v>991</v>
      </c>
      <c r="C591" s="521">
        <v>2000</v>
      </c>
      <c r="D591" s="521">
        <v>6500</v>
      </c>
      <c r="E591" s="522">
        <f>SUMIFS('Accounting data'!$G$2:$G$37000,'Accounting data'!$H$2:$H$37000,"11*",'Accounting data'!$J$2:$J$37000,"2*",'Accounting data'!$K$2:$K$37000,"65*")+SUMIFS('Accounting data'!$G$2:$G$37000,'Accounting data'!$H$2:$H$37000,"12*",'Accounting data'!$J$2:$J$37000,"2*",'Accounting data'!$K$2:$K$37000,"65*")+SUMIFS('Accounting data'!$G$2:$G$37000,'Accounting data'!$H$2:$H$37000,"13*",'Accounting data'!$J$2:$J$37000,"2*",'Accounting data'!$K$2:$K$37000,"65*")</f>
        <v>0</v>
      </c>
    </row>
    <row r="592" spans="1:5" x14ac:dyDescent="0.25">
      <c r="A592" s="521" t="s">
        <v>1007</v>
      </c>
      <c r="B592" s="521" t="s">
        <v>991</v>
      </c>
      <c r="C592" s="521">
        <v>3000</v>
      </c>
      <c r="D592" s="521">
        <v>6500</v>
      </c>
      <c r="E592" s="522">
        <f>SUMIFS('Accounting data'!$G$2:$G$37000,'Accounting data'!$H$2:$H$37000,"11*",'Accounting data'!$J$2:$J$37000,"3*",'Accounting data'!$K$2:$K$37000,"65*")+SUMIFS('Accounting data'!$G$2:$G$37000,'Accounting data'!$H$2:$H$37000,"12*",'Accounting data'!$J$2:$J$37000,"3*",'Accounting data'!$K$2:$K$37000,"65*")+SUMIFS('Accounting data'!$G$2:$G$37000,'Accounting data'!$H$2:$H$37000,"13*",'Accounting data'!$J$2:$J$37000,"3*",'Accounting data'!$K$2:$K$37000,"65*")</f>
        <v>0</v>
      </c>
    </row>
    <row r="593" spans="1:5" x14ac:dyDescent="0.25">
      <c r="A593" s="521" t="s">
        <v>1007</v>
      </c>
      <c r="B593" s="523">
        <v>700</v>
      </c>
      <c r="C593" s="521">
        <v>1000</v>
      </c>
      <c r="D593" s="521">
        <v>6500</v>
      </c>
      <c r="E593" s="522">
        <f>SUMIFS('Accounting data'!$G$2:$G$37000,'Accounting data'!$H$2:$H$37000,"11*",'Accounting data'!$I$2:$I$37000,"7*",'Accounting data'!$J$2:$J$37000,"1*",'Accounting data'!$K$2:$K$37000,"65*")+SUMIFS('Accounting data'!$G$2:$G$37000,'Accounting data'!$H$2:$H$37000,"12*",'Accounting data'!$I$2:$I$37000,"7*",'Accounting data'!$J$2:$J$37000,"1*",'Accounting data'!$K$2:$K$37000,"65*")+SUMIFS('Accounting data'!$G$2:$G$37000,'Accounting data'!$H$2:$H$37000,"13*",'Accounting data'!$I$2:$I$37000,"7*",'Accounting data'!$J$2:$J$37000,"1*",'Accounting data'!$K$2:$K$37000,"65*")</f>
        <v>0</v>
      </c>
    </row>
    <row r="594" spans="1:5" x14ac:dyDescent="0.25">
      <c r="A594" s="521" t="s">
        <v>1007</v>
      </c>
      <c r="B594" s="523">
        <v>800</v>
      </c>
      <c r="C594" s="521">
        <v>1000</v>
      </c>
      <c r="D594" s="521">
        <v>6500</v>
      </c>
      <c r="E594" s="522">
        <f>SUMIFS('Accounting data'!$G$2:$G$37000,'Accounting data'!$H$2:$H$37000,"11*",'Accounting data'!$I$2:$I$37000,"8*",'Accounting data'!$J$2:$J$37000,"1*",'Accounting data'!$K$2:$K$37000,"65*")+SUMIFS('Accounting data'!$G$2:$G$37000,'Accounting data'!$H$2:$H$37000,"12*",'Accounting data'!$I$2:$I$37000,"8*",'Accounting data'!$J$2:$J$37000,"1*",'Accounting data'!$K$2:$K$37000,"65*")+SUMIFS('Accounting data'!$G$2:$G$37000,'Accounting data'!$H$2:$H$37000,"13*",'Accounting data'!$I$2:$I$37000,"8*",'Accounting data'!$J$2:$J$37000,"1*",'Accounting data'!$K$2:$K$37000,"65*")</f>
        <v>0</v>
      </c>
    </row>
    <row r="595" spans="1:5" x14ac:dyDescent="0.25">
      <c r="A595" s="521" t="s">
        <v>1007</v>
      </c>
      <c r="B595" s="523">
        <v>900</v>
      </c>
      <c r="C595" s="521">
        <v>1000</v>
      </c>
      <c r="D595" s="521">
        <v>6500</v>
      </c>
      <c r="E595" s="522">
        <f>SUMIFS('Accounting data'!$G$2:$G$37000,'Accounting data'!$H$2:$H$37000,"11*",'Accounting data'!$I$2:$I$37000,"9*",'Accounting data'!$J$2:$J$37000,"1*",'Accounting data'!$K$2:$K$37000,"65*")+SUMIFS('Accounting data'!$G$2:$G$37000,'Accounting data'!$H$2:$H$37000,"12*",'Accounting data'!$I$2:$I$37000,"9*",'Accounting data'!$J$2:$J$37000,"1*",'Accounting data'!$K$2:$K$37000,"65*")+SUMIFS('Accounting data'!$G$2:$G$37000,'Accounting data'!$H$2:$H$37000,"13*",'Accounting data'!$I$2:$I$37000,"9*",'Accounting data'!$J$2:$J$37000,"1*",'Accounting data'!$K$2:$K$37000,"65*")</f>
        <v>0</v>
      </c>
    </row>
    <row r="596" spans="1:5" x14ac:dyDescent="0.25">
      <c r="A596" s="521" t="s">
        <v>1007</v>
      </c>
      <c r="B596" s="523">
        <v>700</v>
      </c>
      <c r="C596" s="521">
        <v>2000</v>
      </c>
      <c r="D596" s="521">
        <v>6500</v>
      </c>
      <c r="E596" s="522">
        <f>SUMIFS('Accounting data'!$G$2:$G$37000,'Accounting data'!$H$2:$H$37000,"11*",'Accounting data'!$I$2:$I$37000,"7*",'Accounting data'!$J$2:$J$37000,"2*",'Accounting data'!$K$2:$K$37000,"65*")+SUMIFS('Accounting data'!$G$2:$G$37000,'Accounting data'!$H$2:$H$37000,"12*",'Accounting data'!$I$2:$I$37000,"7*",'Accounting data'!$J$2:$J$37000,"2*",'Accounting data'!$K$2:$K$37000,"65*")+SUMIFS('Accounting data'!$G$2:$G$37000,'Accounting data'!$H$2:$H$37000,"13*",'Accounting data'!$I$2:$I$37000,"7*",'Accounting data'!$J$2:$J$37000,"2*",'Accounting data'!$K$2:$K$37000,"65*")</f>
        <v>0</v>
      </c>
    </row>
    <row r="597" spans="1:5" x14ac:dyDescent="0.25">
      <c r="A597" s="521" t="s">
        <v>1007</v>
      </c>
      <c r="B597" s="523">
        <v>800</v>
      </c>
      <c r="C597" s="521">
        <v>2000</v>
      </c>
      <c r="D597" s="521">
        <v>6500</v>
      </c>
      <c r="E597" s="522">
        <f>SUMIFS('Accounting data'!$G$2:$G$37000,'Accounting data'!$H$2:$H$37000,"11*",'Accounting data'!$I$2:$I$37000,"8*",'Accounting data'!$J$2:$J$37000,"2*",'Accounting data'!$K$2:$K$37000,"65*")+SUMIFS('Accounting data'!$G$2:$G$37000,'Accounting data'!$H$2:$H$37000,"12*",'Accounting data'!$I$2:$I$37000,"8*",'Accounting data'!$J$2:$J$37000,"2*",'Accounting data'!$K$2:$K$37000,"65*")+SUMIFS('Accounting data'!$G$2:$G$37000,'Accounting data'!$H$2:$H$37000,"13*",'Accounting data'!$I$2:$I$37000,"8*",'Accounting data'!$J$2:$J$37000,"2*",'Accounting data'!$K$2:$K$37000,"65*")</f>
        <v>0</v>
      </c>
    </row>
    <row r="598" spans="1:5" x14ac:dyDescent="0.25">
      <c r="A598" s="521" t="s">
        <v>1007</v>
      </c>
      <c r="B598" s="523">
        <v>900</v>
      </c>
      <c r="C598" s="521">
        <v>2000</v>
      </c>
      <c r="D598" s="521">
        <v>6500</v>
      </c>
      <c r="E598" s="522">
        <f>SUMIFS('Accounting data'!$G$2:$G$37000,'Accounting data'!$H$2:$H$37000,"11*",'Accounting data'!$I$2:$I$37000,"9*",'Accounting data'!$J$2:$J$37000,"2*",'Accounting data'!$K$2:$K$37000,"65*")+SUMIFS('Accounting data'!$G$2:$G$37000,'Accounting data'!$H$2:$H$37000,"12*",'Accounting data'!$I$2:$I$37000,"9*",'Accounting data'!$J$2:$J$37000,"2*",'Accounting data'!$K$2:$K$37000,"65*")+SUMIFS('Accounting data'!$G$2:$G$37000,'Accounting data'!$H$2:$H$37000,"13*",'Accounting data'!$I$2:$I$37000,"9*",'Accounting data'!$J$2:$J$37000,"2*",'Accounting data'!$K$2:$K$37000,"65*")</f>
        <v>0</v>
      </c>
    </row>
    <row r="599" spans="1:5" x14ac:dyDescent="0.25">
      <c r="A599" s="521" t="s">
        <v>1007</v>
      </c>
      <c r="B599" s="523">
        <v>700</v>
      </c>
      <c r="C599" s="521">
        <v>3000</v>
      </c>
      <c r="D599" s="521">
        <v>6500</v>
      </c>
      <c r="E599" s="522">
        <f>SUMIFS('Accounting data'!$G$2:$G$37000,'Accounting data'!$H$2:$H$37000,"11*",'Accounting data'!$I$2:$I$37000,"7*",'Accounting data'!$J$2:$J$37000,"3*",'Accounting data'!$K$2:$K$37000,"65*")+SUMIFS('Accounting data'!$G$2:$G$37000,'Accounting data'!$H$2:$H$37000,"12*",'Accounting data'!$I$2:$I$37000,"7*",'Accounting data'!$J$2:$J$37000,"3*",'Accounting data'!$K$2:$K$37000,"65*")+SUMIFS('Accounting data'!$G$2:$G$37000,'Accounting data'!$H$2:$H$37000,"13*",'Accounting data'!$I$2:$I$37000,"7*",'Accounting data'!$J$2:$J$37000,"3*",'Accounting data'!$K$2:$K$37000,"65*")</f>
        <v>0</v>
      </c>
    </row>
    <row r="600" spans="1:5" x14ac:dyDescent="0.25">
      <c r="A600" s="521" t="s">
        <v>1007</v>
      </c>
      <c r="B600" s="523">
        <v>800</v>
      </c>
      <c r="C600" s="521">
        <v>3000</v>
      </c>
      <c r="D600" s="521">
        <v>6500</v>
      </c>
      <c r="E600" s="522">
        <f>SUMIFS('Accounting data'!$G$2:$G$37000,'Accounting data'!$H$2:$H$37000,"11*",'Accounting data'!$I$2:$I$37000,"8*",'Accounting data'!$J$2:$J$37000,"3*",'Accounting data'!$K$2:$K$37000,"65*")+SUMIFS('Accounting data'!$G$2:$G$37000,'Accounting data'!$H$2:$H$37000,"12*",'Accounting data'!$I$2:$I$37000,"8*",'Accounting data'!$J$2:$J$37000,"3*",'Accounting data'!$K$2:$K$37000,"65*")+SUMIFS('Accounting data'!$G$2:$G$37000,'Accounting data'!$H$2:$H$37000,"13*",'Accounting data'!$I$2:$I$37000,"8*",'Accounting data'!$J$2:$J$37000,"3*",'Accounting data'!$K$2:$K$37000,"65*")</f>
        <v>0</v>
      </c>
    </row>
    <row r="601" spans="1:5" x14ac:dyDescent="0.25">
      <c r="A601" s="521" t="s">
        <v>1007</v>
      </c>
      <c r="B601" s="523">
        <v>900</v>
      </c>
      <c r="C601" s="521">
        <v>3000</v>
      </c>
      <c r="D601" s="521">
        <v>6500</v>
      </c>
      <c r="E601" s="522">
        <f>SUMIFS('Accounting data'!$G$2:$G$37000,'Accounting data'!$H$2:$H$37000,"11*",'Accounting data'!$I$2:$I$37000,"9*",'Accounting data'!$J$2:$J$37000,"3*",'Accounting data'!$K$2:$K$37000,"65*")+SUMIFS('Accounting data'!$G$2:$G$37000,'Accounting data'!$H$2:$H$37000,"12*",'Accounting data'!$I$2:$I$37000,"9*",'Accounting data'!$J$2:$J$37000,"3*",'Accounting data'!$K$2:$K$37000,"65*")+SUMIFS('Accounting data'!$G$2:$G$37000,'Accounting data'!$H$2:$H$37000,"13*",'Accounting data'!$I$2:$I$37000,"9*",'Accounting data'!$J$2:$J$37000,"3*",'Accounting data'!$K$2:$K$37000,"65*")</f>
        <v>0</v>
      </c>
    </row>
    <row r="602" spans="1:5" x14ac:dyDescent="0.25">
      <c r="A602" s="524" t="s">
        <v>1039</v>
      </c>
      <c r="B602" s="524"/>
      <c r="C602" s="524"/>
      <c r="D602" s="524"/>
      <c r="E602" s="526">
        <f>(E590+E591+E592)-(E593+E594+E595+E596+E597+E598+E599+E600+E601)</f>
        <v>0</v>
      </c>
    </row>
    <row r="629" spans="1:5" x14ac:dyDescent="0.25">
      <c r="A629" s="527" t="s">
        <v>1040</v>
      </c>
      <c r="B629" s="527"/>
      <c r="C629" s="527"/>
      <c r="D629" s="527"/>
      <c r="E629" s="531">
        <f>(E576+E589+E602)-(E615+E628)</f>
        <v>17159</v>
      </c>
    </row>
    <row r="630" spans="1:5" x14ac:dyDescent="0.25">
      <c r="A630" s="521" t="s">
        <v>991</v>
      </c>
      <c r="B630" s="521" t="s">
        <v>991</v>
      </c>
      <c r="C630" s="521">
        <v>1000</v>
      </c>
      <c r="D630" s="521">
        <v>6600</v>
      </c>
      <c r="E630" s="522">
        <f>SUMIFS('Accounting data'!$G$2:$G$37000,'Accounting data'!$J$2:$J$37000,"1*",'Accounting data'!$K$2:$K$37000,"66*")</f>
        <v>49543</v>
      </c>
    </row>
    <row r="631" spans="1:5" x14ac:dyDescent="0.25">
      <c r="A631" s="521" t="s">
        <v>992</v>
      </c>
      <c r="B631" s="521" t="s">
        <v>991</v>
      </c>
      <c r="C631" s="521">
        <v>1000</v>
      </c>
      <c r="D631" s="521">
        <v>6600</v>
      </c>
      <c r="E631" s="522">
        <f>SUMIFS('Accounting data'!$G$2:$G$37000,'Accounting data'!$H$2:$H$37000,"9999*",'Accounting data'!$J$2:$J$37000,"1*",'Accounting data'!$K$2:$K$37000,"66*")</f>
        <v>0</v>
      </c>
    </row>
    <row r="632" spans="1:5" x14ac:dyDescent="0.25">
      <c r="A632" s="521" t="s">
        <v>991</v>
      </c>
      <c r="B632" s="521" t="s">
        <v>993</v>
      </c>
      <c r="C632" s="521">
        <v>1000</v>
      </c>
      <c r="D632" s="521">
        <v>6600</v>
      </c>
      <c r="E632" s="522">
        <f>SUMIFS('Accounting data'!$G$2:$G$37000,'Accounting data'!$I$2:$I$37000,"7*",'Accounting data'!$J$2:$J$37000,"1*",'Accounting data'!$K$2:$K$37000,"66*")+SUMIFS('Accounting data'!$G$2:$G$37000,'Accounting data'!$I$2:$I$37000,"8*",'Accounting data'!$J$2:$J$37000,"1*",'Accounting data'!$K$2:$K$37000,"66*")+SUMIFS('Accounting data'!$G$2:$G$37000,'Accounting data'!$I$2:$I$37000,"9*",'Accounting data'!$J$2:$J$37000,"1*",'Accounting data'!$K$2:$K$37000,"66*")</f>
        <v>0</v>
      </c>
    </row>
    <row r="633" spans="1:5" x14ac:dyDescent="0.25">
      <c r="A633" s="523" t="s">
        <v>992</v>
      </c>
      <c r="B633" s="521" t="s">
        <v>993</v>
      </c>
      <c r="C633" s="521">
        <v>1000</v>
      </c>
      <c r="D633" s="521">
        <v>6600</v>
      </c>
      <c r="E633" s="522">
        <f>SUMIFS('Accounting data'!$G$2:$G$37000,'Accounting data'!$H$2:$H$37000,"9999*",'Accounting data'!$I$2:$I$37000,"7*",'Accounting data'!$J$2:$J$37000,"1*",'Accounting data'!$K$2:$K$37000,"66*")+SUMIFS('Accounting data'!$G$2:$G$37000,'Accounting data'!$H$2:$H$37000,"9999*",'Accounting data'!$I$2:$I$37000,"8*",'Accounting data'!$J$2:$J$37000,"1*",'Accounting data'!$K$2:$K$37000,"66*")+SUMIFS('Accounting data'!$G$2:$G$37000,'Accounting data'!$H$2:$H$37000,"9999*",'Accounting data'!$I$2:$I$37000,"9*",'Accounting data'!$J$2:$J$37000,"1*",'Accounting data'!$K$2:$K$37000,"66*")</f>
        <v>0</v>
      </c>
    </row>
    <row r="634" spans="1:5" x14ac:dyDescent="0.25">
      <c r="A634" s="521"/>
      <c r="B634" s="521"/>
      <c r="C634" s="521"/>
      <c r="D634" s="521"/>
      <c r="E634" s="522"/>
    </row>
    <row r="635" spans="1:5" x14ac:dyDescent="0.25">
      <c r="A635" s="521"/>
      <c r="B635" s="521"/>
      <c r="C635" s="521"/>
      <c r="D635" s="521"/>
      <c r="E635" s="522"/>
    </row>
    <row r="636" spans="1:5" x14ac:dyDescent="0.25">
      <c r="A636" s="524" t="s">
        <v>1041</v>
      </c>
      <c r="B636" s="524"/>
      <c r="C636" s="524"/>
      <c r="D636" s="524"/>
      <c r="E636" s="526">
        <f>(E630-E631-E632)+(E633+E634+E635)</f>
        <v>49543</v>
      </c>
    </row>
    <row r="637" spans="1:5" x14ac:dyDescent="0.25">
      <c r="A637" s="521" t="s">
        <v>991</v>
      </c>
      <c r="B637" s="521" t="s">
        <v>991</v>
      </c>
      <c r="C637" s="521">
        <v>2100</v>
      </c>
      <c r="D637" s="521">
        <v>6600</v>
      </c>
      <c r="E637" s="522">
        <f>SUMIFS('Accounting data'!$G$2:$G$37000,'Accounting data'!$J$2:$J$37000,"21*",'Accounting data'!$K$2:$K$37000,"66*")</f>
        <v>12755</v>
      </c>
    </row>
    <row r="638" spans="1:5" x14ac:dyDescent="0.25">
      <c r="A638" s="521" t="s">
        <v>992</v>
      </c>
      <c r="B638" s="521" t="s">
        <v>991</v>
      </c>
      <c r="C638" s="521">
        <v>2100</v>
      </c>
      <c r="D638" s="521">
        <v>6600</v>
      </c>
      <c r="E638" s="522">
        <f>SUMIFS('Accounting data'!$G$2:$G$37000,'Accounting data'!$H$2:$H$37000,"9999*",'Accounting data'!$J$2:$J$37000,"21*",'Accounting data'!$K$2:$K$37000,"66*")</f>
        <v>0</v>
      </c>
    </row>
    <row r="639" spans="1:5" x14ac:dyDescent="0.25">
      <c r="A639" s="521" t="s">
        <v>991</v>
      </c>
      <c r="B639" s="521" t="s">
        <v>993</v>
      </c>
      <c r="C639" s="521">
        <v>2100</v>
      </c>
      <c r="D639" s="521">
        <v>6600</v>
      </c>
      <c r="E639" s="522">
        <f>SUMIFS('Accounting data'!$G$2:$G$37000,'Accounting data'!$I$2:$I$37000,"7*",'Accounting data'!$J$2:$J$37000,"21*",'Accounting data'!$K$2:$K$37000,"66*")+SUMIFS('Accounting data'!$G$2:$G$37000,'Accounting data'!$I$2:$I$37000,"8*",'Accounting data'!$J$2:$J$37000,"21*",'Accounting data'!$K$2:$K$37000,"66*")+SUMIFS('Accounting data'!$G$2:$G$37000,'Accounting data'!$I$2:$I$37000,"9*",'Accounting data'!$J$2:$J$37000,"21*",'Accounting data'!$K$2:$K$37000,"66*")</f>
        <v>0</v>
      </c>
    </row>
    <row r="640" spans="1:5" x14ac:dyDescent="0.25">
      <c r="A640" s="523" t="s">
        <v>992</v>
      </c>
      <c r="B640" s="521" t="s">
        <v>993</v>
      </c>
      <c r="C640" s="521">
        <v>2100</v>
      </c>
      <c r="D640" s="521">
        <v>6600</v>
      </c>
      <c r="E640" s="522">
        <f>SUMIFS('Accounting data'!$G$2:$G$37000,'Accounting data'!$H$2:$H$37000,"9999*",'Accounting data'!$I$2:$I$37000,"7*",'Accounting data'!$J$2:$J$37000,"21*",'Accounting data'!$K$2:$K$37000,"66*")+SUMIFS('Accounting data'!$G$2:$G$37000,'Accounting data'!$H$2:$H$37000,"9999*",'Accounting data'!$I$2:$I$37000,"8*",'Accounting data'!$J$2:$J$37000,"21*",'Accounting data'!$K$2:$K$37000,"66*")+SUMIFS('Accounting data'!$G$2:$G$37000,'Accounting data'!$H$2:$H$37000,"9999*",'Accounting data'!$I$2:$I$37000,"9*",'Accounting data'!$J$2:$J$37000,"21*",'Accounting data'!$K$2:$K$37000,"66*")</f>
        <v>0</v>
      </c>
    </row>
    <row r="643" spans="1:5" x14ac:dyDescent="0.25">
      <c r="A643" s="524" t="s">
        <v>1042</v>
      </c>
      <c r="B643" s="524"/>
      <c r="C643" s="524"/>
      <c r="D643" s="524"/>
      <c r="E643" s="526">
        <f>(E637-E638-E639)+(E640+E641+E642)</f>
        <v>12755</v>
      </c>
    </row>
    <row r="644" spans="1:5" x14ac:dyDescent="0.25">
      <c r="A644" s="521" t="s">
        <v>991</v>
      </c>
      <c r="B644" s="521" t="s">
        <v>991</v>
      </c>
      <c r="C644" s="521">
        <v>2200</v>
      </c>
      <c r="D644" s="521">
        <v>6600</v>
      </c>
      <c r="E644" s="522">
        <f>SUMIFS('Accounting data'!$G$2:$G$37000,'Accounting data'!$J$2:$J$37000,"22*",'Accounting data'!$K$2:$K$37000,"66*")</f>
        <v>3312</v>
      </c>
    </row>
    <row r="645" spans="1:5" x14ac:dyDescent="0.25">
      <c r="A645" s="521" t="s">
        <v>992</v>
      </c>
      <c r="B645" s="521" t="s">
        <v>991</v>
      </c>
      <c r="C645" s="521">
        <v>2200</v>
      </c>
      <c r="D645" s="521">
        <v>6600</v>
      </c>
      <c r="E645" s="522">
        <f>SUMIFS('Accounting data'!$G$2:$G$37000,'Accounting data'!$H$2:$H$37000,"9999*",'Accounting data'!$J$2:$J$37000,"22*",'Accounting data'!$K$2:$K$37000,"66*")</f>
        <v>0</v>
      </c>
    </row>
    <row r="646" spans="1:5" x14ac:dyDescent="0.25">
      <c r="A646" s="521" t="s">
        <v>991</v>
      </c>
      <c r="B646" s="521" t="s">
        <v>993</v>
      </c>
      <c r="C646" s="521">
        <v>2200</v>
      </c>
      <c r="D646" s="521">
        <v>6600</v>
      </c>
      <c r="E646" s="522">
        <f>SUMIFS('Accounting data'!$G$2:$G$37000,'Accounting data'!$I$2:$I$37000,"7*",'Accounting data'!$J$2:$J$37000,"22*",'Accounting data'!$K$2:$K$37000,"66*")+SUMIFS('Accounting data'!$G$2:$G$37000,'Accounting data'!$I$2:$I$37000,"8*",'Accounting data'!$J$2:$J$37000,"22*",'Accounting data'!$K$2:$K$37000,"66*")+SUMIFS('Accounting data'!$G$2:$G$37000,'Accounting data'!$I$2:$I$37000,"9*",'Accounting data'!$J$2:$J$37000,"22*",'Accounting data'!$K$2:$K$37000,"66*")</f>
        <v>0</v>
      </c>
    </row>
    <row r="647" spans="1:5" x14ac:dyDescent="0.25">
      <c r="A647" s="523" t="s">
        <v>992</v>
      </c>
      <c r="B647" s="521" t="s">
        <v>993</v>
      </c>
      <c r="C647" s="521">
        <v>2200</v>
      </c>
      <c r="D647" s="521">
        <v>6600</v>
      </c>
      <c r="E647" s="522">
        <f>SUMIFS('Accounting data'!$G$2:$G$37000,'Accounting data'!$H$2:$H$37000,"9999*",'Accounting data'!$I$2:$I$37000,"7*",'Accounting data'!$J$2:$J$37000,"22*",'Accounting data'!$K$2:$K$37000,"66*")+SUMIFS('Accounting data'!$G$2:$G$37000,'Accounting data'!$H$2:$H$37000,"9999*",'Accounting data'!$I$2:$I$37000,"8*",'Accounting data'!$J$2:$J$37000,"22*",'Accounting data'!$K$2:$K$37000,"66*")+SUMIFS('Accounting data'!$G$2:$G$37000,'Accounting data'!$H$2:$H$37000,"9999*",'Accounting data'!$I$2:$I$37000,"9*",'Accounting data'!$J$2:$J$37000,"22*",'Accounting data'!$K$2:$K$37000,"66*")</f>
        <v>0</v>
      </c>
    </row>
    <row r="648" spans="1:5" x14ac:dyDescent="0.25">
      <c r="A648" s="521"/>
      <c r="B648" s="521"/>
      <c r="C648" s="521"/>
      <c r="D648" s="521"/>
      <c r="E648" s="522"/>
    </row>
    <row r="649" spans="1:5" x14ac:dyDescent="0.25">
      <c r="A649" s="521"/>
      <c r="B649" s="521"/>
      <c r="C649" s="521"/>
      <c r="D649" s="521"/>
      <c r="E649" s="522"/>
    </row>
    <row r="650" spans="1:5" x14ac:dyDescent="0.25">
      <c r="A650" s="524" t="s">
        <v>1043</v>
      </c>
      <c r="B650" s="524"/>
      <c r="C650" s="524"/>
      <c r="D650" s="524"/>
      <c r="E650" s="526">
        <f>(E644-E645-E646)+(E647+E648+E649)</f>
        <v>3312</v>
      </c>
    </row>
    <row r="651" spans="1:5" x14ac:dyDescent="0.25">
      <c r="A651" s="521" t="s">
        <v>991</v>
      </c>
      <c r="B651" s="521" t="s">
        <v>991</v>
      </c>
      <c r="C651" s="521">
        <v>2300</v>
      </c>
      <c r="D651" s="521">
        <v>6600</v>
      </c>
      <c r="E651" s="522">
        <f>SUMIFS('Accounting data'!$G$2:$G$37000,'Accounting data'!$J$2:$J$37000,"23*",'Accounting data'!$K$2:$K$37000,"66*")</f>
        <v>299</v>
      </c>
    </row>
    <row r="652" spans="1:5" x14ac:dyDescent="0.25">
      <c r="A652" s="521" t="s">
        <v>992</v>
      </c>
      <c r="B652" s="521" t="s">
        <v>991</v>
      </c>
      <c r="C652" s="521">
        <v>2300</v>
      </c>
      <c r="D652" s="521">
        <v>6600</v>
      </c>
      <c r="E652" s="522">
        <f>SUMIFS('Accounting data'!$G$2:$G$37000,'Accounting data'!$H$2:$H$37000,"9999*",'Accounting data'!$J$2:$J$37000,"23*",'Accounting data'!$K$2:$K$37000,"66*")</f>
        <v>0</v>
      </c>
    </row>
    <row r="653" spans="1:5" x14ac:dyDescent="0.25">
      <c r="A653" s="521" t="s">
        <v>991</v>
      </c>
      <c r="B653" s="521" t="s">
        <v>993</v>
      </c>
      <c r="C653" s="521">
        <v>2300</v>
      </c>
      <c r="D653" s="521">
        <v>6600</v>
      </c>
      <c r="E653" s="522">
        <f>SUMIFS('Accounting data'!$G$2:$G$37000,'Accounting data'!$I$2:$I$37000,"7*",'Accounting data'!$J$2:$J$37000,"23*",'Accounting data'!$K$2:$K$37000,"66*")+SUMIFS('Accounting data'!$G$2:$G$37000,'Accounting data'!$I$2:$I$37000,"8*",'Accounting data'!$J$2:$J$37000,"23*",'Accounting data'!$K$2:$K$37000,"66*")+SUMIFS('Accounting data'!$G$2:$G$37000,'Accounting data'!$I$2:$I$37000,"9*",'Accounting data'!$J$2:$J$37000,"23*",'Accounting data'!$K$2:$K$37000,"66*")</f>
        <v>0</v>
      </c>
    </row>
    <row r="654" spans="1:5" x14ac:dyDescent="0.25">
      <c r="A654" s="523" t="s">
        <v>992</v>
      </c>
      <c r="B654" s="521" t="s">
        <v>993</v>
      </c>
      <c r="C654" s="521">
        <v>2300</v>
      </c>
      <c r="D654" s="521">
        <v>6600</v>
      </c>
      <c r="E654" s="522">
        <f>SUMIFS('Accounting data'!$G$2:$G$37000,'Accounting data'!$H$2:$H$37000,"9999*",'Accounting data'!$I$2:$I$37000,"7*",'Accounting data'!$J$2:$J$37000,"23*",'Accounting data'!$K$2:$K$37000,"66*")+SUMIFS('Accounting data'!$G$2:$G$37000,'Accounting data'!$H$2:$H$37000,"9999*",'Accounting data'!$I$2:$I$37000,"8*",'Accounting data'!$J$2:$J$37000,"23*",'Accounting data'!$K$2:$K$37000,"66*")+SUMIFS('Accounting data'!$G$2:$G$37000,'Accounting data'!$H$2:$H$37000,"9999*",'Accounting data'!$I$2:$I$37000,"9*",'Accounting data'!$J$2:$J$37000,"23*",'Accounting data'!$K$2:$K$37000,"66*")</f>
        <v>0</v>
      </c>
    </row>
    <row r="657" spans="1:5" x14ac:dyDescent="0.25">
      <c r="A657" s="524" t="s">
        <v>1044</v>
      </c>
      <c r="B657" s="524"/>
      <c r="C657" s="524"/>
      <c r="D657" s="524"/>
      <c r="E657" s="526">
        <f>(E651-E652-E653)+(E654+E655+E656)</f>
        <v>299</v>
      </c>
    </row>
    <row r="658" spans="1:5" x14ac:dyDescent="0.25">
      <c r="A658" s="521" t="s">
        <v>991</v>
      </c>
      <c r="B658" s="521" t="s">
        <v>991</v>
      </c>
      <c r="C658" s="521">
        <v>2400</v>
      </c>
      <c r="D658" s="521">
        <v>6600</v>
      </c>
      <c r="E658" s="522">
        <f>SUMIFS('Accounting data'!$G$2:$G$37000,'Accounting data'!$J$2:$J$37000,"24*",'Accounting data'!$K$2:$K$37000,"66*")</f>
        <v>4407</v>
      </c>
    </row>
    <row r="659" spans="1:5" x14ac:dyDescent="0.25">
      <c r="A659" s="521" t="s">
        <v>992</v>
      </c>
      <c r="B659" s="521" t="s">
        <v>991</v>
      </c>
      <c r="C659" s="521">
        <v>2400</v>
      </c>
      <c r="D659" s="521">
        <v>6600</v>
      </c>
      <c r="E659" s="522">
        <f>SUMIFS('Accounting data'!$G$2:$G$37000,'Accounting data'!$H$2:$H$37000,"9999*",'Accounting data'!$J$2:$J$37000,"24*",'Accounting data'!$K$2:$K$37000,"66*")</f>
        <v>0</v>
      </c>
    </row>
    <row r="660" spans="1:5" x14ac:dyDescent="0.25">
      <c r="A660" s="521" t="s">
        <v>991</v>
      </c>
      <c r="B660" s="521" t="s">
        <v>993</v>
      </c>
      <c r="C660" s="521">
        <v>2400</v>
      </c>
      <c r="D660" s="521">
        <v>6600</v>
      </c>
      <c r="E660" s="522">
        <f>SUMIFS('Accounting data'!$G$2:$G$37000,'Accounting data'!$I$2:$I$37000,"7*",'Accounting data'!$J$2:$J$37000,"24*",'Accounting data'!$K$2:$K$37000,"66*")+SUMIFS('Accounting data'!$G$2:$G$37000,'Accounting data'!$I$2:$I$37000,"8*",'Accounting data'!$J$2:$J$37000,"24*",'Accounting data'!$K$2:$K$37000,"66*")+SUMIFS('Accounting data'!$G$2:$G$37000,'Accounting data'!$I$2:$I$37000,"9*",'Accounting data'!$J$2:$J$37000,"24*",'Accounting data'!$K$2:$K$37000,"66*")</f>
        <v>0</v>
      </c>
    </row>
    <row r="661" spans="1:5" x14ac:dyDescent="0.25">
      <c r="A661" s="523" t="s">
        <v>992</v>
      </c>
      <c r="B661" s="521" t="s">
        <v>993</v>
      </c>
      <c r="C661" s="521">
        <v>2400</v>
      </c>
      <c r="D661" s="521">
        <v>6600</v>
      </c>
      <c r="E661" s="522">
        <f>SUMIFS('Accounting data'!$G$2:$G$37000,'Accounting data'!$H$2:$H$37000,"9999*",'Accounting data'!$I$2:$I$37000,"7*",'Accounting data'!$J$2:$J$37000,"24*",'Accounting data'!$K$2:$K$37000,"66*")+SUMIFS('Accounting data'!$G$2:$G$37000,'Accounting data'!$H$2:$H$37000,"9999*",'Accounting data'!$I$2:$I$37000,"8*",'Accounting data'!$J$2:$J$37000,"24*",'Accounting data'!$K$2:$K$37000,"66*")+SUMIFS('Accounting data'!$G$2:$G$37000,'Accounting data'!$H$2:$H$37000,"9999*",'Accounting data'!$I$2:$I$37000,"9*",'Accounting data'!$J$2:$J$37000,"24*",'Accounting data'!$K$2:$K$37000,"66*")</f>
        <v>0</v>
      </c>
    </row>
    <row r="662" spans="1:5" x14ac:dyDescent="0.25">
      <c r="A662" s="521"/>
      <c r="B662" s="521"/>
      <c r="C662" s="521"/>
      <c r="D662" s="521"/>
      <c r="E662" s="522"/>
    </row>
    <row r="663" spans="1:5" x14ac:dyDescent="0.25">
      <c r="A663" s="521"/>
      <c r="B663" s="521"/>
      <c r="C663" s="521"/>
      <c r="D663" s="521"/>
      <c r="E663" s="522"/>
    </row>
    <row r="664" spans="1:5" x14ac:dyDescent="0.25">
      <c r="A664" s="524" t="s">
        <v>1045</v>
      </c>
      <c r="B664" s="524"/>
      <c r="C664" s="524"/>
      <c r="D664" s="524"/>
      <c r="E664" s="526">
        <f>(E658-E659-E660)+(E661+E662+E663)</f>
        <v>4407</v>
      </c>
    </row>
    <row r="665" spans="1:5" x14ac:dyDescent="0.25">
      <c r="A665" s="521" t="s">
        <v>991</v>
      </c>
      <c r="B665" s="521" t="s">
        <v>991</v>
      </c>
      <c r="C665" s="521">
        <v>2500</v>
      </c>
      <c r="D665" s="521">
        <v>6600</v>
      </c>
      <c r="E665" s="522">
        <f>SUMIFS('Accounting data'!$G$2:$G$37000,'Accounting data'!$J$2:$J$37000,"25*",'Accounting data'!$K$2:$K$37000,"66*")</f>
        <v>159</v>
      </c>
    </row>
    <row r="666" spans="1:5" x14ac:dyDescent="0.25">
      <c r="A666" s="521" t="s">
        <v>992</v>
      </c>
      <c r="B666" s="521" t="s">
        <v>991</v>
      </c>
      <c r="C666" s="521">
        <v>2500</v>
      </c>
      <c r="D666" s="521">
        <v>6600</v>
      </c>
      <c r="E666" s="522">
        <f>SUMIFS('Accounting data'!$G$2:$G$37000,'Accounting data'!$H$2:$H$37000,"9999*",'Accounting data'!$J$2:$J$37000,"25*",'Accounting data'!$K$2:$K$37000,"66*")</f>
        <v>0</v>
      </c>
    </row>
    <row r="667" spans="1:5" x14ac:dyDescent="0.25">
      <c r="A667" s="521" t="s">
        <v>991</v>
      </c>
      <c r="B667" s="521" t="s">
        <v>993</v>
      </c>
      <c r="C667" s="521">
        <v>2500</v>
      </c>
      <c r="D667" s="521">
        <v>6600</v>
      </c>
      <c r="E667" s="522">
        <f>SUMIFS('Accounting data'!$G$2:$G$37000,'Accounting data'!$I$2:$I$37000,"7*",'Accounting data'!$J$2:$J$37000,"25*",'Accounting data'!$K$2:$K$37000,"66*")+SUMIFS('Accounting data'!$G$2:$G$37000,'Accounting data'!$I$2:$I$37000,"8*",'Accounting data'!$J$2:$J$37000,"25*",'Accounting data'!$K$2:$K$37000,"66*")+SUMIFS('Accounting data'!$G$2:$G$37000,'Accounting data'!$I$2:$I$37000,"9*",'Accounting data'!$J$2:$J$37000,"25*",'Accounting data'!$K$2:$K$37000,"66*")</f>
        <v>0</v>
      </c>
    </row>
    <row r="668" spans="1:5" x14ac:dyDescent="0.25">
      <c r="A668" s="523" t="s">
        <v>992</v>
      </c>
      <c r="B668" s="521" t="s">
        <v>993</v>
      </c>
      <c r="C668" s="521">
        <v>2500</v>
      </c>
      <c r="D668" s="521">
        <v>6600</v>
      </c>
      <c r="E668" s="522">
        <f>SUMIFS('Accounting data'!$G$2:$G$37000,'Accounting data'!$H$2:$H$37000,"9999*",'Accounting data'!$I$2:$I$37000,"7*",'Accounting data'!$J$2:$J$37000,"25*",'Accounting data'!$K$2:$K$37000,"66*")+SUMIFS('Accounting data'!$G$2:$G$37000,'Accounting data'!$H$2:$H$37000,"9999*",'Accounting data'!$I$2:$I$37000,"8*",'Accounting data'!$J$2:$J$37000,"25*",'Accounting data'!$K$2:$K$37000,"66*")+SUMIFS('Accounting data'!$G$2:$G$37000,'Accounting data'!$H$2:$H$37000,"9999*",'Accounting data'!$I$2:$I$37000,"9*",'Accounting data'!$J$2:$J$37000,"25*",'Accounting data'!$K$2:$K$37000,"66*")</f>
        <v>0</v>
      </c>
    </row>
    <row r="669" spans="1:5" x14ac:dyDescent="0.25">
      <c r="A669" s="521"/>
      <c r="B669" s="521"/>
      <c r="C669" s="521"/>
      <c r="D669" s="521"/>
      <c r="E669" s="522"/>
    </row>
    <row r="670" spans="1:5" x14ac:dyDescent="0.25">
      <c r="A670" s="521"/>
      <c r="B670" s="521"/>
      <c r="C670" s="521"/>
      <c r="D670" s="521"/>
      <c r="E670" s="522"/>
    </row>
    <row r="671" spans="1:5" x14ac:dyDescent="0.25">
      <c r="A671" s="524" t="s">
        <v>1046</v>
      </c>
      <c r="B671" s="524"/>
      <c r="C671" s="524"/>
      <c r="D671" s="524"/>
      <c r="E671" s="526">
        <f>(E665-E666-E667)+(E668+E669+E670)</f>
        <v>159</v>
      </c>
    </row>
    <row r="672" spans="1:5" x14ac:dyDescent="0.25">
      <c r="A672" s="521" t="s">
        <v>991</v>
      </c>
      <c r="B672" s="521" t="s">
        <v>991</v>
      </c>
      <c r="C672" s="521">
        <v>2900</v>
      </c>
      <c r="D672" s="521">
        <v>6600</v>
      </c>
      <c r="E672" s="522">
        <f>SUMIFS('Accounting data'!$G$2:$G$37000,'Accounting data'!$J$2:$J$37000,"29*",'Accounting data'!$K$2:$K$37000,"66*")</f>
        <v>0</v>
      </c>
    </row>
    <row r="673" spans="1:5" x14ac:dyDescent="0.25">
      <c r="A673" s="521" t="s">
        <v>992</v>
      </c>
      <c r="B673" s="521" t="s">
        <v>991</v>
      </c>
      <c r="C673" s="521">
        <v>2900</v>
      </c>
      <c r="D673" s="521">
        <v>6600</v>
      </c>
      <c r="E673" s="522">
        <f>SUMIFS('Accounting data'!$G$2:$G$37000,'Accounting data'!$H$2:$H$37000,"9999*",'Accounting data'!$J$2:$J$37000,"29*",'Accounting data'!$K$2:$K$37000,"66*")</f>
        <v>0</v>
      </c>
    </row>
    <row r="674" spans="1:5" x14ac:dyDescent="0.25">
      <c r="A674" s="521" t="s">
        <v>991</v>
      </c>
      <c r="B674" s="521" t="s">
        <v>993</v>
      </c>
      <c r="C674" s="521">
        <v>2900</v>
      </c>
      <c r="D674" s="521">
        <v>6600</v>
      </c>
      <c r="E674" s="522">
        <f>SUMIFS('Accounting data'!$G$2:$G$37000,'Accounting data'!$I$2:$I$37000,"7*",'Accounting data'!$J$2:$J$37000,"29*",'Accounting data'!$K$2:$K$37000,"66*")+SUMIFS('Accounting data'!$G$2:$G$37000,'Accounting data'!$I$2:$I$37000,"8*",'Accounting data'!$J$2:$J$37000,"29*",'Accounting data'!$K$2:$K$37000,"66*")+SUMIFS('Accounting data'!$G$2:$G$37000,'Accounting data'!$I$2:$I$37000,"9*",'Accounting data'!$J$2:$J$37000,"29*",'Accounting data'!$K$2:$K$37000,"66*")</f>
        <v>0</v>
      </c>
    </row>
    <row r="675" spans="1:5" x14ac:dyDescent="0.25">
      <c r="A675" s="523" t="s">
        <v>992</v>
      </c>
      <c r="B675" s="521" t="s">
        <v>993</v>
      </c>
      <c r="C675" s="521">
        <v>2900</v>
      </c>
      <c r="D675" s="521">
        <v>6600</v>
      </c>
      <c r="E675" s="522">
        <f>SUMIFS('Accounting data'!$G$2:$G$37000,'Accounting data'!$H$2:$H$37000,"9999*",'Accounting data'!$I$2:$I$37000,"7*",'Accounting data'!$J$2:$J$37000,"29*",'Accounting data'!$K$2:$K$37000,"66*")+SUMIFS('Accounting data'!$G$2:$G$37000,'Accounting data'!$H$2:$H$37000,"9999*",'Accounting data'!$I$2:$I$37000,"8*",'Accounting data'!$J$2:$J$37000,"29*",'Accounting data'!$K$2:$K$37000,"66*")+SUMIFS('Accounting data'!$G$2:$G$37000,'Accounting data'!$H$2:$H$37000,"9999*",'Accounting data'!$I$2:$I$37000,"9*",'Accounting data'!$J$2:$J$37000,"29*",'Accounting data'!$K$2:$K$37000,"66*")</f>
        <v>0</v>
      </c>
    </row>
    <row r="676" spans="1:5" x14ac:dyDescent="0.25">
      <c r="A676" s="521"/>
      <c r="B676" s="521"/>
      <c r="C676" s="521"/>
      <c r="D676" s="521"/>
      <c r="E676" s="522"/>
    </row>
    <row r="677" spans="1:5" x14ac:dyDescent="0.25">
      <c r="A677" s="521"/>
      <c r="B677" s="521"/>
      <c r="C677" s="521"/>
      <c r="D677" s="521"/>
      <c r="E677" s="522"/>
    </row>
    <row r="678" spans="1:5" x14ac:dyDescent="0.25">
      <c r="A678" s="524" t="s">
        <v>1047</v>
      </c>
      <c r="B678" s="524"/>
      <c r="C678" s="524"/>
      <c r="D678" s="524"/>
      <c r="E678" s="526">
        <f>(E672-E673-E674)+(E675+E676+E677)</f>
        <v>0</v>
      </c>
    </row>
    <row r="679" spans="1:5" x14ac:dyDescent="0.25">
      <c r="A679" s="521" t="s">
        <v>991</v>
      </c>
      <c r="B679" s="521" t="s">
        <v>991</v>
      </c>
      <c r="C679" s="521">
        <v>2600</v>
      </c>
      <c r="D679" s="521">
        <v>6600</v>
      </c>
      <c r="E679" s="522">
        <f>SUMIFS('Accounting data'!$G$2:$G$37000,'Accounting data'!$J$2:$J$37000,"26*",'Accounting data'!$K$2:$K$37000,"66*")</f>
        <v>18492</v>
      </c>
    </row>
    <row r="680" spans="1:5" x14ac:dyDescent="0.25">
      <c r="A680" s="521" t="s">
        <v>992</v>
      </c>
      <c r="B680" s="521" t="s">
        <v>991</v>
      </c>
      <c r="C680" s="521">
        <v>2600</v>
      </c>
      <c r="D680" s="521">
        <v>6600</v>
      </c>
      <c r="E680" s="522">
        <f>SUMIFS('Accounting data'!$G$2:$G$37000,'Accounting data'!$H$2:$H$37000,"9999*",'Accounting data'!$J$2:$J$37000,"26*",'Accounting data'!$K$2:$K$37000,"66*")</f>
        <v>0</v>
      </c>
    </row>
    <row r="681" spans="1:5" x14ac:dyDescent="0.25">
      <c r="A681" s="521" t="s">
        <v>991</v>
      </c>
      <c r="B681" s="521" t="s">
        <v>993</v>
      </c>
      <c r="C681" s="521">
        <v>2600</v>
      </c>
      <c r="D681" s="521">
        <v>6600</v>
      </c>
      <c r="E681" s="522">
        <f>SUMIFS('Accounting data'!$G$2:$G$37000,'Accounting data'!$I$2:$I$37000,"7*",'Accounting data'!$J$2:$J$37000,"26*",'Accounting data'!$K$2:$K$37000,"66*")+SUMIFS('Accounting data'!$G$2:$G$37000,'Accounting data'!$I$2:$I$37000,"8*",'Accounting data'!$J$2:$J$37000,"26*",'Accounting data'!$K$2:$K$37000,"66*")+SUMIFS('Accounting data'!$G$2:$G$37000,'Accounting data'!$I$2:$I$37000,"9*",'Accounting data'!$J$2:$J$37000,"26*",'Accounting data'!$K$2:$K$37000,"66*")</f>
        <v>0</v>
      </c>
    </row>
    <row r="682" spans="1:5" x14ac:dyDescent="0.25">
      <c r="A682" s="523" t="s">
        <v>992</v>
      </c>
      <c r="B682" s="521" t="s">
        <v>993</v>
      </c>
      <c r="C682" s="521">
        <v>2600</v>
      </c>
      <c r="D682" s="521">
        <v>6600</v>
      </c>
      <c r="E682" s="522">
        <f>SUMIFS('Accounting data'!$G$2:$G$37000,'Accounting data'!$H$2:$H$37000,"9999*",'Accounting data'!$I$2:$I$37000,"7*",'Accounting data'!$J$2:$J$37000,"26*",'Accounting data'!$K$2:$K$37000,"66*")+SUMIFS('Accounting data'!$G$2:$G$37000,'Accounting data'!$H$2:$H$37000,"9999*",'Accounting data'!$I$2:$I$37000,"8*",'Accounting data'!$J$2:$J$37000,"26*",'Accounting data'!$K$2:$K$37000,"66*")+SUMIFS('Accounting data'!$G$2:$G$37000,'Accounting data'!$H$2:$H$37000,"9999*",'Accounting data'!$I$2:$I$37000,"9*",'Accounting data'!$J$2:$J$37000,"26*",'Accounting data'!$K$2:$K$37000,"66*")</f>
        <v>0</v>
      </c>
    </row>
    <row r="683" spans="1:5" x14ac:dyDescent="0.25">
      <c r="A683" s="521"/>
      <c r="B683" s="521"/>
      <c r="C683" s="521"/>
      <c r="D683" s="521"/>
      <c r="E683" s="522"/>
    </row>
    <row r="684" spans="1:5" x14ac:dyDescent="0.25">
      <c r="A684" s="521"/>
      <c r="B684" s="521"/>
      <c r="C684" s="521"/>
      <c r="D684" s="521"/>
      <c r="E684" s="522"/>
    </row>
    <row r="685" spans="1:5" x14ac:dyDescent="0.25">
      <c r="A685" s="524" t="s">
        <v>1048</v>
      </c>
      <c r="B685" s="524"/>
      <c r="C685" s="524"/>
      <c r="D685" s="524"/>
      <c r="E685" s="526">
        <f>(E679-E680-E681)+(E682+E683+E684)</f>
        <v>18492</v>
      </c>
    </row>
    <row r="686" spans="1:5" x14ac:dyDescent="0.25">
      <c r="A686" s="521" t="s">
        <v>991</v>
      </c>
      <c r="B686" s="521" t="s">
        <v>991</v>
      </c>
      <c r="C686" s="521">
        <v>2700</v>
      </c>
      <c r="D686" s="521">
        <v>6600</v>
      </c>
      <c r="E686" s="522">
        <f>SUMIFS('Accounting data'!$G$2:$G$37000,'Accounting data'!$J$2:$J$37000,"27*",'Accounting data'!$K$2:$K$37000,"66*")</f>
        <v>0</v>
      </c>
    </row>
    <row r="687" spans="1:5" x14ac:dyDescent="0.25">
      <c r="A687" s="521" t="s">
        <v>992</v>
      </c>
      <c r="B687" s="521" t="s">
        <v>991</v>
      </c>
      <c r="C687" s="521">
        <v>2700</v>
      </c>
      <c r="D687" s="521">
        <v>6600</v>
      </c>
      <c r="E687" s="522">
        <f>SUMIFS('Accounting data'!$G$2:$G$37000,'Accounting data'!$H$2:$H$37000,"9999*",'Accounting data'!$J$2:$J$37000,"27*",'Accounting data'!$K$2:$K$37000,"66*")</f>
        <v>0</v>
      </c>
    </row>
    <row r="688" spans="1:5" x14ac:dyDescent="0.25">
      <c r="A688" s="521" t="s">
        <v>991</v>
      </c>
      <c r="B688" s="521" t="s">
        <v>993</v>
      </c>
      <c r="C688" s="521">
        <v>2700</v>
      </c>
      <c r="D688" s="521">
        <v>6600</v>
      </c>
      <c r="E688" s="522">
        <f>SUMIFS('Accounting data'!$G$2:$G$37000,'Accounting data'!$I$2:$I$37000,"7*",'Accounting data'!$J$2:$J$37000,"27*",'Accounting data'!$K$2:$K$37000,"66*")+SUMIFS('Accounting data'!$G$2:$G$37000,'Accounting data'!$I$2:$I$37000,"8*",'Accounting data'!$J$2:$J$37000,"27*",'Accounting data'!$K$2:$K$37000,"66*")+SUMIFS('Accounting data'!$G$2:$G$37000,'Accounting data'!$I$2:$I$37000,"9*",'Accounting data'!$J$2:$J$37000,"27*",'Accounting data'!$K$2:$K$37000,"66*")</f>
        <v>0</v>
      </c>
    </row>
    <row r="689" spans="1:5" x14ac:dyDescent="0.25">
      <c r="A689" s="523" t="s">
        <v>992</v>
      </c>
      <c r="B689" s="521" t="s">
        <v>993</v>
      </c>
      <c r="C689" s="521">
        <v>2700</v>
      </c>
      <c r="D689" s="521">
        <v>6600</v>
      </c>
      <c r="E689" s="522">
        <f>SUMIFS('Accounting data'!$G$2:$G$37000,'Accounting data'!$H$2:$H$37000,"9999*",'Accounting data'!$I$2:$I$37000,"7*",'Accounting data'!$J$2:$J$37000,"27*",'Accounting data'!$K$2:$K$37000,"66*")+SUMIFS('Accounting data'!$G$2:$G$37000,'Accounting data'!$H$2:$H$37000,"9999*",'Accounting data'!$I$2:$I$37000,"8*",'Accounting data'!$J$2:$J$37000,"27*",'Accounting data'!$K$2:$K$37000,"66*")+SUMIFS('Accounting data'!$G$2:$G$37000,'Accounting data'!$H$2:$H$37000,"9999*",'Accounting data'!$I$2:$I$37000,"9*",'Accounting data'!$J$2:$J$37000,"27*",'Accounting data'!$K$2:$K$37000,"66*")</f>
        <v>0</v>
      </c>
    </row>
    <row r="690" spans="1:5" x14ac:dyDescent="0.25">
      <c r="A690" s="521"/>
      <c r="B690" s="521"/>
      <c r="C690" s="521"/>
      <c r="D690" s="521"/>
      <c r="E690" s="522"/>
    </row>
    <row r="691" spans="1:5" x14ac:dyDescent="0.25">
      <c r="A691" s="521"/>
      <c r="B691" s="521"/>
      <c r="C691" s="521"/>
      <c r="D691" s="521"/>
      <c r="E691" s="522"/>
    </row>
    <row r="692" spans="1:5" x14ac:dyDescent="0.25">
      <c r="A692" s="524" t="s">
        <v>1049</v>
      </c>
      <c r="B692" s="524"/>
      <c r="C692" s="524"/>
      <c r="D692" s="524"/>
      <c r="E692" s="526">
        <f>(E686-E687-E688)+(E689+E690+E691)</f>
        <v>0</v>
      </c>
    </row>
    <row r="693" spans="1:5" x14ac:dyDescent="0.25">
      <c r="A693" s="521" t="s">
        <v>991</v>
      </c>
      <c r="B693" s="521" t="s">
        <v>991</v>
      </c>
      <c r="C693" s="521">
        <v>3100</v>
      </c>
      <c r="D693" s="521">
        <v>6600</v>
      </c>
      <c r="E693" s="522">
        <f>SUMIFS('Accounting data'!$G$2:$G$37000,'Accounting data'!$J$2:$J$37000,"31*",'Accounting data'!$K$2:$K$37000,"66*")</f>
        <v>0</v>
      </c>
    </row>
    <row r="694" spans="1:5" x14ac:dyDescent="0.25">
      <c r="A694" s="521" t="s">
        <v>992</v>
      </c>
      <c r="B694" s="521" t="s">
        <v>991</v>
      </c>
      <c r="C694" s="521">
        <v>3100</v>
      </c>
      <c r="D694" s="521">
        <v>6600</v>
      </c>
      <c r="E694" s="522">
        <f>SUMIFS('Accounting data'!$G$2:$G$37000,'Accounting data'!$H$2:$H$37000,"9999*",'Accounting data'!$J$2:$J$37000,"31*",'Accounting data'!$K$2:$K$37000,"66*")</f>
        <v>0</v>
      </c>
    </row>
    <row r="695" spans="1:5" x14ac:dyDescent="0.25">
      <c r="A695" s="521" t="s">
        <v>991</v>
      </c>
      <c r="B695" s="521" t="s">
        <v>993</v>
      </c>
      <c r="C695" s="521">
        <v>3100</v>
      </c>
      <c r="D695" s="521">
        <v>6600</v>
      </c>
      <c r="E695" s="522">
        <f>SUMIFS('Accounting data'!$G$2:$G$37000,'Accounting data'!$I$2:$I$37000,"7*",'Accounting data'!$J$2:$J$37000,"31*",'Accounting data'!$K$2:$K$37000,"66*")+SUMIFS('Accounting data'!$G$2:$G$37000,'Accounting data'!$I$2:$I$37000,"8*",'Accounting data'!$J$2:$J$37000,"31*",'Accounting data'!$K$2:$K$37000,"66*")+SUMIFS('Accounting data'!$G$2:$G$37000,'Accounting data'!$I$2:$I$37000,"9*",'Accounting data'!$J$2:$J$37000,"31*",'Accounting data'!$K$2:$K$37000,"66*")</f>
        <v>0</v>
      </c>
    </row>
    <row r="696" spans="1:5" x14ac:dyDescent="0.25">
      <c r="A696" s="523" t="s">
        <v>992</v>
      </c>
      <c r="B696" s="521" t="s">
        <v>993</v>
      </c>
      <c r="C696" s="521">
        <v>3100</v>
      </c>
      <c r="D696" s="521">
        <v>6600</v>
      </c>
      <c r="E696" s="522">
        <f>SUMIFS('Accounting data'!$G$2:$G$37000,'Accounting data'!$H$2:$H$37000,"9999*",'Accounting data'!$I$2:$I$37000,"7*",'Accounting data'!$J$2:$J$37000,"31*",'Accounting data'!$K$2:$K$37000,"66*")+SUMIFS('Accounting data'!$G$2:$G$37000,'Accounting data'!$H$2:$H$37000,"9999*",'Accounting data'!$I$2:$I$37000,"8*",'Accounting data'!$J$2:$J$37000,"31*",'Accounting data'!$K$2:$K$37000,"66*")+SUMIFS('Accounting data'!$G$2:$G$37000,'Accounting data'!$H$2:$H$37000,"9999*",'Accounting data'!$I$2:$I$37000,"9*",'Accounting data'!$J$2:$J$37000,"31*",'Accounting data'!$K$2:$K$37000,"66*")</f>
        <v>0</v>
      </c>
    </row>
    <row r="697" spans="1:5" x14ac:dyDescent="0.25">
      <c r="A697" s="521"/>
      <c r="B697" s="521"/>
      <c r="C697" s="521"/>
      <c r="D697" s="521"/>
      <c r="E697" s="522"/>
    </row>
    <row r="698" spans="1:5" x14ac:dyDescent="0.25">
      <c r="A698" s="521"/>
      <c r="B698" s="521"/>
      <c r="C698" s="521"/>
      <c r="D698" s="521"/>
      <c r="E698" s="522"/>
    </row>
    <row r="699" spans="1:5" x14ac:dyDescent="0.25">
      <c r="A699" s="524" t="s">
        <v>1050</v>
      </c>
      <c r="B699" s="524"/>
      <c r="C699" s="524"/>
      <c r="D699" s="524"/>
      <c r="E699" s="526">
        <f>(E693-E694-E695)+(E696+E697+E698)</f>
        <v>0</v>
      </c>
    </row>
    <row r="707" spans="1:5" x14ac:dyDescent="0.25">
      <c r="A707" s="521" t="s">
        <v>991</v>
      </c>
      <c r="B707" s="521" t="s">
        <v>991</v>
      </c>
      <c r="C707" s="521">
        <v>3400</v>
      </c>
      <c r="D707" s="521">
        <v>6600</v>
      </c>
      <c r="E707" s="522">
        <f>SUMIFS('Accounting data'!$G$2:$G$37000,'Accounting data'!$J$2:$J$37000,"34*",'Accounting data'!$K$2:$K$37000,"66*")</f>
        <v>0</v>
      </c>
    </row>
    <row r="708" spans="1:5" x14ac:dyDescent="0.25">
      <c r="A708" s="521" t="s">
        <v>992</v>
      </c>
      <c r="B708" s="521" t="s">
        <v>991</v>
      </c>
      <c r="C708" s="521">
        <v>3400</v>
      </c>
      <c r="D708" s="521">
        <v>6600</v>
      </c>
      <c r="E708" s="522">
        <f>SUMIFS('Accounting data'!$G$2:$G$37000,'Accounting data'!$H$2:$H$37000,"9999*",'Accounting data'!$J$2:$J$37000,"34*",'Accounting data'!$K$2:$K$37000,"66*")</f>
        <v>0</v>
      </c>
    </row>
    <row r="709" spans="1:5" x14ac:dyDescent="0.25">
      <c r="A709" s="521" t="s">
        <v>991</v>
      </c>
      <c r="B709" s="521" t="s">
        <v>993</v>
      </c>
      <c r="C709" s="521">
        <v>3400</v>
      </c>
      <c r="D709" s="521">
        <v>6600</v>
      </c>
      <c r="E709" s="522">
        <f>SUMIFS('Accounting data'!$G$2:$G$37000,'Accounting data'!$I$2:$I$37000,"7*",'Accounting data'!$J$2:$J$37000,"34*",'Accounting data'!$K$2:$K$37000,"66*")+SUMIFS('Accounting data'!$G$2:$G$37000,'Accounting data'!$I$2:$I$37000,"8*",'Accounting data'!$J$2:$J$37000,"34*",'Accounting data'!$K$2:$K$37000,"66*")+SUMIFS('Accounting data'!$G$2:$G$37000,'Accounting data'!$I$2:$I$37000,"9*",'Accounting data'!$J$2:$J$37000,"34*",'Accounting data'!$K$2:$K$37000,"66*")</f>
        <v>0</v>
      </c>
    </row>
    <row r="710" spans="1:5" x14ac:dyDescent="0.25">
      <c r="A710" s="523" t="s">
        <v>992</v>
      </c>
      <c r="B710" s="521" t="s">
        <v>993</v>
      </c>
      <c r="C710" s="521">
        <v>3400</v>
      </c>
      <c r="D710" s="521">
        <v>6600</v>
      </c>
      <c r="E710" s="522">
        <f>SUMIFS('Accounting data'!$G$2:$G$37000,'Accounting data'!$H$2:$H$37000,"9999*",'Accounting data'!$I$2:$I$37000,"7*",'Accounting data'!$J$2:$J$37000,"34*",'Accounting data'!$K$2:$K$37000,"66*")+SUMIFS('Accounting data'!$G$2:$G$37000,'Accounting data'!$H$2:$H$37000,"9999*",'Accounting data'!$I$2:$I$37000,"8*",'Accounting data'!$J$2:$J$37000,"34*",'Accounting data'!$K$2:$K$37000,"66*")+SUMIFS('Accounting data'!$G$2:$G$37000,'Accounting data'!$H$2:$H$37000,"9999*",'Accounting data'!$I$2:$I$37000,"9*",'Accounting data'!$J$2:$J$37000,"34*",'Accounting data'!$K$2:$K$37000,"66*")</f>
        <v>0</v>
      </c>
    </row>
    <row r="711" spans="1:5" x14ac:dyDescent="0.25">
      <c r="A711" s="521"/>
      <c r="B711" s="521"/>
      <c r="C711" s="521"/>
      <c r="D711" s="521"/>
      <c r="E711" s="522"/>
    </row>
    <row r="712" spans="1:5" x14ac:dyDescent="0.25">
      <c r="A712" s="521"/>
      <c r="B712" s="521"/>
      <c r="C712" s="521"/>
      <c r="D712" s="521"/>
      <c r="E712" s="522"/>
    </row>
    <row r="713" spans="1:5" x14ac:dyDescent="0.25">
      <c r="A713" s="524" t="s">
        <v>1051</v>
      </c>
      <c r="B713" s="524"/>
      <c r="C713" s="524"/>
      <c r="D713" s="524"/>
      <c r="E713" s="526">
        <f>(E707-E708-E709)+(E710+E711+E712)</f>
        <v>0</v>
      </c>
    </row>
    <row r="714" spans="1:5" x14ac:dyDescent="0.25">
      <c r="A714" s="521" t="s">
        <v>991</v>
      </c>
      <c r="B714" s="521" t="s">
        <v>991</v>
      </c>
      <c r="C714" s="521">
        <v>4000</v>
      </c>
      <c r="D714" s="521">
        <v>6600</v>
      </c>
      <c r="E714" s="522">
        <f>SUMIFS('Accounting data'!$G$2:$G$37000,'Accounting data'!$J$2:$J$37000,"4*",'Accounting data'!$K$2:$K$37000,"66*")</f>
        <v>0</v>
      </c>
    </row>
    <row r="715" spans="1:5" x14ac:dyDescent="0.25">
      <c r="A715" s="521" t="s">
        <v>992</v>
      </c>
      <c r="B715" s="521" t="s">
        <v>991</v>
      </c>
      <c r="C715" s="521">
        <v>4000</v>
      </c>
      <c r="D715" s="521">
        <v>6600</v>
      </c>
      <c r="E715" s="522">
        <f>SUMIFS('Accounting data'!$G$2:$G$37000,'Accounting data'!$H$2:$H$37000,"9999*",'Accounting data'!$J$2:$J$37000,"4*",'Accounting data'!$K$2:$K$37000,"66*")</f>
        <v>0</v>
      </c>
    </row>
    <row r="716" spans="1:5" x14ac:dyDescent="0.25">
      <c r="A716" s="521" t="s">
        <v>991</v>
      </c>
      <c r="B716" s="521" t="s">
        <v>993</v>
      </c>
      <c r="C716" s="521">
        <v>4000</v>
      </c>
      <c r="D716" s="521">
        <v>6600</v>
      </c>
      <c r="E716" s="522">
        <f>SUMIFS('Accounting data'!$G$2:$G$37000,'Accounting data'!$I$2:$I$37000,"7*",'Accounting data'!$J$2:$J$37000,"4*",'Accounting data'!$K$2:$K$37000,"66*")+SUMIFS('Accounting data'!$G$2:$G$37000,'Accounting data'!$I$2:$I$37000,"8*",'Accounting data'!$J$2:$J$37000,"4*",'Accounting data'!$K$2:$K$37000,"66*")+SUMIFS('Accounting data'!$G$2:$G$37000,'Accounting data'!$I$2:$I$37000,"9*",'Accounting data'!$J$2:$J$37000,"4*",'Accounting data'!$K$2:$K$37000,"66*")</f>
        <v>0</v>
      </c>
    </row>
    <row r="717" spans="1:5" x14ac:dyDescent="0.25">
      <c r="A717" s="523" t="s">
        <v>992</v>
      </c>
      <c r="B717" s="521" t="s">
        <v>993</v>
      </c>
      <c r="C717" s="521">
        <v>4000</v>
      </c>
      <c r="D717" s="521">
        <v>6600</v>
      </c>
      <c r="E717" s="522">
        <f>SUMIFS('Accounting data'!$G$2:$G$37000,'Accounting data'!$H$2:$H$37000,"9999*",'Accounting data'!$I$2:$I$37000,"7*",'Accounting data'!$J$2:$J$37000,"4*",'Accounting data'!$K$2:$K$37000,"66*")+SUMIFS('Accounting data'!$G$2:$G$37000,'Accounting data'!$H$2:$H$37000,"9999*",'Accounting data'!$I$2:$I$37000,"8*",'Accounting data'!$J$2:$J$37000,"4*",'Accounting data'!$K$2:$K$37000,"66*")+SUMIFS('Accounting data'!$G$2:$G$37000,'Accounting data'!$H$2:$H$37000,"9999*",'Accounting data'!$I$2:$I$37000,"9*",'Accounting data'!$J$2:$J$37000,"4*",'Accounting data'!$K$2:$K$37000,"66*")</f>
        <v>0</v>
      </c>
    </row>
    <row r="718" spans="1:5" x14ac:dyDescent="0.25">
      <c r="A718" s="521"/>
      <c r="B718" s="521"/>
      <c r="C718" s="521"/>
      <c r="D718" s="521"/>
      <c r="E718" s="522"/>
    </row>
    <row r="719" spans="1:5" x14ac:dyDescent="0.25">
      <c r="A719" s="521"/>
      <c r="B719" s="521"/>
      <c r="C719" s="521"/>
      <c r="D719" s="521"/>
      <c r="E719" s="522"/>
    </row>
    <row r="720" spans="1:5" x14ac:dyDescent="0.25">
      <c r="A720" s="524" t="s">
        <v>1052</v>
      </c>
      <c r="B720" s="524"/>
      <c r="C720" s="524"/>
      <c r="D720" s="524"/>
      <c r="E720" s="526">
        <f>(E714-E715-E716)+(E717+E718+E719)</f>
        <v>0</v>
      </c>
    </row>
    <row r="721" spans="1:5" x14ac:dyDescent="0.25">
      <c r="A721" s="532" t="s">
        <v>1053</v>
      </c>
      <c r="B721" s="532"/>
      <c r="C721" s="532"/>
      <c r="D721" s="532"/>
      <c r="E721" s="533">
        <f>E636+E643+E650+E657+E664+E671+E678+E685+E692+E699+E706+E713</f>
        <v>88967</v>
      </c>
    </row>
    <row r="722" spans="1:5" x14ac:dyDescent="0.25">
      <c r="A722" s="521" t="s">
        <v>1007</v>
      </c>
      <c r="B722" s="521" t="s">
        <v>991</v>
      </c>
      <c r="C722" s="521">
        <v>1000</v>
      </c>
      <c r="D722" s="521">
        <v>6600</v>
      </c>
      <c r="E722" s="522">
        <f>SUMIFS('Accounting data'!$G$2:$G$37000,'Accounting data'!$H$2:$H$37000,"11*",'Accounting data'!$J$2:$J$37000,"1*",'Accounting data'!$K$2:$K$37000,"66*")+SUMIFS('Accounting data'!$G$2:$G$37000,'Accounting data'!$H$2:$H$37000,"12*",'Accounting data'!$J$2:$J$37000,"1*",'Accounting data'!$K$2:$K$37000,"66*")+SUMIFS('Accounting data'!$G$2:$G$37000,'Accounting data'!$H$2:$H$37000,"13*",'Accounting data'!$J$2:$J$37000,"1*",'Accounting data'!$K$2:$K$37000,"66*")</f>
        <v>0</v>
      </c>
    </row>
    <row r="723" spans="1:5" x14ac:dyDescent="0.25">
      <c r="A723" s="521" t="s">
        <v>1007</v>
      </c>
      <c r="B723" s="521" t="s">
        <v>991</v>
      </c>
      <c r="C723" s="521">
        <v>2000</v>
      </c>
      <c r="D723" s="521">
        <v>6600</v>
      </c>
      <c r="E723" s="522">
        <f>SUMIFS('Accounting data'!$G$2:$G$37000,'Accounting data'!$H$2:$H$37000,"11*",'Accounting data'!$J$2:$J$37000,"2*",'Accounting data'!$K$2:$K$37000,"66*")+SUMIFS('Accounting data'!$G$2:$G$37000,'Accounting data'!$H$2:$H$37000,"12*",'Accounting data'!$J$2:$J$37000,"2*",'Accounting data'!$K$2:$K$37000,"66*")+SUMIFS('Accounting data'!$G$2:$G$37000,'Accounting data'!$H$2:$H$37000,"13*",'Accounting data'!$J$2:$J$37000,"2*",'Accounting data'!$K$2:$K$37000,"66*")</f>
        <v>2000</v>
      </c>
    </row>
    <row r="724" spans="1:5" x14ac:dyDescent="0.25">
      <c r="A724" s="521" t="s">
        <v>1007</v>
      </c>
      <c r="B724" s="521" t="s">
        <v>991</v>
      </c>
      <c r="C724" s="521">
        <v>3000</v>
      </c>
      <c r="D724" s="521">
        <v>6600</v>
      </c>
      <c r="E724" s="522">
        <f>SUMIFS('Accounting data'!$G$2:$G$37000,'Accounting data'!$H$2:$H$37000,"11*",'Accounting data'!$J$2:$J$37000,"3*",'Accounting data'!$K$2:$K$37000,"66*")+SUMIFS('Accounting data'!$G$2:$G$37000,'Accounting data'!$H$2:$H$37000,"12*",'Accounting data'!$J$2:$J$37000,"3*",'Accounting data'!$K$2:$K$37000,"66*")+SUMIFS('Accounting data'!$G$2:$G$37000,'Accounting data'!$H$2:$H$37000,"13*",'Accounting data'!$J$2:$J$37000,"3*",'Accounting data'!$K$2:$K$37000,"66*")</f>
        <v>0</v>
      </c>
    </row>
    <row r="725" spans="1:5" x14ac:dyDescent="0.25">
      <c r="A725" s="521" t="s">
        <v>1007</v>
      </c>
      <c r="B725" s="523">
        <v>700</v>
      </c>
      <c r="C725" s="521">
        <v>1000</v>
      </c>
      <c r="D725" s="521">
        <v>6600</v>
      </c>
      <c r="E725" s="522">
        <f>SUMIFS('Accounting data'!$G$2:$G$37000,'Accounting data'!$H$2:$H$37000,"11*",'Accounting data'!$I$2:$I$37000,"7*",'Accounting data'!$J$2:$J$37000,"1*",'Accounting data'!$K$2:$K$37000,"66*")+SUMIFS('Accounting data'!$G$2:$G$37000,'Accounting data'!$H$2:$H$37000,"12*",'Accounting data'!$I$2:$I$37000,"7*",'Accounting data'!$J$2:$J$37000,"1*",'Accounting data'!$K$2:$K$37000,"66*")+SUMIFS('Accounting data'!$G$2:$G$37000,'Accounting data'!$H$2:$H$37000,"13*",'Accounting data'!$I$2:$I$37000,"7*",'Accounting data'!$J$2:$J$37000,"1*",'Accounting data'!$K$2:$K$37000,"66*")</f>
        <v>0</v>
      </c>
    </row>
    <row r="726" spans="1:5" x14ac:dyDescent="0.25">
      <c r="A726" s="521" t="s">
        <v>1007</v>
      </c>
      <c r="B726" s="523">
        <v>800</v>
      </c>
      <c r="C726" s="521">
        <v>1000</v>
      </c>
      <c r="D726" s="521">
        <v>6600</v>
      </c>
      <c r="E726" s="522">
        <f>SUMIFS('Accounting data'!$G$2:$G$37000,'Accounting data'!$H$2:$H$37000,"11*",'Accounting data'!$I$2:$I$37000,"8*",'Accounting data'!$J$2:$J$37000,"1*",'Accounting data'!$K$2:$K$37000,"66*")+SUMIFS('Accounting data'!$G$2:$G$37000,'Accounting data'!$H$2:$H$37000,"12*",'Accounting data'!$I$2:$I$37000,"8*",'Accounting data'!$J$2:$J$37000,"1*",'Accounting data'!$K$2:$K$37000,"66*")+SUMIFS('Accounting data'!$G$2:$G$37000,'Accounting data'!$H$2:$H$37000,"13*",'Accounting data'!$I$2:$I$37000,"8*",'Accounting data'!$J$2:$J$37000,"1*",'Accounting data'!$K$2:$K$37000,"66*")</f>
        <v>0</v>
      </c>
    </row>
    <row r="727" spans="1:5" x14ac:dyDescent="0.25">
      <c r="A727" s="521" t="s">
        <v>1007</v>
      </c>
      <c r="B727" s="523">
        <v>900</v>
      </c>
      <c r="C727" s="521">
        <v>1000</v>
      </c>
      <c r="D727" s="521">
        <v>6600</v>
      </c>
      <c r="E727" s="522">
        <f>SUMIFS('Accounting data'!$G$2:$G$37000,'Accounting data'!$H$2:$H$37000,"11*",'Accounting data'!$I$2:$I$37000,"9*",'Accounting data'!$J$2:$J$37000,"1*",'Accounting data'!$K$2:$K$37000,"66*")+SUMIFS('Accounting data'!$G$2:$G$37000,'Accounting data'!$H$2:$H$37000,"12*",'Accounting data'!$I$2:$I$37000,"9*",'Accounting data'!$J$2:$J$37000,"1*",'Accounting data'!$K$2:$K$37000,"66*")+SUMIFS('Accounting data'!$G$2:$G$37000,'Accounting data'!$H$2:$H$37000,"13*",'Accounting data'!$I$2:$I$37000,"9*",'Accounting data'!$J$2:$J$37000,"1*",'Accounting data'!$K$2:$K$37000,"66*")</f>
        <v>0</v>
      </c>
    </row>
    <row r="728" spans="1:5" x14ac:dyDescent="0.25">
      <c r="A728" s="521" t="s">
        <v>1007</v>
      </c>
      <c r="B728" s="523">
        <v>700</v>
      </c>
      <c r="C728" s="521">
        <v>2000</v>
      </c>
      <c r="D728" s="521">
        <v>6600</v>
      </c>
      <c r="E728" s="522">
        <f>SUMIFS('Accounting data'!$G$2:$G$37000,'Accounting data'!$H$2:$H$37000,"11*",'Accounting data'!$I$2:$I$37000,"7*",'Accounting data'!$J$2:$J$37000,"2*",'Accounting data'!$K$2:$K$37000,"66*")+SUMIFS('Accounting data'!$G$2:$G$37000,'Accounting data'!$H$2:$H$37000,"12*",'Accounting data'!$I$2:$I$37000,"7*",'Accounting data'!$J$2:$J$37000,"2*",'Accounting data'!$K$2:$K$37000,"66*")+SUMIFS('Accounting data'!$G$2:$G$37000,'Accounting data'!$H$2:$H$37000,"13*",'Accounting data'!$I$2:$I$37000,"7*",'Accounting data'!$J$2:$J$37000,"2*",'Accounting data'!$K$2:$K$37000,"66*")</f>
        <v>0</v>
      </c>
    </row>
    <row r="729" spans="1:5" x14ac:dyDescent="0.25">
      <c r="A729" s="521" t="s">
        <v>1007</v>
      </c>
      <c r="B729" s="523">
        <v>800</v>
      </c>
      <c r="C729" s="521">
        <v>2000</v>
      </c>
      <c r="D729" s="521">
        <v>6600</v>
      </c>
      <c r="E729" s="522">
        <f>SUMIFS('Accounting data'!$G$2:$G$37000,'Accounting data'!$H$2:$H$37000,"11*",'Accounting data'!$I$2:$I$37000,"8*",'Accounting data'!$J$2:$J$37000,"2*",'Accounting data'!$K$2:$K$37000,"66*")+SUMIFS('Accounting data'!$G$2:$G$37000,'Accounting data'!$H$2:$H$37000,"12*",'Accounting data'!$I$2:$I$37000,"8*",'Accounting data'!$J$2:$J$37000,"2*",'Accounting data'!$K$2:$K$37000,"66*")+SUMIFS('Accounting data'!$G$2:$G$37000,'Accounting data'!$H$2:$H$37000,"13*",'Accounting data'!$I$2:$I$37000,"8*",'Accounting data'!$J$2:$J$37000,"2*",'Accounting data'!$K$2:$K$37000,"66*")</f>
        <v>0</v>
      </c>
    </row>
    <row r="730" spans="1:5" x14ac:dyDescent="0.25">
      <c r="A730" s="521" t="s">
        <v>1007</v>
      </c>
      <c r="B730" s="523">
        <v>900</v>
      </c>
      <c r="C730" s="521">
        <v>2000</v>
      </c>
      <c r="D730" s="521">
        <v>6600</v>
      </c>
      <c r="E730" s="522">
        <f>SUMIFS('Accounting data'!$G$2:$G$37000,'Accounting data'!$H$2:$H$37000,"11*",'Accounting data'!$I$2:$I$37000,"9*",'Accounting data'!$J$2:$J$37000,"2*",'Accounting data'!$K$2:$K$37000,"66*")+SUMIFS('Accounting data'!$G$2:$G$37000,'Accounting data'!$H$2:$H$37000,"12*",'Accounting data'!$I$2:$I$37000,"9*",'Accounting data'!$J$2:$J$37000,"2*",'Accounting data'!$K$2:$K$37000,"66*")+SUMIFS('Accounting data'!$G$2:$G$37000,'Accounting data'!$H$2:$H$37000,"13*",'Accounting data'!$I$2:$I$37000,"9*",'Accounting data'!$J$2:$J$37000,"2*",'Accounting data'!$K$2:$K$37000,"66*")</f>
        <v>0</v>
      </c>
    </row>
    <row r="731" spans="1:5" x14ac:dyDescent="0.25">
      <c r="A731" s="521" t="s">
        <v>1007</v>
      </c>
      <c r="B731" s="523">
        <v>700</v>
      </c>
      <c r="C731" s="521">
        <v>3000</v>
      </c>
      <c r="D731" s="521">
        <v>6600</v>
      </c>
      <c r="E731" s="522">
        <f>SUMIFS('Accounting data'!$G$2:$G$37000,'Accounting data'!$H$2:$H$37000,"11*",'Accounting data'!$I$2:$I$37000,"7*",'Accounting data'!$J$2:$J$37000,"3*",'Accounting data'!$K$2:$K$37000,"66*")+SUMIFS('Accounting data'!$G$2:$G$37000,'Accounting data'!$H$2:$H$37000,"12*",'Accounting data'!$I$2:$I$37000,"7*",'Accounting data'!$J$2:$J$37000,"3*",'Accounting data'!$K$2:$K$37000,"66*")+SUMIFS('Accounting data'!$G$2:$G$37000,'Accounting data'!$H$2:$H$37000,"13*",'Accounting data'!$I$2:$I$37000,"7*",'Accounting data'!$J$2:$J$37000,"3*",'Accounting data'!$K$2:$K$37000,"66*")</f>
        <v>0</v>
      </c>
    </row>
    <row r="732" spans="1:5" x14ac:dyDescent="0.25">
      <c r="A732" s="521" t="s">
        <v>1007</v>
      </c>
      <c r="B732" s="523">
        <v>800</v>
      </c>
      <c r="C732" s="521">
        <v>3000</v>
      </c>
      <c r="D732" s="521">
        <v>6600</v>
      </c>
      <c r="E732" s="522">
        <f>SUMIFS('Accounting data'!$G$2:$G$37000,'Accounting data'!$H$2:$H$37000,"11*",'Accounting data'!$I$2:$I$37000,"8*",'Accounting data'!$J$2:$J$37000,"3*",'Accounting data'!$K$2:$K$37000,"66*")+SUMIFS('Accounting data'!$G$2:$G$37000,'Accounting data'!$H$2:$H$37000,"12*",'Accounting data'!$I$2:$I$37000,"8*",'Accounting data'!$J$2:$J$37000,"3*",'Accounting data'!$K$2:$K$37000,"66*")+SUMIFS('Accounting data'!$G$2:$G$37000,'Accounting data'!$H$2:$H$37000,"13*",'Accounting data'!$I$2:$I$37000,"8*",'Accounting data'!$J$2:$J$37000,"3*",'Accounting data'!$K$2:$K$37000,"66*")</f>
        <v>0</v>
      </c>
    </row>
    <row r="733" spans="1:5" x14ac:dyDescent="0.25">
      <c r="A733" s="521" t="s">
        <v>1007</v>
      </c>
      <c r="B733" s="523">
        <v>900</v>
      </c>
      <c r="C733" s="521">
        <v>3000</v>
      </c>
      <c r="D733" s="521">
        <v>6600</v>
      </c>
      <c r="E733" s="522">
        <f>SUMIFS('Accounting data'!$G$2:$G$37000,'Accounting data'!$H$2:$H$37000,"11*",'Accounting data'!$I$2:$I$37000,"9*",'Accounting data'!$J$2:$J$37000,"3*",'Accounting data'!$K$2:$K$37000,"66*")+SUMIFS('Accounting data'!$G$2:$G$37000,'Accounting data'!$H$2:$H$37000,"12*",'Accounting data'!$I$2:$I$37000,"9*",'Accounting data'!$J$2:$J$37000,"3*",'Accounting data'!$K$2:$K$37000,"66*")+SUMIFS('Accounting data'!$G$2:$G$37000,'Accounting data'!$H$2:$H$37000,"13*",'Accounting data'!$I$2:$I$37000,"9*",'Accounting data'!$J$2:$J$37000,"3*",'Accounting data'!$K$2:$K$37000,"66*")</f>
        <v>0</v>
      </c>
    </row>
    <row r="734" spans="1:5" x14ac:dyDescent="0.25">
      <c r="A734" s="524" t="s">
        <v>1054</v>
      </c>
      <c r="B734" s="524"/>
      <c r="C734" s="524"/>
      <c r="D734" s="524"/>
      <c r="E734" s="526">
        <f>(E722+E723+E724)-(E725+E726+E727+E728+E729+E730+E731+E732+E733)</f>
        <v>2000</v>
      </c>
    </row>
    <row r="945" spans="1:5" x14ac:dyDescent="0.25">
      <c r="A945" s="521" t="s">
        <v>991</v>
      </c>
      <c r="B945" s="521" t="s">
        <v>991</v>
      </c>
      <c r="C945" s="521">
        <v>1000</v>
      </c>
      <c r="D945" s="530">
        <v>6810</v>
      </c>
      <c r="E945" s="522">
        <f>SUMIFS('Accounting data'!$G$2:$G$37000,'Accounting data'!$J$2:$J$37000,"1*",'Accounting data'!$K$2:$K$37000,"681*")</f>
        <v>809</v>
      </c>
    </row>
    <row r="946" spans="1:5" x14ac:dyDescent="0.25">
      <c r="A946" s="521" t="s">
        <v>992</v>
      </c>
      <c r="B946" s="521" t="s">
        <v>991</v>
      </c>
      <c r="C946" s="521">
        <v>1000</v>
      </c>
      <c r="D946" s="530">
        <v>6810</v>
      </c>
      <c r="E946" s="522">
        <f>SUMIFS('Accounting data'!$G$2:$G$37000,'Accounting data'!$H$2:$H$37000,"9999*",'Accounting data'!$J$2:$J$37000,"1*",'Accounting data'!$K$2:$K$37000,"681*")</f>
        <v>0</v>
      </c>
    </row>
    <row r="947" spans="1:5" x14ac:dyDescent="0.25">
      <c r="A947" s="521" t="s">
        <v>991</v>
      </c>
      <c r="B947" s="521" t="s">
        <v>993</v>
      </c>
      <c r="C947" s="521">
        <v>1000</v>
      </c>
      <c r="D947" s="530">
        <v>6810</v>
      </c>
      <c r="E947" s="522">
        <f>SUMIFS('Accounting data'!$G$2:$G$37000,'Accounting data'!$I$2:$I$37000,"7*",'Accounting data'!$J$2:$J$37000,"1*",'Accounting data'!$K$2:$K$37000,"681*")+SUMIFS('Accounting data'!$G$2:$G$37000,'Accounting data'!$I$2:$I$37000,"8*",'Accounting data'!$J$2:$J$37000,"1*",'Accounting data'!$K$2:$K$37000,"681*")+SUMIFS('Accounting data'!$G$2:$G$37000,'Accounting data'!$I$2:$I$37000,"9*",'Accounting data'!$J$2:$J$37000,"1*",'Accounting data'!$K$2:$K$37000,"681*")</f>
        <v>0</v>
      </c>
    </row>
    <row r="948" spans="1:5" x14ac:dyDescent="0.25">
      <c r="A948" s="523" t="s">
        <v>992</v>
      </c>
      <c r="B948" s="521" t="s">
        <v>993</v>
      </c>
      <c r="C948" s="521">
        <v>1000</v>
      </c>
      <c r="D948" s="530">
        <v>6810</v>
      </c>
      <c r="E948" s="522">
        <f>SUMIFS('Accounting data'!$G$2:$G$37000,'Accounting data'!$H$2:$H$37000,"9999*",'Accounting data'!$I$2:$I$37000,"7*",'Accounting data'!$J$2:$J$37000,"1*",'Accounting data'!$K$2:$K$37000,"681*")+SUMIFS('Accounting data'!$G$2:$G$37000,'Accounting data'!$H$2:$H$37000,"9999*",'Accounting data'!$I$2:$I$37000,"8*",'Accounting data'!$J$2:$J$37000,"1*",'Accounting data'!$K$2:$K$37000,"681*")+SUMIFS('Accounting data'!$G$2:$G$37000,'Accounting data'!$H$2:$H$37000,"9999*",'Accounting data'!$I$2:$I$37000,"9*",'Accounting data'!$J$2:$J$37000,"1*",'Accounting data'!$K$2:$K$37000,"681*")</f>
        <v>0</v>
      </c>
    </row>
    <row r="949" spans="1:5" x14ac:dyDescent="0.25">
      <c r="A949" s="521"/>
      <c r="B949" s="521"/>
      <c r="C949" s="521"/>
      <c r="D949" s="530"/>
      <c r="E949" s="522"/>
    </row>
    <row r="950" spans="1:5" x14ac:dyDescent="0.25">
      <c r="A950" s="521"/>
      <c r="B950" s="521"/>
      <c r="C950" s="521"/>
      <c r="D950" s="530"/>
      <c r="E950" s="522"/>
    </row>
    <row r="951" spans="1:5" x14ac:dyDescent="0.25">
      <c r="A951" s="524" t="s">
        <v>1055</v>
      </c>
      <c r="B951" s="524"/>
      <c r="C951" s="524"/>
      <c r="D951" s="524"/>
      <c r="E951" s="526">
        <f>((E945-E946-E947)+(E948+E949+E950))</f>
        <v>809</v>
      </c>
    </row>
    <row r="952" spans="1:5" x14ac:dyDescent="0.25">
      <c r="A952" s="521" t="s">
        <v>991</v>
      </c>
      <c r="B952" s="521" t="s">
        <v>991</v>
      </c>
      <c r="C952" s="521">
        <v>2100</v>
      </c>
      <c r="D952" s="530">
        <v>6810</v>
      </c>
      <c r="E952" s="522">
        <f>SUMIFS('Accounting data'!$G$2:$G$37000,'Accounting data'!$J$2:$J$37000,"21*",'Accounting data'!$K$2:$K$37000,"681*")</f>
        <v>99</v>
      </c>
    </row>
    <row r="953" spans="1:5" x14ac:dyDescent="0.25">
      <c r="A953" s="521" t="s">
        <v>992</v>
      </c>
      <c r="B953" s="521" t="s">
        <v>991</v>
      </c>
      <c r="C953" s="521">
        <v>2100</v>
      </c>
      <c r="D953" s="530">
        <v>6810</v>
      </c>
      <c r="E953" s="522">
        <f>SUMIFS('Accounting data'!$G$2:$G$37000,'Accounting data'!$H$2:$H$37000,"9999*",'Accounting data'!$J$2:$J$37000,"21*",'Accounting data'!$K$2:$K$37000,"681*")</f>
        <v>0</v>
      </c>
    </row>
    <row r="954" spans="1:5" x14ac:dyDescent="0.25">
      <c r="A954" s="521" t="s">
        <v>991</v>
      </c>
      <c r="B954" s="521" t="s">
        <v>993</v>
      </c>
      <c r="C954" s="521">
        <v>2100</v>
      </c>
      <c r="D954" s="530">
        <v>6810</v>
      </c>
      <c r="E954" s="522">
        <f>SUMIFS('Accounting data'!$G$2:$G$37000,'Accounting data'!$I$2:$I$37000,"7*",'Accounting data'!$J$2:$J$37000,"21*",'Accounting data'!$K$2:$K$37000,"681*")+SUMIFS('Accounting data'!$G$2:$G$37000,'Accounting data'!$I$2:$I$37000,"8*",'Accounting data'!$J$2:$J$37000,"21*",'Accounting data'!$K$2:$K$37000,"681*")+SUMIFS('Accounting data'!$G$2:$G$37000,'Accounting data'!$I$2:$I$37000,"9*",'Accounting data'!$J$2:$J$37000,"21*",'Accounting data'!$K$2:$K$37000,"681*")</f>
        <v>0</v>
      </c>
    </row>
    <row r="955" spans="1:5" x14ac:dyDescent="0.25">
      <c r="A955" s="523" t="s">
        <v>992</v>
      </c>
      <c r="B955" s="521" t="s">
        <v>993</v>
      </c>
      <c r="C955" s="521">
        <v>2100</v>
      </c>
      <c r="D955" s="530">
        <v>6810</v>
      </c>
      <c r="E955" s="522">
        <f>SUMIFS('Accounting data'!$G$2:$G$37000,'Accounting data'!$H$2:$H$37000,"9999*",'Accounting data'!$I$2:$I$37000,"7*",'Accounting data'!$J$2:$J$37000,"21*",'Accounting data'!$K$2:$K$37000,"681*")+SUMIFS('Accounting data'!$G$2:$G$37000,'Accounting data'!$H$2:$H$37000,"9999*",'Accounting data'!$I$2:$I$37000,"8*",'Accounting data'!$J$2:$J$37000,"21*",'Accounting data'!$K$2:$K$37000,"681*")+SUMIFS('Accounting data'!$G$2:$G$37000,'Accounting data'!$H$2:$H$37000,"9999*",'Accounting data'!$I$2:$I$37000,"9*",'Accounting data'!$J$2:$J$37000,"21*",'Accounting data'!$K$2:$K$37000,"681*")</f>
        <v>0</v>
      </c>
    </row>
    <row r="956" spans="1:5" x14ac:dyDescent="0.25">
      <c r="A956" s="521"/>
      <c r="B956" s="521"/>
      <c r="C956" s="521"/>
      <c r="D956" s="530"/>
      <c r="E956" s="522"/>
    </row>
    <row r="957" spans="1:5" x14ac:dyDescent="0.25">
      <c r="A957" s="521"/>
      <c r="B957" s="521"/>
      <c r="C957" s="521"/>
      <c r="D957" s="530"/>
      <c r="E957" s="522"/>
    </row>
    <row r="958" spans="1:5" x14ac:dyDescent="0.25">
      <c r="A958" s="524" t="s">
        <v>1056</v>
      </c>
      <c r="B958" s="524"/>
      <c r="C958" s="524"/>
      <c r="D958" s="524"/>
      <c r="E958" s="526">
        <f>(E952-E953-E954)+(E955+E956+E957)</f>
        <v>99</v>
      </c>
    </row>
    <row r="959" spans="1:5" x14ac:dyDescent="0.25">
      <c r="A959" s="521" t="s">
        <v>991</v>
      </c>
      <c r="B959" s="521" t="s">
        <v>991</v>
      </c>
      <c r="C959" s="521">
        <v>2200</v>
      </c>
      <c r="D959" s="530">
        <v>6810</v>
      </c>
      <c r="E959" s="522">
        <f>SUMIFS('Accounting data'!$G$2:$G$37000,'Accounting data'!$J$2:$J$37000,"22*",'Accounting data'!$K$2:$K$37000,"681*")</f>
        <v>0</v>
      </c>
    </row>
    <row r="960" spans="1:5" x14ac:dyDescent="0.25">
      <c r="A960" s="521" t="s">
        <v>992</v>
      </c>
      <c r="B960" s="521" t="s">
        <v>991</v>
      </c>
      <c r="C960" s="521">
        <v>2200</v>
      </c>
      <c r="D960" s="530">
        <v>6810</v>
      </c>
      <c r="E960" s="522">
        <f>SUMIFS('Accounting data'!$G$2:$G$37000,'Accounting data'!$H$2:$H$37000,"9999*",'Accounting data'!$J$2:$J$37000,"22*",'Accounting data'!$K$2:$K$37000,"681*")</f>
        <v>0</v>
      </c>
    </row>
    <row r="961" spans="1:5" x14ac:dyDescent="0.25">
      <c r="A961" s="521" t="s">
        <v>991</v>
      </c>
      <c r="B961" s="521" t="s">
        <v>993</v>
      </c>
      <c r="C961" s="521">
        <v>2200</v>
      </c>
      <c r="D961" s="530">
        <v>6810</v>
      </c>
      <c r="E961" s="522">
        <f>SUMIFS('Accounting data'!$G$2:$G$37000,'Accounting data'!$I$2:$I$37000,"7*",'Accounting data'!$J$2:$J$37000,"22*",'Accounting data'!$K$2:$K$37000,"681*")+SUMIFS('Accounting data'!$G$2:$G$37000,'Accounting data'!$I$2:$I$37000,"8*",'Accounting data'!$J$2:$J$37000,"22*",'Accounting data'!$K$2:$K$37000,"681*")+SUMIFS('Accounting data'!$G$2:$G$37000,'Accounting data'!$I$2:$I$37000,"9*",'Accounting data'!$J$2:$J$37000,"22*",'Accounting data'!$K$2:$K$37000,"681*")</f>
        <v>0</v>
      </c>
    </row>
    <row r="962" spans="1:5" x14ac:dyDescent="0.25">
      <c r="A962" s="523" t="s">
        <v>992</v>
      </c>
      <c r="B962" s="521" t="s">
        <v>993</v>
      </c>
      <c r="C962" s="521">
        <v>2200</v>
      </c>
      <c r="D962" s="530">
        <v>6810</v>
      </c>
      <c r="E962" s="522">
        <f>SUMIFS('Accounting data'!$G$2:$G$37000,'Accounting data'!$H$2:$H$37000,"9999*",'Accounting data'!$I$2:$I$37000,"7*",'Accounting data'!$J$2:$J$37000,"22*",'Accounting data'!$K$2:$K$37000,"681*")+SUMIFS('Accounting data'!$G$2:$G$37000,'Accounting data'!$H$2:$H$37000,"9999*",'Accounting data'!$I$2:$I$37000,"8*",'Accounting data'!$J$2:$J$37000,"22*",'Accounting data'!$K$2:$K$37000,"681*")+SUMIFS('Accounting data'!$G$2:$G$37000,'Accounting data'!$H$2:$H$37000,"9999*",'Accounting data'!$I$2:$I$37000,"9*",'Accounting data'!$J$2:$J$37000,"22*",'Accounting data'!$K$2:$K$37000,"681*")</f>
        <v>0</v>
      </c>
    </row>
    <row r="963" spans="1:5" x14ac:dyDescent="0.25">
      <c r="A963" s="521"/>
      <c r="B963" s="521"/>
      <c r="C963" s="521"/>
      <c r="D963" s="530"/>
      <c r="E963" s="522"/>
    </row>
    <row r="964" spans="1:5" x14ac:dyDescent="0.25">
      <c r="A964" s="521"/>
      <c r="B964" s="521"/>
      <c r="C964" s="521"/>
      <c r="D964" s="530"/>
      <c r="E964" s="522"/>
    </row>
    <row r="965" spans="1:5" x14ac:dyDescent="0.25">
      <c r="A965" s="524" t="s">
        <v>1057</v>
      </c>
      <c r="B965" s="524"/>
      <c r="C965" s="524"/>
      <c r="D965" s="524"/>
      <c r="E965" s="526">
        <f>(E959-E960-E961)+(E962+E963+E964)</f>
        <v>0</v>
      </c>
    </row>
    <row r="966" spans="1:5" x14ac:dyDescent="0.25">
      <c r="A966" s="521" t="s">
        <v>991</v>
      </c>
      <c r="B966" s="521" t="s">
        <v>991</v>
      </c>
      <c r="C966" s="521">
        <v>2300</v>
      </c>
      <c r="D966" s="530">
        <v>6810</v>
      </c>
      <c r="E966" s="522">
        <f>SUMIFS('Accounting data'!$G$2:$G$37000,'Accounting data'!$J$2:$J$37000,"23*",'Accounting data'!$K$2:$K$37000,"681*")</f>
        <v>2210</v>
      </c>
    </row>
    <row r="967" spans="1:5" x14ac:dyDescent="0.25">
      <c r="A967" s="521" t="s">
        <v>992</v>
      </c>
      <c r="B967" s="521" t="s">
        <v>991</v>
      </c>
      <c r="C967" s="521">
        <v>2300</v>
      </c>
      <c r="D967" s="530">
        <v>6810</v>
      </c>
      <c r="E967" s="522">
        <f>SUMIFS('Accounting data'!$G$2:$G$37000,'Accounting data'!$H$2:$H$37000,"9999*",'Accounting data'!$J$2:$J$37000,"23*",'Accounting data'!$K$2:$K$37000,"681*")</f>
        <v>0</v>
      </c>
    </row>
    <row r="968" spans="1:5" x14ac:dyDescent="0.25">
      <c r="A968" s="521" t="s">
        <v>991</v>
      </c>
      <c r="B968" s="521" t="s">
        <v>993</v>
      </c>
      <c r="C968" s="521">
        <v>2300</v>
      </c>
      <c r="D968" s="530">
        <v>6810</v>
      </c>
      <c r="E968" s="522">
        <f>SUMIFS('Accounting data'!$G$2:$G$37000,'Accounting data'!$I$2:$I$37000,"7*",'Accounting data'!$J$2:$J$37000,"23*",'Accounting data'!$K$2:$K$37000,"681*")+SUMIFS('Accounting data'!$G$2:$G$37000,'Accounting data'!$I$2:$I$37000,"8*",'Accounting data'!$J$2:$J$37000,"23*",'Accounting data'!$K$2:$K$37000,"681*")+SUMIFS('Accounting data'!$G$2:$G$37000,'Accounting data'!$I$2:$I$37000,"9*",'Accounting data'!$J$2:$J$37000,"23*",'Accounting data'!$K$2:$K$37000,"681*")</f>
        <v>0</v>
      </c>
    </row>
    <row r="969" spans="1:5" x14ac:dyDescent="0.25">
      <c r="A969" s="523" t="s">
        <v>992</v>
      </c>
      <c r="B969" s="521" t="s">
        <v>993</v>
      </c>
      <c r="C969" s="521">
        <v>2300</v>
      </c>
      <c r="D969" s="530">
        <v>6810</v>
      </c>
      <c r="E969" s="522">
        <f>SUMIFS('Accounting data'!$G$2:$G$37000,'Accounting data'!$H$2:$H$37000,"9999*",'Accounting data'!$I$2:$I$37000,"7*",'Accounting data'!$J$2:$J$37000,"23*",'Accounting data'!$K$2:$K$37000,"681*")+SUMIFS('Accounting data'!$G$2:$G$37000,'Accounting data'!$H$2:$H$37000,"9999*",'Accounting data'!$I$2:$I$37000,"8*",'Accounting data'!$J$2:$J$37000,"23*",'Accounting data'!$K$2:$K$37000,"681*")+SUMIFS('Accounting data'!$G$2:$G$37000,'Accounting data'!$H$2:$H$37000,"9999*",'Accounting data'!$I$2:$I$37000,"9*",'Accounting data'!$J$2:$J$37000,"23*",'Accounting data'!$K$2:$K$37000,"681*")</f>
        <v>0</v>
      </c>
    </row>
    <row r="970" spans="1:5" x14ac:dyDescent="0.25">
      <c r="A970" s="521"/>
      <c r="B970" s="521"/>
      <c r="C970" s="521"/>
      <c r="D970" s="530"/>
      <c r="E970" s="522"/>
    </row>
    <row r="971" spans="1:5" x14ac:dyDescent="0.25">
      <c r="A971" s="521"/>
      <c r="B971" s="521"/>
      <c r="C971" s="521"/>
      <c r="D971" s="530"/>
      <c r="E971" s="522"/>
    </row>
    <row r="972" spans="1:5" x14ac:dyDescent="0.25">
      <c r="A972" s="524" t="s">
        <v>1058</v>
      </c>
      <c r="B972" s="524"/>
      <c r="C972" s="524"/>
      <c r="D972" s="524"/>
      <c r="E972" s="526">
        <f>(E966-E967-E968)+(E969+E970+E971)</f>
        <v>2210</v>
      </c>
    </row>
    <row r="973" spans="1:5" x14ac:dyDescent="0.25">
      <c r="A973" s="521" t="s">
        <v>991</v>
      </c>
      <c r="B973" s="521" t="s">
        <v>991</v>
      </c>
      <c r="C973" s="521">
        <v>2400</v>
      </c>
      <c r="D973" s="530">
        <v>6810</v>
      </c>
      <c r="E973" s="522">
        <f>SUMIFS('Accounting data'!$G$2:$G$37000,'Accounting data'!$J$2:$J$37000,"24*",'Accounting data'!$K$2:$K$37000,"681*")</f>
        <v>3384</v>
      </c>
    </row>
    <row r="974" spans="1:5" x14ac:dyDescent="0.25">
      <c r="A974" s="521" t="s">
        <v>992</v>
      </c>
      <c r="B974" s="521" t="s">
        <v>991</v>
      </c>
      <c r="C974" s="521">
        <v>2400</v>
      </c>
      <c r="D974" s="530">
        <v>6810</v>
      </c>
      <c r="E974" s="522">
        <f>SUMIFS('Accounting data'!$G$2:$G$37000,'Accounting data'!$H$2:$H$37000,"9999*",'Accounting data'!$J$2:$J$37000,"24*",'Accounting data'!$K$2:$K$37000,"681*")</f>
        <v>0</v>
      </c>
    </row>
    <row r="975" spans="1:5" x14ac:dyDescent="0.25">
      <c r="A975" s="521" t="s">
        <v>991</v>
      </c>
      <c r="B975" s="521" t="s">
        <v>993</v>
      </c>
      <c r="C975" s="521">
        <v>2400</v>
      </c>
      <c r="D975" s="530">
        <v>6810</v>
      </c>
      <c r="E975" s="522">
        <f>SUMIFS('Accounting data'!$G$2:$G$37000,'Accounting data'!$I$2:$I$37000,"7*",'Accounting data'!$J$2:$J$37000,"24*",'Accounting data'!$K$2:$K$37000,"681*")+SUMIFS('Accounting data'!$G$2:$G$37000,'Accounting data'!$I$2:$I$37000,"8*",'Accounting data'!$J$2:$J$37000,"24*",'Accounting data'!$K$2:$K$37000,"681*")+SUMIFS('Accounting data'!$G$2:$G$37000,'Accounting data'!$I$2:$I$37000,"9*",'Accounting data'!$J$2:$J$37000,"24*",'Accounting data'!$K$2:$K$37000,"681*")</f>
        <v>0</v>
      </c>
    </row>
    <row r="976" spans="1:5" x14ac:dyDescent="0.25">
      <c r="A976" s="523" t="s">
        <v>992</v>
      </c>
      <c r="B976" s="521" t="s">
        <v>993</v>
      </c>
      <c r="C976" s="521">
        <v>2400</v>
      </c>
      <c r="D976" s="530">
        <v>6810</v>
      </c>
      <c r="E976" s="522">
        <f>SUMIFS('Accounting data'!$G$2:$G$37000,'Accounting data'!$H$2:$H$37000,"9999*",'Accounting data'!$I$2:$I$37000,"7*",'Accounting data'!$J$2:$J$37000,"24*",'Accounting data'!$K$2:$K$37000,"681*")+SUMIFS('Accounting data'!$G$2:$G$37000,'Accounting data'!$H$2:$H$37000,"9999*",'Accounting data'!$I$2:$I$37000,"8*",'Accounting data'!$J$2:$J$37000,"24*",'Accounting data'!$K$2:$K$37000,"681*")+SUMIFS('Accounting data'!$G$2:$G$37000,'Accounting data'!$H$2:$H$37000,"9999*",'Accounting data'!$I$2:$I$37000,"9*",'Accounting data'!$J$2:$J$37000,"24*",'Accounting data'!$K$2:$K$37000,"681*")</f>
        <v>0</v>
      </c>
    </row>
    <row r="979" spans="1:5" x14ac:dyDescent="0.25">
      <c r="A979" s="524" t="s">
        <v>1059</v>
      </c>
      <c r="B979" s="524"/>
      <c r="C979" s="524"/>
      <c r="D979" s="524"/>
      <c r="E979" s="526">
        <f>(E973-E974-E975)+(E976+E977+E978)</f>
        <v>3384</v>
      </c>
    </row>
    <row r="980" spans="1:5" x14ac:dyDescent="0.25">
      <c r="A980" s="521" t="s">
        <v>991</v>
      </c>
      <c r="B980" s="521" t="s">
        <v>991</v>
      </c>
      <c r="C980" s="521">
        <v>2500</v>
      </c>
      <c r="D980" s="530">
        <v>6810</v>
      </c>
      <c r="E980" s="522">
        <f>SUMIFS('Accounting data'!$G$2:$G$37000,'Accounting data'!$J$2:$J$37000,"25*",'Accounting data'!$K$2:$K$37000,"681*")</f>
        <v>17307</v>
      </c>
    </row>
    <row r="981" spans="1:5" x14ac:dyDescent="0.25">
      <c r="A981" s="521" t="s">
        <v>992</v>
      </c>
      <c r="B981" s="521" t="s">
        <v>991</v>
      </c>
      <c r="C981" s="521">
        <v>2500</v>
      </c>
      <c r="D981" s="530">
        <v>6810</v>
      </c>
      <c r="E981" s="522">
        <f>SUMIFS('Accounting data'!$G$2:$G$37000,'Accounting data'!$H$2:$H$37000,"9999*",'Accounting data'!$J$2:$J$37000,"25*",'Accounting data'!$K$2:$K$37000,"681*")</f>
        <v>0</v>
      </c>
    </row>
    <row r="982" spans="1:5" x14ac:dyDescent="0.25">
      <c r="A982" s="521" t="s">
        <v>991</v>
      </c>
      <c r="B982" s="521" t="s">
        <v>993</v>
      </c>
      <c r="C982" s="521">
        <v>2500</v>
      </c>
      <c r="D982" s="530">
        <v>6810</v>
      </c>
      <c r="E982" s="522">
        <f>SUMIFS('Accounting data'!$G$2:$G$37000,'Accounting data'!$I$2:$I$37000,"7*",'Accounting data'!$J$2:$J$37000,"25*",'Accounting data'!$K$2:$K$37000,"681*")+SUMIFS('Accounting data'!$G$2:$G$37000,'Accounting data'!$I$2:$I$37000,"8*",'Accounting data'!$J$2:$J$37000,"25*",'Accounting data'!$K$2:$K$37000,"681*")+SUMIFS('Accounting data'!$G$2:$G$37000,'Accounting data'!$I$2:$I$37000,"9*",'Accounting data'!$J$2:$J$37000,"25*",'Accounting data'!$K$2:$K$37000,"681*")</f>
        <v>0</v>
      </c>
    </row>
    <row r="983" spans="1:5" x14ac:dyDescent="0.25">
      <c r="A983" s="523" t="s">
        <v>992</v>
      </c>
      <c r="B983" s="521" t="s">
        <v>993</v>
      </c>
      <c r="C983" s="521">
        <v>2500</v>
      </c>
      <c r="D983" s="530">
        <v>6810</v>
      </c>
      <c r="E983" s="522">
        <f>SUMIFS('Accounting data'!$G$2:$G$37000,'Accounting data'!$H$2:$H$37000,"9999*",'Accounting data'!$I$2:$I$37000,"7*",'Accounting data'!$J$2:$J$37000,"25*",'Accounting data'!$K$2:$K$37000,"681*")+SUMIFS('Accounting data'!$G$2:$G$37000,'Accounting data'!$H$2:$H$37000,"9999*",'Accounting data'!$I$2:$I$37000,"8*",'Accounting data'!$J$2:$J$37000,"25*",'Accounting data'!$K$2:$K$37000,"681*")+SUMIFS('Accounting data'!$G$2:$G$37000,'Accounting data'!$H$2:$H$37000,"9999*",'Accounting data'!$I$2:$I$37000,"9*",'Accounting data'!$J$2:$J$37000,"25*",'Accounting data'!$K$2:$K$37000,"681*")</f>
        <v>0</v>
      </c>
    </row>
    <row r="984" spans="1:5" x14ac:dyDescent="0.25">
      <c r="A984" s="521"/>
      <c r="B984" s="521"/>
      <c r="C984" s="521"/>
      <c r="D984" s="530"/>
      <c r="E984" s="522"/>
    </row>
    <row r="985" spans="1:5" x14ac:dyDescent="0.25">
      <c r="A985" s="521"/>
      <c r="B985" s="521"/>
      <c r="C985" s="521"/>
      <c r="D985" s="530"/>
      <c r="E985" s="522"/>
    </row>
    <row r="986" spans="1:5" x14ac:dyDescent="0.25">
      <c r="A986" s="524" t="s">
        <v>1060</v>
      </c>
      <c r="B986" s="524"/>
      <c r="C986" s="524"/>
      <c r="D986" s="524"/>
      <c r="E986" s="526">
        <f>(E980-E981-E982)+(E983+E984+E985)</f>
        <v>17307</v>
      </c>
    </row>
    <row r="987" spans="1:5" x14ac:dyDescent="0.25">
      <c r="A987" s="521" t="s">
        <v>991</v>
      </c>
      <c r="B987" s="521" t="s">
        <v>991</v>
      </c>
      <c r="C987" s="521">
        <v>2900</v>
      </c>
      <c r="D987" s="530">
        <v>6810</v>
      </c>
      <c r="E987" s="522">
        <f>SUMIFS('Accounting data'!$G$2:$G$37000,'Accounting data'!$J$2:$J$37000,"29*",'Accounting data'!$K$2:$K$37000,"681*")</f>
        <v>0</v>
      </c>
    </row>
    <row r="988" spans="1:5" x14ac:dyDescent="0.25">
      <c r="A988" s="521" t="s">
        <v>992</v>
      </c>
      <c r="B988" s="521" t="s">
        <v>991</v>
      </c>
      <c r="C988" s="521">
        <v>2900</v>
      </c>
      <c r="D988" s="530">
        <v>6810</v>
      </c>
      <c r="E988" s="522">
        <f>SUMIFS('Accounting data'!$G$2:$G$37000,'Accounting data'!$H$2:$H$37000,"9999*",'Accounting data'!$J$2:$J$37000,"29*",'Accounting data'!$K$2:$K$37000,"681*")</f>
        <v>0</v>
      </c>
    </row>
    <row r="989" spans="1:5" x14ac:dyDescent="0.25">
      <c r="A989" s="521" t="s">
        <v>991</v>
      </c>
      <c r="B989" s="521" t="s">
        <v>993</v>
      </c>
      <c r="C989" s="521">
        <v>2900</v>
      </c>
      <c r="D989" s="530">
        <v>6810</v>
      </c>
      <c r="E989" s="522">
        <f>SUMIFS('Accounting data'!$G$2:$G$37000,'Accounting data'!$I$2:$I$37000,"7*",'Accounting data'!$J$2:$J$37000,"29*",'Accounting data'!$K$2:$K$37000,"681*")+SUMIFS('Accounting data'!$G$2:$G$37000,'Accounting data'!$I$2:$I$37000,"8*",'Accounting data'!$J$2:$J$37000,"29*",'Accounting data'!$K$2:$K$37000,"681*")+SUMIFS('Accounting data'!$G$2:$G$37000,'Accounting data'!$I$2:$I$37000,"9*",'Accounting data'!$J$2:$J$37000,"29*",'Accounting data'!$K$2:$K$37000,"681*")</f>
        <v>0</v>
      </c>
    </row>
    <row r="990" spans="1:5" x14ac:dyDescent="0.25">
      <c r="A990" s="523" t="s">
        <v>992</v>
      </c>
      <c r="B990" s="521" t="s">
        <v>993</v>
      </c>
      <c r="C990" s="521">
        <v>2900</v>
      </c>
      <c r="D990" s="530">
        <v>6810</v>
      </c>
      <c r="E990" s="522">
        <f>SUMIFS('Accounting data'!$G$2:$G$37000,'Accounting data'!$H$2:$H$37000,"9999*",'Accounting data'!$I$2:$I$37000,"7*",'Accounting data'!$J$2:$J$37000,"29*",'Accounting data'!$K$2:$K$37000,"681*")+SUMIFS('Accounting data'!$G$2:$G$37000,'Accounting data'!$H$2:$H$37000,"9999*",'Accounting data'!$I$2:$I$37000,"8*",'Accounting data'!$J$2:$J$37000,"29*",'Accounting data'!$K$2:$K$37000,"681*")+SUMIFS('Accounting data'!$G$2:$G$37000,'Accounting data'!$H$2:$H$37000,"9999*",'Accounting data'!$I$2:$I$37000,"9*",'Accounting data'!$J$2:$J$37000,"29*",'Accounting data'!$K$2:$K$37000,"681*")</f>
        <v>0</v>
      </c>
    </row>
    <row r="993" spans="1:5" x14ac:dyDescent="0.25">
      <c r="A993" s="524" t="s">
        <v>1061</v>
      </c>
      <c r="B993" s="524"/>
      <c r="C993" s="524"/>
      <c r="D993" s="524"/>
      <c r="E993" s="526">
        <f>(E987-E988-E989)+(E990+E991+E992)</f>
        <v>0</v>
      </c>
    </row>
    <row r="994" spans="1:5" x14ac:dyDescent="0.25">
      <c r="A994" s="521" t="s">
        <v>991</v>
      </c>
      <c r="B994" s="521" t="s">
        <v>991</v>
      </c>
      <c r="C994" s="521">
        <v>2600</v>
      </c>
      <c r="D994" s="530">
        <v>6810</v>
      </c>
      <c r="E994" s="522">
        <f>SUMIFS('Accounting data'!$G$2:$G$37000,'Accounting data'!$J$2:$J$37000,"26*",'Accounting data'!$K$2:$K$37000,"681*")</f>
        <v>705</v>
      </c>
    </row>
    <row r="995" spans="1:5" x14ac:dyDescent="0.25">
      <c r="A995" s="521" t="s">
        <v>992</v>
      </c>
      <c r="B995" s="521" t="s">
        <v>991</v>
      </c>
      <c r="C995" s="521">
        <v>2600</v>
      </c>
      <c r="D995" s="530">
        <v>6810</v>
      </c>
      <c r="E995" s="522">
        <f>SUMIFS('Accounting data'!$G$2:$G$37000,'Accounting data'!$H$2:$H$37000,"9999*",'Accounting data'!$J$2:$J$37000,"26*",'Accounting data'!$K$2:$K$37000,"681*")</f>
        <v>0</v>
      </c>
    </row>
    <row r="996" spans="1:5" x14ac:dyDescent="0.25">
      <c r="A996" s="521" t="s">
        <v>991</v>
      </c>
      <c r="B996" s="521" t="s">
        <v>993</v>
      </c>
      <c r="C996" s="521">
        <v>2600</v>
      </c>
      <c r="D996" s="530">
        <v>6810</v>
      </c>
      <c r="E996" s="522">
        <f>SUMIFS('Accounting data'!$G$2:$G$37000,'Accounting data'!$I$2:$I$37000,"7*",'Accounting data'!$J$2:$J$37000,"26*",'Accounting data'!$K$2:$K$37000,"681*")+SUMIFS('Accounting data'!$G$2:$G$37000,'Accounting data'!$I$2:$I$37000,"8*",'Accounting data'!$J$2:$J$37000,"26*",'Accounting data'!$K$2:$K$37000,"681*")+SUMIFS('Accounting data'!$G$2:$G$37000,'Accounting data'!$I$2:$I$37000,"9*",'Accounting data'!$J$2:$J$37000,"26*",'Accounting data'!$K$2:$K$37000,"681*")</f>
        <v>0</v>
      </c>
    </row>
    <row r="997" spans="1:5" x14ac:dyDescent="0.25">
      <c r="A997" s="523" t="s">
        <v>992</v>
      </c>
      <c r="B997" s="521" t="s">
        <v>993</v>
      </c>
      <c r="C997" s="521">
        <v>2600</v>
      </c>
      <c r="D997" s="530">
        <v>6810</v>
      </c>
      <c r="E997" s="522">
        <f>SUMIFS('Accounting data'!$G$2:$G$37000,'Accounting data'!$H$2:$H$37000,"9999*",'Accounting data'!$I$2:$I$37000,"7*",'Accounting data'!$J$2:$J$37000,"26*",'Accounting data'!$K$2:$K$37000,"681*")+SUMIFS('Accounting data'!$G$2:$G$37000,'Accounting data'!$H$2:$H$37000,"9999*",'Accounting data'!$I$2:$I$37000,"8*",'Accounting data'!$J$2:$J$37000,"26*",'Accounting data'!$K$2:$K$37000,"681*")+SUMIFS('Accounting data'!$G$2:$G$37000,'Accounting data'!$H$2:$H$37000,"9999*",'Accounting data'!$I$2:$I$37000,"9*",'Accounting data'!$J$2:$J$37000,"26*",'Accounting data'!$K$2:$K$37000,"681*")</f>
        <v>0</v>
      </c>
    </row>
    <row r="998" spans="1:5" x14ac:dyDescent="0.25">
      <c r="A998" s="521"/>
      <c r="B998" s="521"/>
      <c r="C998" s="521"/>
      <c r="D998" s="530"/>
      <c r="E998" s="522"/>
    </row>
    <row r="999" spans="1:5" x14ac:dyDescent="0.25">
      <c r="A999" s="521"/>
      <c r="B999" s="521"/>
      <c r="C999" s="521"/>
      <c r="D999" s="530"/>
      <c r="E999" s="522"/>
    </row>
    <row r="1000" spans="1:5" x14ac:dyDescent="0.25">
      <c r="A1000" s="524" t="s">
        <v>1062</v>
      </c>
      <c r="B1000" s="524"/>
      <c r="C1000" s="524"/>
      <c r="D1000" s="524"/>
      <c r="E1000" s="526">
        <f>(E994-E995-E996)+(E997+E998+E999)</f>
        <v>705</v>
      </c>
    </row>
    <row r="1001" spans="1:5" x14ac:dyDescent="0.25">
      <c r="A1001" s="521" t="s">
        <v>991</v>
      </c>
      <c r="B1001" s="521" t="s">
        <v>991</v>
      </c>
      <c r="C1001" s="521">
        <v>2700</v>
      </c>
      <c r="D1001" s="530">
        <v>6810</v>
      </c>
      <c r="E1001" s="522">
        <f>SUMIFS('Accounting data'!$G$2:$G$37000,'Accounting data'!$J$2:$J$37000,"27*",'Accounting data'!$K$2:$K$37000,"681*")</f>
        <v>0</v>
      </c>
    </row>
    <row r="1002" spans="1:5" x14ac:dyDescent="0.25">
      <c r="A1002" s="521" t="s">
        <v>992</v>
      </c>
      <c r="B1002" s="521" t="s">
        <v>991</v>
      </c>
      <c r="C1002" s="521">
        <v>2700</v>
      </c>
      <c r="D1002" s="530">
        <v>6810</v>
      </c>
      <c r="E1002" s="522">
        <f>SUMIFS('Accounting data'!$G$2:$G$37000,'Accounting data'!$H$2:$H$37000,"9999*",'Accounting data'!$J$2:$J$37000,"27*",'Accounting data'!$K$2:$K$37000,"681*")</f>
        <v>0</v>
      </c>
    </row>
    <row r="1003" spans="1:5" x14ac:dyDescent="0.25">
      <c r="A1003" s="521" t="s">
        <v>991</v>
      </c>
      <c r="B1003" s="521" t="s">
        <v>993</v>
      </c>
      <c r="C1003" s="521">
        <v>2700</v>
      </c>
      <c r="D1003" s="530">
        <v>6810</v>
      </c>
      <c r="E1003" s="522">
        <f>SUMIFS('Accounting data'!$G$2:$G$37000,'Accounting data'!$I$2:$I$37000,"7*",'Accounting data'!$J$2:$J$37000,"27*",'Accounting data'!$K$2:$K$37000,"681*")+SUMIFS('Accounting data'!$G$2:$G$37000,'Accounting data'!$I$2:$I$37000,"8*",'Accounting data'!$J$2:$J$37000,"27*",'Accounting data'!$K$2:$K$37000,"681*")+SUMIFS('Accounting data'!$G$2:$G$37000,'Accounting data'!$I$2:$I$37000,"9*",'Accounting data'!$J$2:$J$37000,"27*",'Accounting data'!$K$2:$K$37000,"681*")</f>
        <v>0</v>
      </c>
    </row>
    <row r="1004" spans="1:5" x14ac:dyDescent="0.25">
      <c r="A1004" s="523" t="s">
        <v>992</v>
      </c>
      <c r="B1004" s="521" t="s">
        <v>993</v>
      </c>
      <c r="C1004" s="521">
        <v>2700</v>
      </c>
      <c r="D1004" s="530">
        <v>6810</v>
      </c>
      <c r="E1004" s="522">
        <f>SUMIFS('Accounting data'!$G$2:$G$37000,'Accounting data'!$H$2:$H$37000,"9999*",'Accounting data'!$I$2:$I$37000,"7*",'Accounting data'!$J$2:$J$37000,"27*",'Accounting data'!$K$2:$K$37000,"681*")+SUMIFS('Accounting data'!$G$2:$G$37000,'Accounting data'!$H$2:$H$37000,"9999*",'Accounting data'!$I$2:$I$37000,"8*",'Accounting data'!$J$2:$J$37000,"27*",'Accounting data'!$K$2:$K$37000,"681*")+SUMIFS('Accounting data'!$G$2:$G$37000,'Accounting data'!$H$2:$H$37000,"9999*",'Accounting data'!$I$2:$I$37000,"9*",'Accounting data'!$J$2:$J$37000,"27*",'Accounting data'!$K$2:$K$37000,"681*")</f>
        <v>0</v>
      </c>
    </row>
    <row r="1005" spans="1:5" x14ac:dyDescent="0.25">
      <c r="A1005" s="521"/>
      <c r="B1005" s="521"/>
      <c r="C1005" s="521"/>
      <c r="D1005" s="530"/>
      <c r="E1005" s="522"/>
    </row>
    <row r="1006" spans="1:5" x14ac:dyDescent="0.25">
      <c r="A1006" s="521"/>
      <c r="B1006" s="521"/>
      <c r="C1006" s="521"/>
      <c r="D1006" s="530"/>
      <c r="E1006" s="522"/>
    </row>
    <row r="1007" spans="1:5" x14ac:dyDescent="0.25">
      <c r="A1007" s="524" t="s">
        <v>1063</v>
      </c>
      <c r="B1007" s="524"/>
      <c r="C1007" s="524"/>
      <c r="D1007" s="524"/>
      <c r="E1007" s="526">
        <f>(E1001-E1002-E1003)+(E1004+E1005+E1006)</f>
        <v>0</v>
      </c>
    </row>
    <row r="1008" spans="1:5" x14ac:dyDescent="0.25">
      <c r="A1008" s="521" t="s">
        <v>991</v>
      </c>
      <c r="B1008" s="521" t="s">
        <v>991</v>
      </c>
      <c r="C1008" s="521">
        <v>3100</v>
      </c>
      <c r="D1008" s="530">
        <v>6810</v>
      </c>
      <c r="E1008" s="522">
        <f>SUMIFS('Accounting data'!$G$2:$G$37000,'Accounting data'!$J$2:$J$37000,"31*",'Accounting data'!$K$2:$K$37000,"681*")</f>
        <v>0</v>
      </c>
    </row>
    <row r="1009" spans="1:5" x14ac:dyDescent="0.25">
      <c r="A1009" s="521" t="s">
        <v>992</v>
      </c>
      <c r="B1009" s="521" t="s">
        <v>991</v>
      </c>
      <c r="C1009" s="521">
        <v>3100</v>
      </c>
      <c r="D1009" s="530">
        <v>6810</v>
      </c>
      <c r="E1009" s="522">
        <f>SUMIFS('Accounting data'!$G$2:$G$37000,'Accounting data'!$H$2:$H$37000,"9999*",'Accounting data'!$J$2:$J$37000,"31*",'Accounting data'!$K$2:$K$37000,"681*")</f>
        <v>0</v>
      </c>
    </row>
    <row r="1010" spans="1:5" x14ac:dyDescent="0.25">
      <c r="A1010" s="521" t="s">
        <v>991</v>
      </c>
      <c r="B1010" s="521" t="s">
        <v>993</v>
      </c>
      <c r="C1010" s="521">
        <v>3100</v>
      </c>
      <c r="D1010" s="530">
        <v>6810</v>
      </c>
      <c r="E1010" s="522">
        <f>SUMIFS('Accounting data'!$G$2:$G$37000,'Accounting data'!$I$2:$I$37000,"7*",'Accounting data'!$J$2:$J$37000,"31*",'Accounting data'!$K$2:$K$37000,"681*")+SUMIFS('Accounting data'!$G$2:$G$37000,'Accounting data'!$I$2:$I$37000,"8*",'Accounting data'!$J$2:$J$37000,"31*",'Accounting data'!$K$2:$K$37000,"681*")+SUMIFS('Accounting data'!$G$2:$G$37000,'Accounting data'!$I$2:$I$37000,"9*",'Accounting data'!$J$2:$J$37000,"31*",'Accounting data'!$K$2:$K$37000,"681*")</f>
        <v>0</v>
      </c>
    </row>
    <row r="1011" spans="1:5" x14ac:dyDescent="0.25">
      <c r="A1011" s="523" t="s">
        <v>992</v>
      </c>
      <c r="B1011" s="521" t="s">
        <v>993</v>
      </c>
      <c r="C1011" s="521">
        <v>3100</v>
      </c>
      <c r="D1011" s="530">
        <v>6810</v>
      </c>
      <c r="E1011" s="522">
        <f>SUMIFS('Accounting data'!$G$2:$G$37000,'Accounting data'!$H$2:$H$37000,"9999*",'Accounting data'!$I$2:$I$37000,"7*",'Accounting data'!$J$2:$J$37000,"31*",'Accounting data'!$K$2:$K$37000,"681*")+SUMIFS('Accounting data'!$G$2:$G$37000,'Accounting data'!$H$2:$H$37000,"9999*",'Accounting data'!$I$2:$I$37000,"8*",'Accounting data'!$J$2:$J$37000,"31*",'Accounting data'!$K$2:$K$37000,"681*")+SUMIFS('Accounting data'!$G$2:$G$37000,'Accounting data'!$H$2:$H$37000,"9999*",'Accounting data'!$I$2:$I$37000,"9*",'Accounting data'!$J$2:$J$37000,"31*",'Accounting data'!$K$2:$K$37000,"681*")</f>
        <v>0</v>
      </c>
    </row>
    <row r="1012" spans="1:5" x14ac:dyDescent="0.25">
      <c r="A1012" s="521"/>
      <c r="B1012" s="521"/>
      <c r="C1012" s="521"/>
      <c r="D1012" s="530"/>
      <c r="E1012" s="522"/>
    </row>
    <row r="1013" spans="1:5" x14ac:dyDescent="0.25">
      <c r="A1013" s="521"/>
      <c r="B1013" s="521"/>
      <c r="C1013" s="521"/>
      <c r="D1013" s="530"/>
      <c r="E1013" s="522"/>
    </row>
    <row r="1014" spans="1:5" x14ac:dyDescent="0.25">
      <c r="A1014" s="524" t="s">
        <v>1064</v>
      </c>
      <c r="B1014" s="524"/>
      <c r="C1014" s="524"/>
      <c r="D1014" s="524"/>
      <c r="E1014" s="526">
        <f>(E1008-E1009-E1010)+(E1011+E1012+E1013)</f>
        <v>0</v>
      </c>
    </row>
    <row r="1015" spans="1:5" x14ac:dyDescent="0.25">
      <c r="A1015" s="521"/>
      <c r="B1015" s="521"/>
      <c r="C1015" s="521"/>
      <c r="D1015" s="530"/>
      <c r="E1015" s="522"/>
    </row>
    <row r="1016" spans="1:5" x14ac:dyDescent="0.25">
      <c r="A1016" s="521"/>
      <c r="B1016" s="521"/>
      <c r="C1016" s="521"/>
      <c r="D1016" s="530"/>
      <c r="E1016" s="522"/>
    </row>
    <row r="1017" spans="1:5" x14ac:dyDescent="0.25">
      <c r="A1017" s="521"/>
      <c r="B1017" s="521"/>
      <c r="C1017" s="521"/>
      <c r="D1017" s="530"/>
      <c r="E1017" s="522"/>
    </row>
    <row r="1018" spans="1:5" x14ac:dyDescent="0.25">
      <c r="A1018" s="523"/>
      <c r="B1018" s="521"/>
      <c r="C1018" s="521"/>
      <c r="D1018" s="530"/>
      <c r="E1018" s="522"/>
    </row>
    <row r="1019" spans="1:5" x14ac:dyDescent="0.25">
      <c r="A1019" s="521"/>
      <c r="B1019" s="521"/>
      <c r="C1019" s="521"/>
      <c r="D1019" s="530"/>
      <c r="E1019" s="522"/>
    </row>
    <row r="1020" spans="1:5" x14ac:dyDescent="0.25">
      <c r="A1020" s="521"/>
      <c r="B1020" s="521"/>
      <c r="C1020" s="521"/>
      <c r="D1020" s="530"/>
      <c r="E1020" s="522"/>
    </row>
    <row r="1021" spans="1:5" x14ac:dyDescent="0.25">
      <c r="A1021" s="524"/>
      <c r="B1021" s="524"/>
      <c r="C1021" s="524"/>
      <c r="D1021" s="524"/>
      <c r="E1021" s="526"/>
    </row>
    <row r="1022" spans="1:5" x14ac:dyDescent="0.25">
      <c r="A1022" s="521" t="s">
        <v>991</v>
      </c>
      <c r="B1022" s="521" t="s">
        <v>991</v>
      </c>
      <c r="C1022" s="521">
        <v>3400</v>
      </c>
      <c r="D1022" s="530">
        <v>6810</v>
      </c>
      <c r="E1022" s="522">
        <f>SUMIFS('Accounting data'!$G$2:$G$37000,'Accounting data'!$J$2:$J$37000,"34*",'Accounting data'!$K$2:$K$37000,"681*")</f>
        <v>0</v>
      </c>
    </row>
    <row r="1023" spans="1:5" x14ac:dyDescent="0.25">
      <c r="A1023" s="521" t="s">
        <v>992</v>
      </c>
      <c r="B1023" s="521" t="s">
        <v>991</v>
      </c>
      <c r="C1023" s="521">
        <v>3400</v>
      </c>
      <c r="D1023" s="530">
        <v>6810</v>
      </c>
      <c r="E1023" s="522">
        <f>SUMIFS('Accounting data'!$G$2:$G$37000,'Accounting data'!$H$2:$H$37000,"9999*",'Accounting data'!$J$2:$J$37000,"34*",'Accounting data'!$K$2:$K$37000,"681*")</f>
        <v>0</v>
      </c>
    </row>
    <row r="1024" spans="1:5" x14ac:dyDescent="0.25">
      <c r="A1024" s="521" t="s">
        <v>991</v>
      </c>
      <c r="B1024" s="521" t="s">
        <v>993</v>
      </c>
      <c r="C1024" s="521">
        <v>3400</v>
      </c>
      <c r="D1024" s="530">
        <v>6810</v>
      </c>
      <c r="E1024" s="522">
        <f>SUMIFS('Accounting data'!$G$2:$G$37000,'Accounting data'!$I$2:$I$37000,"7*",'Accounting data'!$J$2:$J$37000,"34*",'Accounting data'!$K$2:$K$37000,"681*")+SUMIFS('Accounting data'!$G$2:$G$37000,'Accounting data'!$I$2:$I$37000,"8*",'Accounting data'!$J$2:$J$37000,"34*",'Accounting data'!$K$2:$K$37000,"681*")+SUMIFS('Accounting data'!$G$2:$G$37000,'Accounting data'!$I$2:$I$37000,"9*",'Accounting data'!$J$2:$J$37000,"34*",'Accounting data'!$K$2:$K$37000,"681*")</f>
        <v>0</v>
      </c>
    </row>
    <row r="1025" spans="1:5" x14ac:dyDescent="0.25">
      <c r="A1025" s="523" t="s">
        <v>992</v>
      </c>
      <c r="B1025" s="521" t="s">
        <v>993</v>
      </c>
      <c r="C1025" s="521">
        <v>3400</v>
      </c>
      <c r="D1025" s="530">
        <v>6810</v>
      </c>
      <c r="E1025" s="522">
        <f>SUMIFS('Accounting data'!$G$2:$G$37000,'Accounting data'!$H$2:$H$37000,"9999*",'Accounting data'!$I$2:$I$37000,"7*",'Accounting data'!$J$2:$J$37000,"34*",'Accounting data'!$K$2:$K$37000,"681*")+SUMIFS('Accounting data'!$G$2:$G$37000,'Accounting data'!$H$2:$H$37000,"9999*",'Accounting data'!$I$2:$I$37000,"8*",'Accounting data'!$J$2:$J$37000,"34*",'Accounting data'!$K$2:$K$37000,"681*")+SUMIFS('Accounting data'!$G$2:$G$37000,'Accounting data'!$H$2:$H$37000,"9999*",'Accounting data'!$I$2:$I$37000,"9*",'Accounting data'!$J$2:$J$37000,"34*",'Accounting data'!$K$2:$K$37000,"681*")</f>
        <v>0</v>
      </c>
    </row>
    <row r="1026" spans="1:5" x14ac:dyDescent="0.25">
      <c r="A1026" s="521"/>
      <c r="B1026" s="521"/>
      <c r="C1026" s="521"/>
      <c r="D1026" s="530"/>
      <c r="E1026" s="522"/>
    </row>
    <row r="1027" spans="1:5" x14ac:dyDescent="0.25">
      <c r="A1027" s="521"/>
      <c r="B1027" s="521"/>
      <c r="C1027" s="521"/>
      <c r="D1027" s="530"/>
      <c r="E1027" s="522"/>
    </row>
    <row r="1028" spans="1:5" x14ac:dyDescent="0.25">
      <c r="A1028" s="524" t="s">
        <v>1065</v>
      </c>
      <c r="B1028" s="524"/>
      <c r="C1028" s="524"/>
      <c r="D1028" s="524"/>
      <c r="E1028" s="526">
        <f>(E1022-E1023-E1024)+(E1025+E1026+E1027)</f>
        <v>0</v>
      </c>
    </row>
    <row r="1029" spans="1:5" x14ac:dyDescent="0.25">
      <c r="A1029" s="521" t="s">
        <v>991</v>
      </c>
      <c r="B1029" s="521" t="s">
        <v>991</v>
      </c>
      <c r="C1029" s="521">
        <v>4000</v>
      </c>
      <c r="D1029" s="530">
        <v>6810</v>
      </c>
      <c r="E1029" s="522">
        <f>SUMIFS('Accounting data'!$G$2:$G$37000,'Accounting data'!$J$2:$J$37000,"4*",'Accounting data'!$K$2:$K$37000,"681*")</f>
        <v>0</v>
      </c>
    </row>
    <row r="1030" spans="1:5" x14ac:dyDescent="0.25">
      <c r="A1030" s="521" t="s">
        <v>992</v>
      </c>
      <c r="B1030" s="521" t="s">
        <v>991</v>
      </c>
      <c r="C1030" s="521">
        <v>4000</v>
      </c>
      <c r="D1030" s="530">
        <v>6810</v>
      </c>
      <c r="E1030" s="522">
        <f>SUMIFS('Accounting data'!$G$2:$G$37000,'Accounting data'!$H$2:$H$37000,"9999*",'Accounting data'!$J$2:$J$37000,"4*",'Accounting data'!$K$2:$K$37000,"681*")</f>
        <v>0</v>
      </c>
    </row>
    <row r="1031" spans="1:5" x14ac:dyDescent="0.25">
      <c r="A1031" s="521" t="s">
        <v>991</v>
      </c>
      <c r="B1031" s="521" t="s">
        <v>993</v>
      </c>
      <c r="C1031" s="521">
        <v>4000</v>
      </c>
      <c r="D1031" s="530">
        <v>6810</v>
      </c>
      <c r="E1031" s="522">
        <f>SUMIFS('Accounting data'!$G$2:$G$37000,'Accounting data'!$I$2:$I$37000,"7*",'Accounting data'!$J$2:$J$37000,"4*",'Accounting data'!$K$2:$K$37000,"681*")+SUMIFS('Accounting data'!$G$2:$G$37000,'Accounting data'!$I$2:$I$37000,"8*",'Accounting data'!$J$2:$J$37000,"4*",'Accounting data'!$K$2:$K$37000,"681*")+SUMIFS('Accounting data'!$G$2:$G$37000,'Accounting data'!$I$2:$I$37000,"9*",'Accounting data'!$J$2:$J$37000,"4*",'Accounting data'!$K$2:$K$37000,"681*")</f>
        <v>0</v>
      </c>
    </row>
    <row r="1032" spans="1:5" x14ac:dyDescent="0.25">
      <c r="A1032" s="523" t="s">
        <v>992</v>
      </c>
      <c r="B1032" s="521" t="s">
        <v>993</v>
      </c>
      <c r="C1032" s="521">
        <v>4000</v>
      </c>
      <c r="D1032" s="530">
        <v>6810</v>
      </c>
      <c r="E1032" s="522">
        <f>SUMIFS('Accounting data'!$G$2:$G$37000,'Accounting data'!$H$2:$H$37000,"9999*",'Accounting data'!$I$2:$I$37000,"7*",'Accounting data'!$J$2:$J$37000,"4*",'Accounting data'!$K$2:$K$37000,"681*")+SUMIFS('Accounting data'!$G$2:$G$37000,'Accounting data'!$H$2:$H$37000,"9999*",'Accounting data'!$I$2:$I$37000,"8*",'Accounting data'!$J$2:$J$37000,"4*",'Accounting data'!$K$2:$K$37000,"681*")+SUMIFS('Accounting data'!$G$2:$G$37000,'Accounting data'!$H$2:$H$37000,"9999*",'Accounting data'!$I$2:$I$37000,"9*",'Accounting data'!$J$2:$J$37000,"4*",'Accounting data'!$K$2:$K$37000,"681*")</f>
        <v>0</v>
      </c>
    </row>
    <row r="1033" spans="1:5" x14ac:dyDescent="0.25">
      <c r="A1033" s="521"/>
      <c r="B1033" s="521"/>
      <c r="C1033" s="521"/>
      <c r="D1033" s="530"/>
      <c r="E1033" s="522"/>
    </row>
    <row r="1034" spans="1:5" x14ac:dyDescent="0.25">
      <c r="A1034" s="521"/>
      <c r="B1034" s="521"/>
      <c r="C1034" s="521"/>
      <c r="D1034" s="530"/>
      <c r="E1034" s="522"/>
    </row>
    <row r="1035" spans="1:5" x14ac:dyDescent="0.25">
      <c r="A1035" s="524" t="s">
        <v>1066</v>
      </c>
      <c r="B1035" s="524"/>
      <c r="C1035" s="524"/>
      <c r="D1035" s="524"/>
      <c r="E1035" s="526">
        <f>(E1029-E1030-E1031)+(E1032+E1033+E1034)</f>
        <v>0</v>
      </c>
    </row>
    <row r="1036" spans="1:5" x14ac:dyDescent="0.25">
      <c r="A1036" s="527" t="s">
        <v>1067</v>
      </c>
      <c r="B1036" s="527"/>
      <c r="C1036" s="527"/>
      <c r="D1036" s="527"/>
      <c r="E1036" s="531">
        <f>E951+E958+E965+E972+E979+E986+E993+E1000+E1007+E1014+E1021+E1028</f>
        <v>24514</v>
      </c>
    </row>
    <row r="1037" spans="1:5" x14ac:dyDescent="0.25">
      <c r="A1037" s="521" t="s">
        <v>1007</v>
      </c>
      <c r="B1037" s="521" t="s">
        <v>991</v>
      </c>
      <c r="C1037" s="521">
        <v>1000</v>
      </c>
      <c r="D1037" s="521">
        <v>6810</v>
      </c>
      <c r="E1037" s="522">
        <f>SUMIFS('Accounting data'!$G$2:$G$37000,'Accounting data'!$H$2:$H$37000,"11*",'Accounting data'!$J$2:$J$37000,"1*",'Accounting data'!$K$2:$K$37000,"681*")+SUMIFS('Accounting data'!$G$2:$G$37000,'Accounting data'!$H$2:$H$37000,"12*",'Accounting data'!$J$2:$J$37000,"1*",'Accounting data'!$K$2:$K$37000,"681*")+SUMIFS('Accounting data'!$G$2:$G$37000,'Accounting data'!$H$2:$H$37000,"13*",'Accounting data'!$J$2:$J$37000,"1*",'Accounting data'!$K$2:$K$37000,"681*")</f>
        <v>0</v>
      </c>
    </row>
    <row r="1038" spans="1:5" x14ac:dyDescent="0.25">
      <c r="A1038" s="521" t="s">
        <v>1007</v>
      </c>
      <c r="B1038" s="521" t="s">
        <v>991</v>
      </c>
      <c r="C1038" s="521">
        <v>2000</v>
      </c>
      <c r="D1038" s="521">
        <v>6810</v>
      </c>
      <c r="E1038" s="522">
        <f>SUMIFS('Accounting data'!$G$2:$G$37000,'Accounting data'!$H$2:$H$37000,"11*",'Accounting data'!$J$2:$J$37000,"2*",'Accounting data'!$K$2:$K$37000,"681*")+SUMIFS('Accounting data'!$G$2:$G$37000,'Accounting data'!$H$2:$H$37000,"12*",'Accounting data'!$J$2:$J$37000,"2*",'Accounting data'!$K$2:$K$37000,"681*")+SUMIFS('Accounting data'!$G$2:$G$37000,'Accounting data'!$H$2:$H$37000,"13*",'Accounting data'!$J$2:$J$37000,"2*",'Accounting data'!$K$2:$K$37000,"681*")</f>
        <v>0</v>
      </c>
    </row>
    <row r="1039" spans="1:5" x14ac:dyDescent="0.25">
      <c r="A1039" s="521" t="s">
        <v>1007</v>
      </c>
      <c r="B1039" s="521" t="s">
        <v>991</v>
      </c>
      <c r="C1039" s="521">
        <v>3000</v>
      </c>
      <c r="D1039" s="521">
        <v>6810</v>
      </c>
      <c r="E1039" s="522">
        <f>SUMIFS('Accounting data'!$G$2:$G$37000,'Accounting data'!$H$2:$H$37000,"11*",'Accounting data'!$J$2:$J$37000,"3*",'Accounting data'!$K$2:$K$37000,"681*")+SUMIFS('Accounting data'!$G$2:$G$37000,'Accounting data'!$H$2:$H$37000,"12*",'Accounting data'!$J$2:$J$37000,"3*",'Accounting data'!$K$2:$K$37000,"681*")+SUMIFS('Accounting data'!$G$2:$G$37000,'Accounting data'!$H$2:$H$37000,"13*",'Accounting data'!$J$2:$J$37000,"3*",'Accounting data'!$K$2:$K$37000,"681*")</f>
        <v>0</v>
      </c>
    </row>
    <row r="1040" spans="1:5" x14ac:dyDescent="0.25">
      <c r="A1040" s="521" t="s">
        <v>1007</v>
      </c>
      <c r="B1040" s="523">
        <v>700</v>
      </c>
      <c r="C1040" s="521">
        <v>1000</v>
      </c>
      <c r="D1040" s="521">
        <v>6810</v>
      </c>
      <c r="E1040" s="522">
        <f>SUMIFS('Accounting data'!$G$2:$G$37000,'Accounting data'!$H$2:$H$37000,"11*",'Accounting data'!$I$2:$I$37000,"7*",'Accounting data'!$J$2:$J$37000,"1*",'Accounting data'!$K$2:$K$37000,"681*")+SUMIFS('Accounting data'!$G$2:$G$37000,'Accounting data'!$H$2:$H$37000,"12*",'Accounting data'!$I$2:$I$37000,"7*",'Accounting data'!$J$2:$J$37000,"1*",'Accounting data'!$K$2:$K$37000,"681*")+SUMIFS('Accounting data'!$G$2:$G$37000,'Accounting data'!$H$2:$H$37000,"13*",'Accounting data'!$I$2:$I$37000,"7*",'Accounting data'!$J$2:$J$37000,"1*",'Accounting data'!$K$2:$K$37000,"681*")</f>
        <v>0</v>
      </c>
    </row>
    <row r="1041" spans="1:5" x14ac:dyDescent="0.25">
      <c r="A1041" s="521" t="s">
        <v>1007</v>
      </c>
      <c r="B1041" s="523">
        <v>800</v>
      </c>
      <c r="C1041" s="521">
        <v>1000</v>
      </c>
      <c r="D1041" s="521">
        <v>6810</v>
      </c>
      <c r="E1041" s="522">
        <f>SUMIFS('Accounting data'!$G$2:$G$37000,'Accounting data'!$H$2:$H$37000,"11*",'Accounting data'!$I$2:$I$37000,"8*",'Accounting data'!$J$2:$J$37000,"1*",'Accounting data'!$K$2:$K$37000,"681*")+SUMIFS('Accounting data'!$G$2:$G$37000,'Accounting data'!$H$2:$H$37000,"12*",'Accounting data'!$I$2:$I$37000,"8*",'Accounting data'!$J$2:$J$37000,"1*",'Accounting data'!$K$2:$K$37000,"681*")+SUMIFS('Accounting data'!$G$2:$G$37000,'Accounting data'!$H$2:$H$37000,"13*",'Accounting data'!$I$2:$I$37000,"8*",'Accounting data'!$J$2:$J$37000,"1*",'Accounting data'!$K$2:$K$37000,"681*")</f>
        <v>0</v>
      </c>
    </row>
    <row r="1042" spans="1:5" x14ac:dyDescent="0.25">
      <c r="A1042" s="521" t="s">
        <v>1007</v>
      </c>
      <c r="B1042" s="523">
        <v>900</v>
      </c>
      <c r="C1042" s="521">
        <v>1000</v>
      </c>
      <c r="D1042" s="521">
        <v>6810</v>
      </c>
      <c r="E1042" s="522">
        <f>SUMIFS('Accounting data'!$G$2:$G$37000,'Accounting data'!$H$2:$H$37000,"11*",'Accounting data'!$I$2:$I$37000,"9*",'Accounting data'!$J$2:$J$37000,"1*",'Accounting data'!$K$2:$K$37000,"681*")+SUMIFS('Accounting data'!$G$2:$G$37000,'Accounting data'!$H$2:$H$37000,"12*",'Accounting data'!$I$2:$I$37000,"9*",'Accounting data'!$J$2:$J$37000,"1*",'Accounting data'!$K$2:$K$37000,"681*")+SUMIFS('Accounting data'!$G$2:$G$37000,'Accounting data'!$H$2:$H$37000,"13*",'Accounting data'!$I$2:$I$37000,"9*",'Accounting data'!$J$2:$J$37000,"1*",'Accounting data'!$K$2:$K$37000,"681*")</f>
        <v>0</v>
      </c>
    </row>
    <row r="1043" spans="1:5" x14ac:dyDescent="0.25">
      <c r="A1043" s="521" t="s">
        <v>1007</v>
      </c>
      <c r="B1043" s="523">
        <v>700</v>
      </c>
      <c r="C1043" s="521">
        <v>2000</v>
      </c>
      <c r="D1043" s="521">
        <v>6810</v>
      </c>
      <c r="E1043" s="522">
        <f>SUMIFS('Accounting data'!$G$2:$G$37000,'Accounting data'!$H$2:$H$37000,"11*",'Accounting data'!$I$2:$I$37000,"7*",'Accounting data'!$J$2:$J$37000,"2*",'Accounting data'!$K$2:$K$37000,"681*")+SUMIFS('Accounting data'!$G$2:$G$37000,'Accounting data'!$H$2:$H$37000,"12*",'Accounting data'!$I$2:$I$37000,"7*",'Accounting data'!$J$2:$J$37000,"2*",'Accounting data'!$K$2:$K$37000,"681*")+SUMIFS('Accounting data'!$G$2:$G$37000,'Accounting data'!$H$2:$H$37000,"13*",'Accounting data'!$I$2:$I$37000,"7*",'Accounting data'!$J$2:$J$37000,"2*",'Accounting data'!$K$2:$K$37000,"681*")</f>
        <v>0</v>
      </c>
    </row>
    <row r="1044" spans="1:5" x14ac:dyDescent="0.25">
      <c r="A1044" s="521" t="s">
        <v>1007</v>
      </c>
      <c r="B1044" s="523">
        <v>800</v>
      </c>
      <c r="C1044" s="521">
        <v>2000</v>
      </c>
      <c r="D1044" s="521">
        <v>6810</v>
      </c>
      <c r="E1044" s="522">
        <f>SUMIFS('Accounting data'!$G$2:$G$37000,'Accounting data'!$H$2:$H$37000,"11*",'Accounting data'!$I$2:$I$37000,"8*",'Accounting data'!$J$2:$J$37000,"2*",'Accounting data'!$K$2:$K$37000,"681*")+SUMIFS('Accounting data'!$G$2:$G$37000,'Accounting data'!$H$2:$H$37000,"12*",'Accounting data'!$I$2:$I$37000,"8*",'Accounting data'!$J$2:$J$37000,"2*",'Accounting data'!$K$2:$K$37000,"681*")+SUMIFS('Accounting data'!$G$2:$G$37000,'Accounting data'!$H$2:$H$37000,"13*",'Accounting data'!$I$2:$I$37000,"8*",'Accounting data'!$J$2:$J$37000,"2*",'Accounting data'!$K$2:$K$37000,"681*")</f>
        <v>0</v>
      </c>
    </row>
    <row r="1045" spans="1:5" x14ac:dyDescent="0.25">
      <c r="A1045" s="521" t="s">
        <v>1007</v>
      </c>
      <c r="B1045" s="523">
        <v>900</v>
      </c>
      <c r="C1045" s="521">
        <v>2000</v>
      </c>
      <c r="D1045" s="521">
        <v>6810</v>
      </c>
      <c r="E1045" s="522">
        <f>SUMIFS('Accounting data'!$G$2:$G$37000,'Accounting data'!$H$2:$H$37000,"11*",'Accounting data'!$I$2:$I$37000,"9*",'Accounting data'!$J$2:$J$37000,"2*",'Accounting data'!$K$2:$K$37000,"681*")+SUMIFS('Accounting data'!$G$2:$G$37000,'Accounting data'!$H$2:$H$37000,"12*",'Accounting data'!$I$2:$I$37000,"9*",'Accounting data'!$J$2:$J$37000,"2*",'Accounting data'!$K$2:$K$37000,"681*")+SUMIFS('Accounting data'!$G$2:$G$37000,'Accounting data'!$H$2:$H$37000,"13*",'Accounting data'!$I$2:$I$37000,"9*",'Accounting data'!$J$2:$J$37000,"2*",'Accounting data'!$K$2:$K$37000,"681*")</f>
        <v>0</v>
      </c>
    </row>
    <row r="1046" spans="1:5" x14ac:dyDescent="0.25">
      <c r="A1046" s="521" t="s">
        <v>1007</v>
      </c>
      <c r="B1046" s="523">
        <v>700</v>
      </c>
      <c r="C1046" s="521">
        <v>3000</v>
      </c>
      <c r="D1046" s="521">
        <v>6810</v>
      </c>
      <c r="E1046" s="522">
        <f>SUMIFS('Accounting data'!$G$2:$G$37000,'Accounting data'!$H$2:$H$37000,"11*",'Accounting data'!$I$2:$I$37000,"7*",'Accounting data'!$J$2:$J$37000,"3*",'Accounting data'!$K$2:$K$37000,"681*")+SUMIFS('Accounting data'!$G$2:$G$37000,'Accounting data'!$H$2:$H$37000,"12*",'Accounting data'!$I$2:$I$37000,"7*",'Accounting data'!$J$2:$J$37000,"3*",'Accounting data'!$K$2:$K$37000,"681*")+SUMIFS('Accounting data'!$G$2:$G$37000,'Accounting data'!$H$2:$H$37000,"13*",'Accounting data'!$I$2:$I$37000,"7*",'Accounting data'!$J$2:$J$37000,"3*",'Accounting data'!$K$2:$K$37000,"681*")</f>
        <v>0</v>
      </c>
    </row>
    <row r="1047" spans="1:5" x14ac:dyDescent="0.25">
      <c r="A1047" s="521" t="s">
        <v>1007</v>
      </c>
      <c r="B1047" s="523">
        <v>800</v>
      </c>
      <c r="C1047" s="521">
        <v>3000</v>
      </c>
      <c r="D1047" s="521">
        <v>6810</v>
      </c>
      <c r="E1047" s="522">
        <f>SUMIFS('Accounting data'!$G$2:$G$37000,'Accounting data'!$H$2:$H$37000,"11*",'Accounting data'!$I$2:$I$37000,"8*",'Accounting data'!$J$2:$J$37000,"3*",'Accounting data'!$K$2:$K$37000,"681*")+SUMIFS('Accounting data'!$G$2:$G$37000,'Accounting data'!$H$2:$H$37000,"12*",'Accounting data'!$I$2:$I$37000,"8*",'Accounting data'!$J$2:$J$37000,"3*",'Accounting data'!$K$2:$K$37000,"681*")+SUMIFS('Accounting data'!$G$2:$G$37000,'Accounting data'!$H$2:$H$37000,"13*",'Accounting data'!$I$2:$I$37000,"8*",'Accounting data'!$J$2:$J$37000,"3*",'Accounting data'!$K$2:$K$37000,"681*")</f>
        <v>0</v>
      </c>
    </row>
    <row r="1048" spans="1:5" x14ac:dyDescent="0.25">
      <c r="A1048" s="521" t="s">
        <v>1007</v>
      </c>
      <c r="B1048" s="523">
        <v>900</v>
      </c>
      <c r="C1048" s="521">
        <v>3000</v>
      </c>
      <c r="D1048" s="521">
        <v>6810</v>
      </c>
      <c r="E1048" s="522">
        <f>SUMIFS('Accounting data'!$G$2:$G$37000,'Accounting data'!$H$2:$H$37000,"11*",'Accounting data'!$I$2:$I$37000,"9*",'Accounting data'!$J$2:$J$37000,"3*",'Accounting data'!$K$2:$K$37000,"681*")+SUMIFS('Accounting data'!$G$2:$G$37000,'Accounting data'!$H$2:$H$37000,"12*",'Accounting data'!$I$2:$I$37000,"9*",'Accounting data'!$J$2:$J$37000,"3*",'Accounting data'!$K$2:$K$37000,"681*")+SUMIFS('Accounting data'!$G$2:$G$37000,'Accounting data'!$H$2:$H$37000,"13*",'Accounting data'!$I$2:$I$37000,"9*",'Accounting data'!$J$2:$J$37000,"3*",'Accounting data'!$K$2:$K$37000,"681*")</f>
        <v>0</v>
      </c>
    </row>
    <row r="1049" spans="1:5" x14ac:dyDescent="0.25">
      <c r="A1049" s="524" t="s">
        <v>1068</v>
      </c>
      <c r="B1049" s="524"/>
      <c r="C1049" s="524"/>
      <c r="D1049" s="524"/>
      <c r="E1049" s="526">
        <f>(E1037+E1038+E1039)-(E1040+E1041+E1042+E1043+E1044+E1045+E1046+E1047+E1048)</f>
        <v>0</v>
      </c>
    </row>
    <row r="1050" spans="1:5" x14ac:dyDescent="0.25">
      <c r="A1050" s="521" t="s">
        <v>991</v>
      </c>
      <c r="B1050" s="521" t="s">
        <v>991</v>
      </c>
      <c r="C1050" s="521">
        <v>2300</v>
      </c>
      <c r="D1050" s="530">
        <v>6820</v>
      </c>
      <c r="E1050" s="522">
        <f>SUMIFS('Accounting data'!$G$2:$G$37000,'Accounting data'!$J$2:$J$37000,"23*",'Accounting data'!$K$2:$K$37000,"682*")</f>
        <v>0</v>
      </c>
    </row>
    <row r="1051" spans="1:5" x14ac:dyDescent="0.25">
      <c r="A1051" s="521" t="s">
        <v>992</v>
      </c>
      <c r="B1051" s="521" t="s">
        <v>991</v>
      </c>
      <c r="C1051" s="521">
        <v>2300</v>
      </c>
      <c r="D1051" s="530">
        <v>6820</v>
      </c>
      <c r="E1051" s="522">
        <f>SUMIFS('Accounting data'!$G$2:$G$37000,'Accounting data'!$H$2:$H$37000,"9999*",'Accounting data'!$J$2:$J$37000,"23*",'Accounting data'!$K$2:$K$37000,"682*")</f>
        <v>0</v>
      </c>
    </row>
    <row r="1052" spans="1:5" x14ac:dyDescent="0.25">
      <c r="A1052" s="521" t="s">
        <v>991</v>
      </c>
      <c r="B1052" s="521" t="s">
        <v>993</v>
      </c>
      <c r="C1052" s="521">
        <v>2300</v>
      </c>
      <c r="D1052" s="530">
        <v>6820</v>
      </c>
      <c r="E1052" s="522">
        <f>SUMIFS('Accounting data'!$G$2:$G$37000,'Accounting data'!$I$2:$I$37000,"7*",'Accounting data'!$J$2:$J$37000,"23*",'Accounting data'!$K$2:$K$37000,"682*")+SUMIFS('Accounting data'!$G$2:$G$37000,'Accounting data'!$I$2:$I$37000,"8*",'Accounting data'!$J$2:$J$37000,"23*",'Accounting data'!$K$2:$K$37000,"682*")+SUMIFS('Accounting data'!$G$2:$G$37000,'Accounting data'!$I$2:$I$37000,"9*",'Accounting data'!$J$2:$J$37000,"23*",'Accounting data'!$K$2:$K$37000,"682*")</f>
        <v>0</v>
      </c>
    </row>
    <row r="1053" spans="1:5" x14ac:dyDescent="0.25">
      <c r="A1053" s="523" t="s">
        <v>992</v>
      </c>
      <c r="B1053" s="521" t="s">
        <v>993</v>
      </c>
      <c r="C1053" s="521">
        <v>2300</v>
      </c>
      <c r="D1053" s="530">
        <v>6820</v>
      </c>
      <c r="E1053" s="522">
        <f>SUMIFS('Accounting data'!$G$2:$G$37000,'Accounting data'!$H$2:$H$37000,"9999*",'Accounting data'!$I$2:$I$37000,"7*",'Accounting data'!$J$2:$J$37000,"23*",'Accounting data'!$K$2:$K$37000,"682*")+SUMIFS('Accounting data'!$G$2:$G$37000,'Accounting data'!$H$2:$H$37000,"9999*",'Accounting data'!$I$2:$I$37000,"8*",'Accounting data'!$J$2:$J$37000,"23*",'Accounting data'!$K$2:$K$37000,"682*")+SUMIFS('Accounting data'!$G$2:$G$37000,'Accounting data'!$H$2:$H$37000,"9999*",'Accounting data'!$I$2:$I$37000,"9*",'Accounting data'!$J$2:$J$37000,"23*",'Accounting data'!$K$2:$K$37000,"682*")</f>
        <v>0</v>
      </c>
    </row>
    <row r="1054" spans="1:5" x14ac:dyDescent="0.25">
      <c r="A1054" s="521"/>
      <c r="B1054" s="521"/>
      <c r="C1054" s="521"/>
      <c r="D1054" s="530"/>
      <c r="E1054" s="522"/>
    </row>
    <row r="1055" spans="1:5" x14ac:dyDescent="0.25">
      <c r="A1055" s="521"/>
      <c r="B1055" s="521"/>
      <c r="C1055" s="521"/>
      <c r="D1055" s="530"/>
      <c r="E1055" s="522"/>
    </row>
    <row r="1056" spans="1:5" x14ac:dyDescent="0.25">
      <c r="A1056" s="524" t="s">
        <v>1069</v>
      </c>
      <c r="B1056" s="524"/>
      <c r="C1056" s="530"/>
      <c r="D1056" s="524"/>
      <c r="E1056" s="526">
        <f>(E1050-E1051-E1052)+(E1053+E1054+E1055)</f>
        <v>0</v>
      </c>
    </row>
    <row r="1057" spans="1:5" x14ac:dyDescent="0.25">
      <c r="A1057" s="521" t="s">
        <v>1007</v>
      </c>
      <c r="B1057" s="521" t="s">
        <v>991</v>
      </c>
      <c r="C1057" s="521">
        <v>2300</v>
      </c>
      <c r="D1057" s="521">
        <v>6820</v>
      </c>
      <c r="E1057" s="522">
        <f>SUMIFS('Accounting data'!$G$2:$G$37000,'Accounting data'!$H$2:$H$37000,"11*",'Accounting data'!$J$2:$J$37000,"23*",'Accounting data'!$K$2:$K$37000,"682*")+SUMIFS('Accounting data'!$G$2:$G$37000,'Accounting data'!$H$2:$H$37000,"12*",'Accounting data'!$J$2:$J$37000,"23*",'Accounting data'!$K$2:$K$37000,"682*")+SUMIFS('Accounting data'!$G$2:$G$37000,'Accounting data'!$H$2:$H$37000,"13*",'Accounting data'!$J$2:$J$37000,"23*",'Accounting data'!$K$2:$K$37000,"682*")+SUMIFS('Accounting data'!$G$2:$G$37000,'Accounting data'!$H$2:$H$37000,"639",'Accounting data'!$J$2:$J$37000,"23*",'Accounting data'!$K$2:$K$37000,"682*")+SUMIFS('Accounting data'!$G$2:$G$37000,'Accounting data'!$H$2:$H$37000,"699",'Accounting data'!$J$2:$J$37000,"23*",'Accounting data'!$K$2:$K$37000,"682*")+SUMIFS('Accounting data'!$G$2:$G$37000,'Accounting data'!$H$2:$H$37000,"72?",'Accounting data'!$J$2:$J$37000,"23*",'Accounting data'!$K$2:$K$37000,"682*")</f>
        <v>0</v>
      </c>
    </row>
    <row r="1058" spans="1:5" x14ac:dyDescent="0.25">
      <c r="A1058" s="521" t="s">
        <v>1007</v>
      </c>
      <c r="B1058" s="523">
        <v>700</v>
      </c>
      <c r="C1058" s="521">
        <v>2300</v>
      </c>
      <c r="D1058" s="521">
        <v>6820</v>
      </c>
      <c r="E1058" s="522">
        <f>SUMIFS('Accounting data'!$G$2:$G$37000,'Accounting data'!$H$2:$H$37000,"11*",'Accounting data'!$I$2:$I$37000,"7*",'Accounting data'!$J$2:$J$37000,"23*",'Accounting data'!$K$2:$K$37000,"682*")+SUMIFS('Accounting data'!$G$2:$G$37000,'Accounting data'!$H$2:$H$37000,"12*",'Accounting data'!$I$2:$I$37000,"7*",'Accounting data'!$J$2:$J$37000,"23*",'Accounting data'!$K$2:$K$37000,"682*")+SUMIFS('Accounting data'!$G$2:$G$37000,'Accounting data'!$H$2:$H$37000,"13*",'Accounting data'!$I$2:$I$37000,"7*",'Accounting data'!$J$2:$J$37000,"23*",'Accounting data'!$K$2:$K$37000,"682*")+SUMIFS('Accounting data'!$G$2:$G$37000,'Accounting data'!$H$2:$H$37000,"639",'Accounting data'!$I$2:$I$37000,"7*",'Accounting data'!$J$2:$J$37000,"23*",'Accounting data'!$K$2:$K$37000,"682*")+SUMIFS('Accounting data'!$G$2:$G$37000,'Accounting data'!$H$2:$H$37000,"699",'Accounting data'!$I$2:$I$37000,"7*",'Accounting data'!$J$2:$J$37000,"23*",'Accounting data'!$K$2:$K$37000,"682*")+SUMIFS('Accounting data'!$G$2:$G$37000,'Accounting data'!$H$2:$H$37000,"72?",'Accounting data'!$I$2:$I$37000,"7*",'Accounting data'!$J$2:$J$37000,"23*",'Accounting data'!$K$2:$K$37000,"682*")</f>
        <v>0</v>
      </c>
    </row>
    <row r="1059" spans="1:5" x14ac:dyDescent="0.25">
      <c r="A1059" s="521" t="s">
        <v>1007</v>
      </c>
      <c r="B1059" s="523">
        <v>800</v>
      </c>
      <c r="C1059" s="521">
        <v>2300</v>
      </c>
      <c r="D1059" s="521">
        <v>6820</v>
      </c>
      <c r="E1059" s="522">
        <f>SUMIFS('Accounting data'!$G$2:$G$37000,'Accounting data'!$H$2:$H$37000,"11*",'Accounting data'!$I$2:$I$37000,"8*",'Accounting data'!$J$2:$J$37000,"23*",'Accounting data'!$K$2:$K$37000,"682*")+SUMIFS('Accounting data'!$G$2:$G$37000,'Accounting data'!$H$2:$H$37000,"12*",'Accounting data'!$I$2:$I$37000,"8*",'Accounting data'!$J$2:$J$37000,"23*",'Accounting data'!$K$2:$K$37000,"682*")+SUMIFS('Accounting data'!$G$2:$G$37000,'Accounting data'!$H$2:$H$37000,"13*",'Accounting data'!$I$2:$I$37000,"8*",'Accounting data'!$J$2:$J$37000,"23*",'Accounting data'!$K$2:$K$37000,"682*")+SUMIFS('Accounting data'!$G$2:$G$37000,'Accounting data'!$H$2:$H$37000,"639",'Accounting data'!$I$2:$I$37000,"8*",'Accounting data'!$J$2:$J$37000,"23*",'Accounting data'!$K$2:$K$37000,"682*")+SUMIFS('Accounting data'!$G$2:$G$37000,'Accounting data'!$H$2:$H$37000,"699",'Accounting data'!$I$2:$I$37000,"8*",'Accounting data'!$J$2:$J$37000,"23*",'Accounting data'!$K$2:$K$37000,"682*")+SUMIFS('Accounting data'!$G$2:$G$37000,'Accounting data'!$H$2:$H$37000,"72?",'Accounting data'!$I$2:$I$37000,"8*",'Accounting data'!$J$2:$J$37000,"23*",'Accounting data'!$K$2:$K$37000,"682*")</f>
        <v>0</v>
      </c>
    </row>
    <row r="1060" spans="1:5" x14ac:dyDescent="0.25">
      <c r="A1060" s="521" t="s">
        <v>1007</v>
      </c>
      <c r="B1060" s="523">
        <v>900</v>
      </c>
      <c r="C1060" s="521">
        <v>2300</v>
      </c>
      <c r="D1060" s="521">
        <v>6820</v>
      </c>
      <c r="E1060" s="522">
        <f>SUMIFS('Accounting data'!$G$2:$G$37000,'Accounting data'!$H$2:$H$37000,"11*",'Accounting data'!$I$2:$I$37000,"9*",'Accounting data'!$J$2:$J$37000,"23*",'Accounting data'!$K$2:$K$37000,"682*")+SUMIFS('Accounting data'!$G$2:$G$37000,'Accounting data'!$H$2:$H$37000,"12*",'Accounting data'!$I$2:$I$37000,"9*",'Accounting data'!$J$2:$J$37000,"23*",'Accounting data'!$K$2:$K$37000,"682*")+SUMIFS('Accounting data'!$G$2:$G$37000,'Accounting data'!$H$2:$H$37000,"13*",'Accounting data'!$I$2:$I$37000,"9*",'Accounting data'!$J$2:$J$37000,"23*",'Accounting data'!$K$2:$K$37000,"682*")+SUMIFS('Accounting data'!$G$2:$G$37000,'Accounting data'!$H$2:$H$37000,"639",'Accounting data'!$I$2:$I$37000,"9*",'Accounting data'!$J$2:$J$37000,"23*",'Accounting data'!$K$2:$K$37000,"682*")+SUMIFS('Accounting data'!$G$2:$G$37000,'Accounting data'!$H$2:$H$37000,"699",'Accounting data'!$I$2:$I$37000,"9*",'Accounting data'!$J$2:$J$37000,"23*",'Accounting data'!$K$2:$K$37000,"682*")+SUMIFS('Accounting data'!$G$2:$G$37000,'Accounting data'!$H$2:$H$37000,"72?",'Accounting data'!$I$2:$I$37000,"9*",'Accounting data'!$J$2:$J$37000,"23*",'Accounting data'!$K$2:$K$37000,"682*")</f>
        <v>0</v>
      </c>
    </row>
    <row r="1061" spans="1:5" x14ac:dyDescent="0.25">
      <c r="A1061" s="524" t="s">
        <v>1070</v>
      </c>
      <c r="B1061" s="524"/>
      <c r="C1061" s="524"/>
      <c r="D1061" s="524"/>
      <c r="E1061" s="526">
        <f>E1057-E1058-E1059-E1060</f>
        <v>0</v>
      </c>
    </row>
    <row r="1076" spans="1:5" x14ac:dyDescent="0.25">
      <c r="A1076" s="521" t="s">
        <v>991</v>
      </c>
      <c r="B1076" s="521" t="s">
        <v>991</v>
      </c>
      <c r="C1076" s="521">
        <v>2500</v>
      </c>
      <c r="D1076" s="530">
        <v>6850</v>
      </c>
      <c r="E1076" s="522">
        <f>SUMIFS('Accounting data'!$G$2:$G$37000,'Accounting data'!$J$2:$J$37000,"25*",'Accounting data'!$K$2:$K$37000,"685*")</f>
        <v>0</v>
      </c>
    </row>
    <row r="1077" spans="1:5" x14ac:dyDescent="0.25">
      <c r="A1077" s="521" t="s">
        <v>992</v>
      </c>
      <c r="B1077" s="521" t="s">
        <v>991</v>
      </c>
      <c r="C1077" s="521">
        <v>2500</v>
      </c>
      <c r="D1077" s="530">
        <v>6850</v>
      </c>
      <c r="E1077" s="522">
        <f>SUMIFS('Accounting data'!$G$2:$G$37000,'Accounting data'!$H$2:$H$37000,"9999*",'Accounting data'!$J$2:$J$37000,"25*",'Accounting data'!$K$2:$K$37000,"685*")</f>
        <v>0</v>
      </c>
    </row>
    <row r="1078" spans="1:5" x14ac:dyDescent="0.25">
      <c r="A1078" s="521" t="s">
        <v>991</v>
      </c>
      <c r="B1078" s="521" t="s">
        <v>993</v>
      </c>
      <c r="C1078" s="521">
        <v>2500</v>
      </c>
      <c r="D1078" s="530">
        <v>6850</v>
      </c>
      <c r="E1078" s="522">
        <f>SUMIFS('Accounting data'!$G$2:$G$37000,'Accounting data'!$I$2:$I$37000,"7*",'Accounting data'!$J$2:$J$37000,"25*",'Accounting data'!$K$2:$K$37000,"685*")+SUMIFS('Accounting data'!$G$2:$G$37000,'Accounting data'!$I$2:$I$37000,"8*",'Accounting data'!$J$2:$J$37000,"25*",'Accounting data'!$K$2:$K$37000,"685*")+SUMIFS('Accounting data'!$G$2:$G$37000,'Accounting data'!$I$2:$I$37000,"9*",'Accounting data'!$J$2:$J$37000,"25*",'Accounting data'!$K$2:$K$37000,"685*")</f>
        <v>0</v>
      </c>
    </row>
    <row r="1079" spans="1:5" x14ac:dyDescent="0.25">
      <c r="A1079" s="523" t="s">
        <v>992</v>
      </c>
      <c r="B1079" s="521" t="s">
        <v>993</v>
      </c>
      <c r="C1079" s="521">
        <v>2500</v>
      </c>
      <c r="D1079" s="530">
        <v>6850</v>
      </c>
      <c r="E1079" s="522">
        <f>SUMIFS('Accounting data'!$G$2:$G$37000,'Accounting data'!$H$2:$H$37000,"9999*",'Accounting data'!$I$2:$I$37000,"7*",'Accounting data'!$J$2:$J$37000,"25*",'Accounting data'!$K$2:$K$37000,"685*")+SUMIFS('Accounting data'!$G$2:$G$37000,'Accounting data'!$H$2:$H$37000,"9999*",'Accounting data'!$I$2:$I$37000,"8*",'Accounting data'!$J$2:$J$37000,"25*",'Accounting data'!$K$2:$K$37000,"685*")+SUMIFS('Accounting data'!$G$2:$G$37000,'Accounting data'!$H$2:$H$37000,"9999*",'Accounting data'!$I$2:$I$37000,"9*",'Accounting data'!$J$2:$J$37000,"25*",'Accounting data'!$K$2:$K$37000,"685*")</f>
        <v>0</v>
      </c>
    </row>
    <row r="1080" spans="1:5" x14ac:dyDescent="0.25">
      <c r="A1080" s="521"/>
      <c r="B1080" s="521"/>
      <c r="C1080" s="521"/>
      <c r="D1080" s="530"/>
      <c r="E1080" s="522"/>
    </row>
    <row r="1081" spans="1:5" x14ac:dyDescent="0.25">
      <c r="A1081" s="521"/>
      <c r="B1081" s="521"/>
      <c r="C1081" s="521"/>
      <c r="D1081" s="530"/>
      <c r="E1081" s="522"/>
    </row>
    <row r="1082" spans="1:5" x14ac:dyDescent="0.25">
      <c r="A1082" s="524" t="s">
        <v>1071</v>
      </c>
      <c r="B1082" s="524"/>
      <c r="C1082" s="524"/>
      <c r="D1082" s="524"/>
      <c r="E1082" s="526">
        <f>(E1076-E1077-E1078)+(E1079+E1080+E1081)</f>
        <v>0</v>
      </c>
    </row>
    <row r="1105" spans="1:5" x14ac:dyDescent="0.25">
      <c r="A1105" s="521" t="s">
        <v>1007</v>
      </c>
      <c r="B1105" s="521" t="s">
        <v>991</v>
      </c>
      <c r="C1105" s="530">
        <v>2500</v>
      </c>
      <c r="D1105" s="521">
        <v>6850</v>
      </c>
      <c r="E1105" s="522">
        <f>SUMIFS('Accounting data'!$G$2:$G$37000,'Accounting data'!$H$2:$H$37000,"11*",'Accounting data'!$J$2:$J$37000,"25*",'Accounting data'!$K$2:$K$37000,"685*")+SUMIFS('Accounting data'!$G$2:$G$37000,'Accounting data'!$H$2:$H$37000,"12*",'Accounting data'!$J$2:$J$37000,"25*",'Accounting data'!$K$2:$K$37000,"685*")+SUMIFS('Accounting data'!$G$2:$G$37000,'Accounting data'!$H$2:$H$37000,"13*",'Accounting data'!$J$2:$J$37000,"25*",'Accounting data'!$K$2:$K$37000,"685*")</f>
        <v>0</v>
      </c>
    </row>
    <row r="1106" spans="1:5" x14ac:dyDescent="0.25">
      <c r="A1106" s="521" t="s">
        <v>1007</v>
      </c>
      <c r="B1106" s="523">
        <v>700</v>
      </c>
      <c r="C1106" s="521">
        <v>2500</v>
      </c>
      <c r="D1106" s="521">
        <v>6850</v>
      </c>
      <c r="E1106" s="522">
        <f>SUMIFS('Accounting data'!$G$2:$G$37000,'Accounting data'!$H$2:$H$37000,"11*",'Accounting data'!$I$2:$I$37000,"7*",'Accounting data'!$J$2:$J$37000,"25*",'Accounting data'!$K$2:$K$37000,"685*")+SUMIFS('Accounting data'!$G$2:$G$37000,'Accounting data'!$H$2:$H$37000,"12*",'Accounting data'!$I$2:$I$37000,"7*",'Accounting data'!$J$2:$J$37000,"25*",'Accounting data'!$K$2:$K$37000,"685*")+SUMIFS('Accounting data'!$G$2:$G$37000,'Accounting data'!$H$2:$H$37000,"13*",'Accounting data'!$I$2:$I$37000,"7*",'Accounting data'!$J$2:$J$37000,"25*",'Accounting data'!$K$2:$K$37000,"685*")</f>
        <v>0</v>
      </c>
    </row>
    <row r="1107" spans="1:5" x14ac:dyDescent="0.25">
      <c r="A1107" s="521" t="s">
        <v>1007</v>
      </c>
      <c r="B1107" s="523">
        <v>800</v>
      </c>
      <c r="C1107" s="521">
        <v>2500</v>
      </c>
      <c r="D1107" s="521">
        <v>6850</v>
      </c>
      <c r="E1107" s="522">
        <f>SUMIFS('Accounting data'!$G$2:$G$37000,'Accounting data'!$H$2:$H$37000,"11*",'Accounting data'!$I$2:$I$37000,"8*",'Accounting data'!$J$2:$J$37000,"25*",'Accounting data'!$K$2:$K$37000,"685*")+SUMIFS('Accounting data'!$G$2:$G$37000,'Accounting data'!$H$2:$H$37000,"12*",'Accounting data'!$I$2:$I$37000,"8*",'Accounting data'!$J$2:$J$37000,"25*",'Accounting data'!$K$2:$K$37000,"685*")+SUMIFS('Accounting data'!$G$2:$G$37000,'Accounting data'!$H$2:$H$37000,"13*",'Accounting data'!$I$2:$I$37000,"8*",'Accounting data'!$J$2:$J$37000,"25*",'Accounting data'!$K$2:$K$37000,"685*")</f>
        <v>0</v>
      </c>
    </row>
    <row r="1108" spans="1:5" x14ac:dyDescent="0.25">
      <c r="A1108" s="521" t="s">
        <v>1007</v>
      </c>
      <c r="B1108" s="523">
        <v>900</v>
      </c>
      <c r="C1108" s="521">
        <v>2500</v>
      </c>
      <c r="D1108" s="521">
        <v>6850</v>
      </c>
      <c r="E1108" s="522">
        <f>SUMIFS('Accounting data'!$G$2:$G$37000,'Accounting data'!$H$2:$H$37000,"11*",'Accounting data'!$I$2:$I$37000,"9*",'Accounting data'!$J$2:$J$37000,"25*",'Accounting data'!$K$2:$K$37000,"685*")+SUMIFS('Accounting data'!$G$2:$G$37000,'Accounting data'!$H$2:$H$37000,"12*",'Accounting data'!$I$2:$I$37000,"9*",'Accounting data'!$J$2:$J$37000,"25*",'Accounting data'!$K$2:$K$37000,"685*")+SUMIFS('Accounting data'!$G$2:$G$37000,'Accounting data'!$H$2:$H$37000,"13*",'Accounting data'!$I$2:$I$37000,"9*",'Accounting data'!$J$2:$J$37000,"25*",'Accounting data'!$K$2:$K$37000,"685*")</f>
        <v>0</v>
      </c>
    </row>
    <row r="1109" spans="1:5" x14ac:dyDescent="0.25">
      <c r="A1109" s="524" t="s">
        <v>1072</v>
      </c>
      <c r="B1109" s="524"/>
      <c r="C1109" s="524"/>
      <c r="D1109" s="524"/>
      <c r="E1109" s="526">
        <f>E1105-(E1106+E1107+E1108)</f>
        <v>0</v>
      </c>
    </row>
    <row r="1110" spans="1:5" x14ac:dyDescent="0.25">
      <c r="A1110" s="521" t="s">
        <v>991</v>
      </c>
      <c r="B1110" s="521" t="s">
        <v>991</v>
      </c>
      <c r="C1110" s="521">
        <v>1000</v>
      </c>
      <c r="D1110" s="530">
        <v>6890</v>
      </c>
      <c r="E1110" s="522">
        <f>SUMIFS('Accounting data'!$G$2:$G$37000,'Accounting data'!$J$2:$J$37000,"1*",'Accounting data'!$K$2:$K$37000,"689*")</f>
        <v>0</v>
      </c>
    </row>
    <row r="1111" spans="1:5" x14ac:dyDescent="0.25">
      <c r="A1111" s="521" t="s">
        <v>992</v>
      </c>
      <c r="B1111" s="521" t="s">
        <v>991</v>
      </c>
      <c r="C1111" s="521">
        <v>1000</v>
      </c>
      <c r="D1111" s="530">
        <v>6890</v>
      </c>
      <c r="E1111" s="522">
        <f>SUMIFS('Accounting data'!$G$2:$G$37000,'Accounting data'!$H$2:$H$37000,"9999*",'Accounting data'!$J$2:$J$37000,"1*",'Accounting data'!$K$2:$K$37000,"689*")</f>
        <v>0</v>
      </c>
    </row>
    <row r="1112" spans="1:5" x14ac:dyDescent="0.25">
      <c r="A1112" s="521" t="s">
        <v>991</v>
      </c>
      <c r="B1112" s="521" t="s">
        <v>993</v>
      </c>
      <c r="C1112" s="521">
        <v>1000</v>
      </c>
      <c r="D1112" s="530">
        <v>6890</v>
      </c>
      <c r="E1112" s="522">
        <f>SUMIFS('Accounting data'!$G$2:$G$37000,'Accounting data'!$I$2:$I$37000,"7*",'Accounting data'!$J$2:$J$37000,"1*",'Accounting data'!$K$2:$K$37000,"689*")+SUMIFS('Accounting data'!$G$2:$G$37000,'Accounting data'!$I$2:$I$37000,"8*",'Accounting data'!$J$2:$J$37000,"1*",'Accounting data'!$K$2:$K$37000,"689*")+SUMIFS('Accounting data'!$G$2:$G$37000,'Accounting data'!$I$2:$I$37000,"9*",'Accounting data'!$J$2:$J$37000,"1*",'Accounting data'!$K$2:$K$37000,"689*")</f>
        <v>0</v>
      </c>
    </row>
    <row r="1113" spans="1:5" x14ac:dyDescent="0.25">
      <c r="A1113" s="523" t="s">
        <v>992</v>
      </c>
      <c r="B1113" s="521" t="s">
        <v>993</v>
      </c>
      <c r="C1113" s="521">
        <v>1000</v>
      </c>
      <c r="D1113" s="530">
        <v>6890</v>
      </c>
      <c r="E1113" s="522">
        <f>SUMIFS('Accounting data'!$G$2:$G$37000,'Accounting data'!$H$2:$H$37000,"9999*",'Accounting data'!$I$2:$I$37000,"7*",'Accounting data'!$J$2:$J$37000,"1*",'Accounting data'!$K$2:$K$37000,"689*")+SUMIFS('Accounting data'!$G$2:$G$37000,'Accounting data'!$H$2:$H$37000,"9999*",'Accounting data'!$I$2:$I$37000,"8*",'Accounting data'!$J$2:$J$37000,"1*",'Accounting data'!$K$2:$K$37000,"689*")+SUMIFS('Accounting data'!$G$2:$G$37000,'Accounting data'!$H$2:$H$37000,"9999*",'Accounting data'!$I$2:$I$37000,"9*",'Accounting data'!$J$2:$J$37000,"1*",'Accounting data'!$K$2:$K$37000,"689*")</f>
        <v>0</v>
      </c>
    </row>
    <row r="1114" spans="1:5" x14ac:dyDescent="0.25">
      <c r="A1114" s="521"/>
      <c r="B1114" s="521"/>
      <c r="C1114" s="521"/>
      <c r="D1114" s="530"/>
      <c r="E1114" s="522"/>
    </row>
    <row r="1115" spans="1:5" x14ac:dyDescent="0.25">
      <c r="A1115" s="521"/>
      <c r="B1115" s="521"/>
      <c r="C1115" s="521"/>
      <c r="D1115" s="530"/>
      <c r="E1115" s="522"/>
    </row>
    <row r="1116" spans="1:5" x14ac:dyDescent="0.25">
      <c r="A1116" s="524" t="s">
        <v>1073</v>
      </c>
      <c r="B1116" s="524"/>
      <c r="C1116" s="524"/>
      <c r="D1116" s="524"/>
      <c r="E1116" s="526">
        <f>(E1110-E1111-E1112)+(E1113+E1114+E1115)</f>
        <v>0</v>
      </c>
    </row>
    <row r="1117" spans="1:5" x14ac:dyDescent="0.25">
      <c r="A1117" s="521" t="s">
        <v>991</v>
      </c>
      <c r="B1117" s="521" t="s">
        <v>991</v>
      </c>
      <c r="C1117" s="521">
        <v>2100</v>
      </c>
      <c r="D1117" s="530">
        <v>6890</v>
      </c>
      <c r="E1117" s="522">
        <f>SUMIFS('Accounting data'!$G$2:$G$37000,'Accounting data'!$J$2:$J$37000,"21*",'Accounting data'!$K$2:$K$37000,"689*")</f>
        <v>0</v>
      </c>
    </row>
    <row r="1118" spans="1:5" x14ac:dyDescent="0.25">
      <c r="A1118" s="521" t="s">
        <v>992</v>
      </c>
      <c r="B1118" s="521" t="s">
        <v>991</v>
      </c>
      <c r="C1118" s="521">
        <v>2100</v>
      </c>
      <c r="D1118" s="530">
        <v>6890</v>
      </c>
      <c r="E1118" s="522">
        <f>SUMIFS('Accounting data'!$G$2:$G$37000,'Accounting data'!$H$2:$H$37000,"9999*",'Accounting data'!$J$2:$J$37000,"21*",'Accounting data'!$K$2:$K$37000,"689*")</f>
        <v>0</v>
      </c>
    </row>
    <row r="1119" spans="1:5" x14ac:dyDescent="0.25">
      <c r="A1119" s="521" t="s">
        <v>991</v>
      </c>
      <c r="B1119" s="521" t="s">
        <v>993</v>
      </c>
      <c r="C1119" s="521">
        <v>2100</v>
      </c>
      <c r="D1119" s="530">
        <v>6890</v>
      </c>
      <c r="E1119" s="522">
        <f>SUMIFS('Accounting data'!$G$2:$G$37000,'Accounting data'!$H$2:$H$37000,"9999*",'Accounting data'!$J$2:$J$37000,"21*",'Accounting data'!$K$2:$K$37000,"689*")+SUMIFS('Accounting data'!$G$2:$G$37000,'Accounting data'!$H$2:$H$37000,"8*",'Accounting data'!$J$2:$J$37000,"21*",'Accounting data'!$K$2:$K$37000,"689*")+SUMIFS('Accounting data'!$G$2:$G$37000,'Accounting data'!$H$2:$H$37000,"9*",'Accounting data'!$J$2:$J$37000,"21*",'Accounting data'!$K$2:$K$37000,"689*")</f>
        <v>0</v>
      </c>
    </row>
    <row r="1120" spans="1:5" x14ac:dyDescent="0.25">
      <c r="A1120" s="523" t="s">
        <v>992</v>
      </c>
      <c r="B1120" s="521" t="s">
        <v>993</v>
      </c>
      <c r="C1120" s="521">
        <v>2100</v>
      </c>
      <c r="D1120" s="530">
        <v>6890</v>
      </c>
      <c r="E1120" s="522">
        <f>SUMIFS('Accounting data'!$G$2:$G$37000,'Accounting data'!$H$2:$H$37000,"9999*",'Accounting data'!$J$2:$J$37000,"21*",'Accounting data'!$K$2:$K$37000,"689*")+SUMIFS('Accounting data'!$G$2:$G$37000,'Accounting data'!$H$2:$H$37000,"8*",'Accounting data'!$J$2:$J$37000,"21*",'Accounting data'!$K$2:$K$37000,"689*")+SUMIFS('Accounting data'!$G$2:$G$37000,'Accounting data'!$H$2:$H$37000,"9*",'Accounting data'!$J$2:$J$37000,"21*",'Accounting data'!$K$2:$K$37000,"689*")</f>
        <v>0</v>
      </c>
    </row>
    <row r="1123" spans="1:5" x14ac:dyDescent="0.25">
      <c r="A1123" s="524" t="s">
        <v>1074</v>
      </c>
      <c r="B1123" s="524"/>
      <c r="C1123" s="524"/>
      <c r="D1123" s="524"/>
      <c r="E1123" s="526">
        <f>(E1117-E1118-E1119)+(E1120+E1121+E1122)</f>
        <v>0</v>
      </c>
    </row>
    <row r="1124" spans="1:5" x14ac:dyDescent="0.25">
      <c r="A1124" s="521" t="s">
        <v>991</v>
      </c>
      <c r="B1124" s="521" t="s">
        <v>991</v>
      </c>
      <c r="C1124" s="521">
        <v>2200</v>
      </c>
      <c r="D1124" s="530">
        <v>6890</v>
      </c>
      <c r="E1124" s="522">
        <f>SUMIFS('Accounting data'!$G$2:$G$37000,'Accounting data'!$J$2:$J$37000,"22*",'Accounting data'!$K$2:$K$37000,"689*")</f>
        <v>0</v>
      </c>
    </row>
    <row r="1125" spans="1:5" x14ac:dyDescent="0.25">
      <c r="A1125" s="521" t="s">
        <v>992</v>
      </c>
      <c r="B1125" s="521" t="s">
        <v>991</v>
      </c>
      <c r="C1125" s="521">
        <v>2200</v>
      </c>
      <c r="D1125" s="530">
        <v>6890</v>
      </c>
      <c r="E1125" s="522">
        <f>SUMIFS('Accounting data'!$G$2:$G$37000,'Accounting data'!$H$2:$H$37000,"9999*",'Accounting data'!$J$2:$J$37000,"22*",'Accounting data'!$K$2:$K$37000,"689*")</f>
        <v>0</v>
      </c>
    </row>
    <row r="1126" spans="1:5" x14ac:dyDescent="0.25">
      <c r="A1126" s="521" t="s">
        <v>991</v>
      </c>
      <c r="B1126" s="521" t="s">
        <v>993</v>
      </c>
      <c r="C1126" s="521">
        <v>2200</v>
      </c>
      <c r="D1126" s="530">
        <v>6890</v>
      </c>
      <c r="E1126" s="522">
        <f>SUMIFS('Accounting data'!$G$2:$G$37000,'Accounting data'!$I$2:$I$37000,"7*",'Accounting data'!$J$2:$J$37000,"22*",'Accounting data'!$K$2:$K$37000,"689*")+SUMIFS('Accounting data'!$G$2:$G$37000,'Accounting data'!$I$2:$I$37000,"8*",'Accounting data'!$J$2:$J$37000,"22*",'Accounting data'!$K$2:$K$37000,"689*")+SUMIFS('Accounting data'!$G$2:$G$37000,'Accounting data'!$I$2:$I$37000,"9*",'Accounting data'!$J$2:$J$37000,"22*",'Accounting data'!$K$2:$K$37000,"689*")</f>
        <v>0</v>
      </c>
    </row>
    <row r="1127" spans="1:5" x14ac:dyDescent="0.25">
      <c r="A1127" s="523" t="s">
        <v>992</v>
      </c>
      <c r="B1127" s="521" t="s">
        <v>993</v>
      </c>
      <c r="C1127" s="521">
        <v>2200</v>
      </c>
      <c r="D1127" s="530">
        <v>6890</v>
      </c>
      <c r="E1127" s="522">
        <f>SUMIFS('Accounting data'!$G$2:$G$37000,'Accounting data'!$H$2:$H$37000,"9999*",'Accounting data'!$I$2:$I$37000,"7*",'Accounting data'!$J$2:$J$37000,"22*",'Accounting data'!$K$2:$K$37000,"689*")+SUMIFS('Accounting data'!$G$2:$G$37000,'Accounting data'!$H$2:$H$37000,"9999*",'Accounting data'!$I$2:$I$37000,"8*",'Accounting data'!$J$2:$J$37000,"22*",'Accounting data'!$K$2:$K$37000,"689*")+SUMIFS('Accounting data'!$G$2:$G$37000,'Accounting data'!$H$2:$H$37000,"9999*",'Accounting data'!$I$2:$I$37000,"9*",'Accounting data'!$J$2:$J$37000,"22*",'Accounting data'!$K$2:$K$37000,"689*")</f>
        <v>0</v>
      </c>
    </row>
    <row r="1128" spans="1:5" x14ac:dyDescent="0.25">
      <c r="A1128" s="521"/>
      <c r="B1128" s="521"/>
      <c r="C1128" s="521"/>
      <c r="D1128" s="530"/>
      <c r="E1128" s="522"/>
    </row>
    <row r="1129" spans="1:5" x14ac:dyDescent="0.25">
      <c r="A1129" s="521"/>
      <c r="B1129" s="521"/>
      <c r="C1129" s="521"/>
      <c r="D1129" s="530"/>
      <c r="E1129" s="522"/>
    </row>
    <row r="1130" spans="1:5" x14ac:dyDescent="0.25">
      <c r="A1130" s="524" t="s">
        <v>1075</v>
      </c>
      <c r="B1130" s="524"/>
      <c r="C1130" s="524"/>
      <c r="D1130" s="524"/>
      <c r="E1130" s="526">
        <f>(E1124-E1125-E1126)+(E1127+E1128+E1129)</f>
        <v>0</v>
      </c>
    </row>
    <row r="1131" spans="1:5" x14ac:dyDescent="0.25">
      <c r="A1131" s="521" t="s">
        <v>991</v>
      </c>
      <c r="B1131" s="521" t="s">
        <v>991</v>
      </c>
      <c r="C1131" s="521">
        <v>2300</v>
      </c>
      <c r="D1131" s="530">
        <v>6890</v>
      </c>
      <c r="E1131" s="522">
        <f>SUMIFS('Accounting data'!$G$2:$G$37000,'Accounting data'!$J$2:$J$37000,"23*",'Accounting data'!$K$2:$K$37000,"689*")</f>
        <v>0</v>
      </c>
    </row>
    <row r="1132" spans="1:5" x14ac:dyDescent="0.25">
      <c r="A1132" s="521" t="s">
        <v>992</v>
      </c>
      <c r="B1132" s="521" t="s">
        <v>991</v>
      </c>
      <c r="C1132" s="521">
        <v>2300</v>
      </c>
      <c r="D1132" s="530">
        <v>6890</v>
      </c>
      <c r="E1132" s="522">
        <f>SUMIFS('Accounting data'!$G$2:$G$37000,'Accounting data'!$H$2:$H$37000,"9999*",'Accounting data'!$J$2:$J$37000,"23*",'Accounting data'!$K$2:$K$37000,"689*")</f>
        <v>0</v>
      </c>
    </row>
    <row r="1133" spans="1:5" x14ac:dyDescent="0.25">
      <c r="A1133" s="521" t="s">
        <v>991</v>
      </c>
      <c r="B1133" s="521" t="s">
        <v>993</v>
      </c>
      <c r="C1133" s="521">
        <v>2300</v>
      </c>
      <c r="D1133" s="530">
        <v>6890</v>
      </c>
      <c r="E1133" s="522">
        <f>SUMIFS('Accounting data'!$G$2:$G$37000,'Accounting data'!$I$2:$I$37000,"7*",'Accounting data'!$J$2:$J$37000,"23*",'Accounting data'!$K$2:$K$37000,"689*")+SUMIFS('Accounting data'!$G$2:$G$37000,'Accounting data'!$I$2:$I$37000,"8*",'Accounting data'!$J$2:$J$37000,"23*",'Accounting data'!$K$2:$K$37000,"689*")+SUMIFS('Accounting data'!$G$2:$G$37000,'Accounting data'!$I$2:$I$37000,"9*",'Accounting data'!$J$2:$J$37000,"23*",'Accounting data'!$K$2:$K$37000,"689*")</f>
        <v>0</v>
      </c>
    </row>
    <row r="1134" spans="1:5" x14ac:dyDescent="0.25">
      <c r="A1134" s="523" t="s">
        <v>992</v>
      </c>
      <c r="B1134" s="521" t="s">
        <v>993</v>
      </c>
      <c r="C1134" s="521">
        <v>2300</v>
      </c>
      <c r="D1134" s="530">
        <v>6890</v>
      </c>
      <c r="E1134" s="522">
        <f>SUMIFS('Accounting data'!$G$2:$G$37000,'Accounting data'!$H$2:$H$37000,"9999*",'Accounting data'!$I$2:$I$37000,"7*",'Accounting data'!$J$2:$J$37000,"23*",'Accounting data'!$K$2:$K$37000,"689*")+SUMIFS('Accounting data'!$G$2:$G$37000,'Accounting data'!$H$2:$H$37000,"9999*",'Accounting data'!$I$2:$I$37000,"8*",'Accounting data'!$J$2:$J$37000,"23*",'Accounting data'!$K$2:$K$37000,"689*")+SUMIFS('Accounting data'!$G$2:$G$37000,'Accounting data'!$H$2:$H$37000,"9999*",'Accounting data'!$I$2:$I$37000,"9*",'Accounting data'!$J$2:$J$37000,"23*",'Accounting data'!$K$2:$K$37000,"689*")</f>
        <v>0</v>
      </c>
    </row>
    <row r="1137" spans="1:5" x14ac:dyDescent="0.25">
      <c r="A1137" s="524" t="s">
        <v>1076</v>
      </c>
      <c r="B1137" s="524"/>
      <c r="C1137" s="524"/>
      <c r="D1137" s="524"/>
      <c r="E1137" s="526">
        <f>(E1131-E1132-E1133)+(E1134+E1135+E1136)</f>
        <v>0</v>
      </c>
    </row>
    <row r="1138" spans="1:5" x14ac:dyDescent="0.25">
      <c r="A1138" s="521" t="s">
        <v>991</v>
      </c>
      <c r="B1138" s="521" t="s">
        <v>991</v>
      </c>
      <c r="C1138" s="521">
        <v>2400</v>
      </c>
      <c r="D1138" s="530">
        <v>6890</v>
      </c>
      <c r="E1138" s="522">
        <f>SUMIFS('Accounting data'!$G$2:$G$37000,'Accounting data'!$J$2:$J$37000,"24*",'Accounting data'!$K$2:$K$37000,"689*")</f>
        <v>0</v>
      </c>
    </row>
    <row r="1139" spans="1:5" x14ac:dyDescent="0.25">
      <c r="A1139" s="521" t="s">
        <v>992</v>
      </c>
      <c r="B1139" s="521" t="s">
        <v>991</v>
      </c>
      <c r="C1139" s="521">
        <v>2400</v>
      </c>
      <c r="D1139" s="530">
        <v>6890</v>
      </c>
      <c r="E1139" s="522">
        <f>SUMIFS('Accounting data'!$G$2:$G$37000,'Accounting data'!$H$2:$H$37000,"9999*",'Accounting data'!$J$2:$J$37000,"24*",'Accounting data'!$K$2:$K$37000,"689*")</f>
        <v>0</v>
      </c>
    </row>
    <row r="1140" spans="1:5" x14ac:dyDescent="0.25">
      <c r="A1140" s="521" t="s">
        <v>991</v>
      </c>
      <c r="B1140" s="521" t="s">
        <v>993</v>
      </c>
      <c r="C1140" s="521">
        <v>2400</v>
      </c>
      <c r="D1140" s="530">
        <v>6890</v>
      </c>
      <c r="E1140" s="522">
        <f>SUMIFS('Accounting data'!$G$2:$G$37000,'Accounting data'!$I$2:$I$37000,"7*",'Accounting data'!$J$2:$J$37000,"24*",'Accounting data'!$K$2:$K$37000,"689*")+SUMIFS('Accounting data'!$G$2:$G$37000,'Accounting data'!$I$2:$I$37000,"8*",'Accounting data'!$J$2:$J$37000,"24*",'Accounting data'!$K$2:$K$37000,"689*")+SUMIFS('Accounting data'!$G$2:$G$37000,'Accounting data'!$I$2:$I$37000,"9*",'Accounting data'!$J$2:$J$37000,"24*",'Accounting data'!$K$2:$K$37000,"689*")</f>
        <v>0</v>
      </c>
    </row>
    <row r="1141" spans="1:5" x14ac:dyDescent="0.25">
      <c r="A1141" s="523" t="s">
        <v>992</v>
      </c>
      <c r="B1141" s="521" t="s">
        <v>993</v>
      </c>
      <c r="C1141" s="521">
        <v>2400</v>
      </c>
      <c r="D1141" s="530">
        <v>6890</v>
      </c>
      <c r="E1141" s="522">
        <f>SUMIFS('Accounting data'!$G$2:$G$37000,'Accounting data'!$H$2:$H$37000,"9999*",'Accounting data'!$I$2:$I$37000,"7*",'Accounting data'!$J$2:$J$37000,"24*",'Accounting data'!$K$2:$K$37000,"689*")+SUMIFS('Accounting data'!$G$2:$G$37000,'Accounting data'!$H$2:$H$37000,"9999*",'Accounting data'!$I$2:$I$37000,"8*",'Accounting data'!$J$2:$J$37000,"24*",'Accounting data'!$K$2:$K$37000,"689*")+SUMIFS('Accounting data'!$G$2:$G$37000,'Accounting data'!$H$2:$H$37000,"9999*",'Accounting data'!$I$2:$I$37000,"9*",'Accounting data'!$J$2:$J$37000,"24*",'Accounting data'!$K$2:$K$37000,"689*")</f>
        <v>0</v>
      </c>
    </row>
    <row r="1142" spans="1:5" x14ac:dyDescent="0.25">
      <c r="A1142" s="521"/>
      <c r="B1142" s="521"/>
      <c r="C1142" s="521"/>
      <c r="D1142" s="530"/>
      <c r="E1142" s="522"/>
    </row>
    <row r="1143" spans="1:5" x14ac:dyDescent="0.25">
      <c r="A1143" s="521"/>
      <c r="B1143" s="521"/>
      <c r="C1143" s="521"/>
      <c r="D1143" s="530"/>
      <c r="E1143" s="522"/>
    </row>
    <row r="1144" spans="1:5" x14ac:dyDescent="0.25">
      <c r="A1144" s="524" t="s">
        <v>1077</v>
      </c>
      <c r="B1144" s="524"/>
      <c r="C1144" s="524"/>
      <c r="D1144" s="524"/>
      <c r="E1144" s="526">
        <f>(E1138-E1139-E1140)+(E1141+E1142+E1143)</f>
        <v>0</v>
      </c>
    </row>
    <row r="1145" spans="1:5" x14ac:dyDescent="0.25">
      <c r="A1145" s="521" t="s">
        <v>991</v>
      </c>
      <c r="B1145" s="521" t="s">
        <v>991</v>
      </c>
      <c r="C1145" s="521">
        <v>2500</v>
      </c>
      <c r="D1145" s="530">
        <v>6890</v>
      </c>
      <c r="E1145" s="522">
        <f>SUMIFS('Accounting data'!$G$2:$G$37000,'Accounting data'!$J$2:$J$37000,"25*",'Accounting data'!$K$2:$K$37000,"689*")</f>
        <v>0</v>
      </c>
    </row>
    <row r="1146" spans="1:5" x14ac:dyDescent="0.25">
      <c r="A1146" s="521" t="s">
        <v>992</v>
      </c>
      <c r="B1146" s="521" t="s">
        <v>991</v>
      </c>
      <c r="C1146" s="521">
        <v>2500</v>
      </c>
      <c r="D1146" s="530">
        <v>6890</v>
      </c>
      <c r="E1146" s="522">
        <f>SUMIFS('Accounting data'!$G$2:$G$37000,'Accounting data'!$H$2:$H$37000,"9999*",'Accounting data'!$J$2:$J$37000,"25*",'Accounting data'!$K$2:$K$37000,"689*")</f>
        <v>0</v>
      </c>
    </row>
    <row r="1147" spans="1:5" x14ac:dyDescent="0.25">
      <c r="A1147" s="521" t="s">
        <v>991</v>
      </c>
      <c r="B1147" s="521" t="s">
        <v>993</v>
      </c>
      <c r="C1147" s="521">
        <v>2500</v>
      </c>
      <c r="D1147" s="530">
        <v>6890</v>
      </c>
      <c r="E1147" s="522">
        <f>SUMIFS('Accounting data'!$G$2:$G$37000,'Accounting data'!$I$2:$I$37000,"7*",'Accounting data'!$J$2:$J$37000,"25*",'Accounting data'!$K$2:$K$37000,"689*")+SUMIFS('Accounting data'!$G$2:$G$37000,'Accounting data'!$I$2:$I$37000,"8*",'Accounting data'!$J$2:$J$37000,"25*",'Accounting data'!$K$2:$K$37000,"689*")+SUMIFS('Accounting data'!$G$2:$G$37000,'Accounting data'!$I$2:$I$37000,"9*",'Accounting data'!$J$2:$J$37000,"25*",'Accounting data'!$K$2:$K$37000,"689*")</f>
        <v>0</v>
      </c>
    </row>
    <row r="1148" spans="1:5" x14ac:dyDescent="0.25">
      <c r="A1148" s="523" t="s">
        <v>992</v>
      </c>
      <c r="B1148" s="521" t="s">
        <v>993</v>
      </c>
      <c r="C1148" s="521">
        <v>2500</v>
      </c>
      <c r="D1148" s="530">
        <v>6890</v>
      </c>
      <c r="E1148" s="522">
        <f>SUMIFS('Accounting data'!$G$2:$G$37000,'Accounting data'!$H$2:$H$37000,"9999*",'Accounting data'!$I$2:$I$37000,"7*",'Accounting data'!$J$2:$J$37000,"25*",'Accounting data'!$K$2:$K$37000,"689*")+SUMIFS('Accounting data'!$G$2:$G$37000,'Accounting data'!$H$2:$H$37000,"9999*",'Accounting data'!$I$2:$I$37000,"8*",'Accounting data'!$J$2:$J$37000,"25*",'Accounting data'!$K$2:$K$37000,"689*")+SUMIFS('Accounting data'!$G$2:$G$37000,'Accounting data'!$H$2:$H$37000,"9999*",'Accounting data'!$I$2:$I$37000,"9*",'Accounting data'!$J$2:$J$37000,"25*",'Accounting data'!$K$2:$K$37000,"689*")</f>
        <v>0</v>
      </c>
    </row>
    <row r="1149" spans="1:5" x14ac:dyDescent="0.25">
      <c r="A1149" s="521"/>
      <c r="B1149" s="521"/>
      <c r="C1149" s="521"/>
      <c r="D1149" s="530"/>
      <c r="E1149" s="522"/>
    </row>
    <row r="1150" spans="1:5" x14ac:dyDescent="0.25">
      <c r="A1150" s="521"/>
      <c r="B1150" s="521"/>
      <c r="C1150" s="521"/>
      <c r="D1150" s="530"/>
      <c r="E1150" s="522"/>
    </row>
    <row r="1151" spans="1:5" x14ac:dyDescent="0.25">
      <c r="A1151" s="524" t="s">
        <v>1078</v>
      </c>
      <c r="B1151" s="524"/>
      <c r="C1151" s="524"/>
      <c r="D1151" s="524"/>
      <c r="E1151" s="526">
        <f>(E1145-E1146-E1147)+(E1148+E1149+E1150)</f>
        <v>0</v>
      </c>
    </row>
    <row r="1152" spans="1:5" x14ac:dyDescent="0.25">
      <c r="A1152" s="521" t="s">
        <v>991</v>
      </c>
      <c r="B1152" s="521" t="s">
        <v>991</v>
      </c>
      <c r="C1152" s="521">
        <v>2900</v>
      </c>
      <c r="D1152" s="530">
        <v>6890</v>
      </c>
      <c r="E1152" s="522">
        <f>SUMIFS('Accounting data'!$G$2:$G$37000,'Accounting data'!$J$2:$J$37000,"29*",'Accounting data'!$K$2:$K$37000,"689*")</f>
        <v>0</v>
      </c>
    </row>
    <row r="1153" spans="1:5" x14ac:dyDescent="0.25">
      <c r="A1153" s="521" t="s">
        <v>992</v>
      </c>
      <c r="B1153" s="521" t="s">
        <v>991</v>
      </c>
      <c r="C1153" s="521">
        <v>2900</v>
      </c>
      <c r="D1153" s="530">
        <v>6890</v>
      </c>
      <c r="E1153" s="522">
        <f>SUMIFS('Accounting data'!$G$2:$G$37000,'Accounting data'!$H$2:$H$37000,"9999*",'Accounting data'!$J$2:$J$37000,"29*",'Accounting data'!$K$2:$K$37000,"689*")</f>
        <v>0</v>
      </c>
    </row>
    <row r="1154" spans="1:5" x14ac:dyDescent="0.25">
      <c r="A1154" s="521" t="s">
        <v>991</v>
      </c>
      <c r="B1154" s="521" t="s">
        <v>993</v>
      </c>
      <c r="C1154" s="521">
        <v>2900</v>
      </c>
      <c r="D1154" s="530">
        <v>6890</v>
      </c>
      <c r="E1154" s="522">
        <f>SUMIFS('Accounting data'!$G$2:$G$37000,'Accounting data'!$I$2:$I$37000,"7*",'Accounting data'!$J$2:$J$37000,"29*",'Accounting data'!$K$2:$K$37000,"689*")+SUMIFS('Accounting data'!$G$2:$G$37000,'Accounting data'!$I$2:$I$37000,"8*",'Accounting data'!$J$2:$J$37000,"29*",'Accounting data'!$K$2:$K$37000,"689*")+SUMIFS('Accounting data'!$G$2:$G$37000,'Accounting data'!$I$2:$I$37000,"9*",'Accounting data'!$J$2:$J$37000,"29*",'Accounting data'!$K$2:$K$37000,"689*")</f>
        <v>0</v>
      </c>
    </row>
    <row r="1155" spans="1:5" x14ac:dyDescent="0.25">
      <c r="A1155" s="523" t="s">
        <v>992</v>
      </c>
      <c r="B1155" s="521" t="s">
        <v>993</v>
      </c>
      <c r="C1155" s="521">
        <v>2900</v>
      </c>
      <c r="D1155" s="530">
        <v>6890</v>
      </c>
      <c r="E1155" s="522">
        <f>SUMIFS('Accounting data'!$G$2:$G$37000,'Accounting data'!$H$2:$H$37000,"9999*",'Accounting data'!$I$2:$I$37000,"7*",'Accounting data'!$J$2:$J$37000,"29*",'Accounting data'!$K$2:$K$37000,"689*")+SUMIFS('Accounting data'!$G$2:$G$37000,'Accounting data'!$H$2:$H$37000,"9999*",'Accounting data'!$I$2:$I$37000,"8*",'Accounting data'!$J$2:$J$37000,"29*",'Accounting data'!$K$2:$K$37000,"689*")+SUMIFS('Accounting data'!$G$2:$G$37000,'Accounting data'!$H$2:$H$37000,"9999*",'Accounting data'!$I$2:$I$37000,"9*",'Accounting data'!$J$2:$J$37000,"29*",'Accounting data'!$K$2:$K$37000,"689*")</f>
        <v>0</v>
      </c>
    </row>
    <row r="1156" spans="1:5" x14ac:dyDescent="0.25">
      <c r="A1156" s="521"/>
      <c r="B1156" s="521"/>
      <c r="C1156" s="521"/>
      <c r="D1156" s="530"/>
      <c r="E1156" s="522"/>
    </row>
    <row r="1157" spans="1:5" x14ac:dyDescent="0.25">
      <c r="A1157" s="521"/>
      <c r="B1157" s="521"/>
      <c r="C1157" s="521"/>
      <c r="D1157" s="530"/>
      <c r="E1157" s="522"/>
    </row>
    <row r="1158" spans="1:5" x14ac:dyDescent="0.25">
      <c r="A1158" s="524" t="s">
        <v>1079</v>
      </c>
      <c r="B1158" s="524"/>
      <c r="C1158" s="524"/>
      <c r="D1158" s="524"/>
      <c r="E1158" s="526">
        <f>(E1152-E1153-E1154)+(E1155+E1156+E1157)</f>
        <v>0</v>
      </c>
    </row>
    <row r="1159" spans="1:5" x14ac:dyDescent="0.25">
      <c r="A1159" s="521" t="s">
        <v>991</v>
      </c>
      <c r="B1159" s="521" t="s">
        <v>991</v>
      </c>
      <c r="C1159" s="521">
        <v>2600</v>
      </c>
      <c r="D1159" s="530">
        <v>6890</v>
      </c>
      <c r="E1159" s="522">
        <f>SUMIFS('Accounting data'!$G$2:$G$37000,'Accounting data'!$J$2:$J$37000,"26*",'Accounting data'!$K$2:$K$37000,"689*")</f>
        <v>0</v>
      </c>
    </row>
    <row r="1160" spans="1:5" x14ac:dyDescent="0.25">
      <c r="A1160" s="521" t="s">
        <v>992</v>
      </c>
      <c r="B1160" s="521" t="s">
        <v>991</v>
      </c>
      <c r="C1160" s="521">
        <v>2600</v>
      </c>
      <c r="D1160" s="530">
        <v>6890</v>
      </c>
      <c r="E1160" s="522">
        <f>SUMIFS('Accounting data'!$G$2:$G$37000,'Accounting data'!$H$2:$H$37000,"9999*",'Accounting data'!$J$2:$J$37000,"26*",'Accounting data'!$K$2:$K$37000,"689*")</f>
        <v>0</v>
      </c>
    </row>
    <row r="1161" spans="1:5" x14ac:dyDescent="0.25">
      <c r="A1161" s="521" t="s">
        <v>991</v>
      </c>
      <c r="B1161" s="521" t="s">
        <v>993</v>
      </c>
      <c r="C1161" s="521">
        <v>2600</v>
      </c>
      <c r="D1161" s="530">
        <v>6890</v>
      </c>
      <c r="E1161" s="522">
        <f>SUMIFS('Accounting data'!$G$2:$G$37000,'Accounting data'!$I$2:$I$37000,"7*",'Accounting data'!$J$2:$J$37000,"26*",'Accounting data'!$K$2:$K$37000,"689*")+SUMIFS('Accounting data'!$G$2:$G$37000,'Accounting data'!$I$2:$I$37000,"8*",'Accounting data'!$J$2:$J$37000,"26*",'Accounting data'!$K$2:$K$37000,"689*")+SUMIFS('Accounting data'!$G$2:$G$37000,'Accounting data'!$I$2:$I$37000,"9*",'Accounting data'!$J$2:$J$37000,"26*",'Accounting data'!$K$2:$K$37000,"689*")</f>
        <v>0</v>
      </c>
    </row>
    <row r="1162" spans="1:5" x14ac:dyDescent="0.25">
      <c r="A1162" s="523" t="s">
        <v>992</v>
      </c>
      <c r="B1162" s="521" t="s">
        <v>993</v>
      </c>
      <c r="C1162" s="521">
        <v>2600</v>
      </c>
      <c r="D1162" s="530">
        <v>6890</v>
      </c>
      <c r="E1162" s="522">
        <f>SUMIFS('Accounting data'!$G$2:$G$37000,'Accounting data'!$H$2:$H$37000,"9999*",'Accounting data'!$I$2:$I$37000,"7*",'Accounting data'!$J$2:$J$37000,"26*",'Accounting data'!$K$2:$K$37000,"689*")+SUMIFS('Accounting data'!$G$2:$G$37000,'Accounting data'!$H$2:$H$37000,"9999*",'Accounting data'!$I$2:$I$37000,"8*",'Accounting data'!$J$2:$J$37000,"26*",'Accounting data'!$K$2:$K$37000,"689*")+SUMIFS('Accounting data'!$G$2:$G$37000,'Accounting data'!$H$2:$H$37000,"9999*",'Accounting data'!$I$2:$I$37000,"9*",'Accounting data'!$J$2:$J$37000,"26*",'Accounting data'!$K$2:$K$37000,"689*")</f>
        <v>0</v>
      </c>
    </row>
    <row r="1163" spans="1:5" x14ac:dyDescent="0.25">
      <c r="A1163" s="521"/>
      <c r="B1163" s="521"/>
      <c r="C1163" s="521"/>
      <c r="D1163" s="530"/>
      <c r="E1163" s="522"/>
    </row>
    <row r="1164" spans="1:5" x14ac:dyDescent="0.25">
      <c r="A1164" s="521"/>
      <c r="B1164" s="521"/>
      <c r="C1164" s="521"/>
      <c r="D1164" s="530"/>
      <c r="E1164" s="522"/>
    </row>
    <row r="1165" spans="1:5" x14ac:dyDescent="0.25">
      <c r="A1165" s="524" t="s">
        <v>1080</v>
      </c>
      <c r="B1165" s="524"/>
      <c r="C1165" s="524"/>
      <c r="D1165" s="524"/>
      <c r="E1165" s="526">
        <f>(E1159-E1160-E1161)+(E1162+E1163+E1164)</f>
        <v>0</v>
      </c>
    </row>
    <row r="1166" spans="1:5" x14ac:dyDescent="0.25">
      <c r="A1166" s="521" t="s">
        <v>991</v>
      </c>
      <c r="B1166" s="521" t="s">
        <v>991</v>
      </c>
      <c r="C1166" s="521">
        <v>2700</v>
      </c>
      <c r="D1166" s="530">
        <v>6890</v>
      </c>
      <c r="E1166" s="522">
        <f>SUMIFS('Accounting data'!$G$2:$G$37000,'Accounting data'!$J$2:$J$37000,"27*",'Accounting data'!$K$2:$K$37000,"689*")</f>
        <v>0</v>
      </c>
    </row>
    <row r="1167" spans="1:5" x14ac:dyDescent="0.25">
      <c r="A1167" s="521" t="s">
        <v>992</v>
      </c>
      <c r="B1167" s="521" t="s">
        <v>991</v>
      </c>
      <c r="C1167" s="521">
        <v>2700</v>
      </c>
      <c r="D1167" s="530">
        <v>6890</v>
      </c>
      <c r="E1167" s="522">
        <f>SUMIFS('Accounting data'!$G$2:$G$37000,'Accounting data'!$H$2:$H$37000,"9999*",'Accounting data'!$J$2:$J$37000,"27*",'Accounting data'!$K$2:$K$37000,"689*")</f>
        <v>0</v>
      </c>
    </row>
    <row r="1168" spans="1:5" x14ac:dyDescent="0.25">
      <c r="A1168" s="521" t="s">
        <v>991</v>
      </c>
      <c r="B1168" s="521" t="s">
        <v>993</v>
      </c>
      <c r="C1168" s="521">
        <v>2700</v>
      </c>
      <c r="D1168" s="530">
        <v>6890</v>
      </c>
      <c r="E1168" s="522">
        <f>SUMIFS('Accounting data'!$G$2:$G$37000,'Accounting data'!$I$2:$I$37000,"7*",'Accounting data'!$J$2:$J$37000,"27*",'Accounting data'!$K$2:$K$37000,"689*")+SUMIFS('Accounting data'!$G$2:$G$37000,'Accounting data'!$I$2:$I$37000,"8*",'Accounting data'!$J$2:$J$37000,"27*",'Accounting data'!$K$2:$K$37000,"689*")+SUMIFS('Accounting data'!$G$2:$G$37000,'Accounting data'!$I$2:$I$37000,"9*",'Accounting data'!$J$2:$J$37000,"27*",'Accounting data'!$K$2:$K$37000,"689*")</f>
        <v>0</v>
      </c>
    </row>
    <row r="1169" spans="1:5" x14ac:dyDescent="0.25">
      <c r="A1169" s="523" t="s">
        <v>992</v>
      </c>
      <c r="B1169" s="521" t="s">
        <v>993</v>
      </c>
      <c r="C1169" s="521">
        <v>2700</v>
      </c>
      <c r="D1169" s="530">
        <v>6890</v>
      </c>
      <c r="E1169" s="522">
        <f>SUMIFS('Accounting data'!$G$2:$G$37000,'Accounting data'!$H$2:$H$37000,"9999*",'Accounting data'!$I$2:$I$37000,"7*",'Accounting data'!$J$2:$J$37000,"27*",'Accounting data'!$K$2:$K$37000,"689*")+SUMIFS('Accounting data'!$G$2:$G$37000,'Accounting data'!$H$2:$H$37000,"9999*",'Accounting data'!$I$2:$I$37000,"8*",'Accounting data'!$J$2:$J$37000,"27*",'Accounting data'!$K$2:$K$37000,"689*")+SUMIFS('Accounting data'!$G$2:$G$37000,'Accounting data'!$H$2:$H$37000,"9999*",'Accounting data'!$I$2:$I$37000,"9*",'Accounting data'!$J$2:$J$37000,"27*",'Accounting data'!$K$2:$K$37000,"689*")</f>
        <v>0</v>
      </c>
    </row>
    <row r="1170" spans="1:5" x14ac:dyDescent="0.25">
      <c r="A1170" s="521"/>
      <c r="B1170" s="521"/>
      <c r="C1170" s="521"/>
      <c r="D1170" s="530"/>
      <c r="E1170" s="522"/>
    </row>
    <row r="1171" spans="1:5" x14ac:dyDescent="0.25">
      <c r="A1171" s="521"/>
      <c r="B1171" s="521"/>
      <c r="C1171" s="521"/>
      <c r="D1171" s="530"/>
      <c r="E1171" s="522"/>
    </row>
    <row r="1172" spans="1:5" x14ac:dyDescent="0.25">
      <c r="A1172" s="524" t="s">
        <v>1081</v>
      </c>
      <c r="B1172" s="524"/>
      <c r="C1172" s="524"/>
      <c r="D1172" s="524"/>
      <c r="E1172" s="526">
        <f>(E1166-E1167-E1168)+(E1169+E1170+E1171)</f>
        <v>0</v>
      </c>
    </row>
    <row r="1173" spans="1:5" x14ac:dyDescent="0.25">
      <c r="A1173" s="521" t="s">
        <v>991</v>
      </c>
      <c r="B1173" s="521" t="s">
        <v>991</v>
      </c>
      <c r="C1173" s="521">
        <v>3100</v>
      </c>
      <c r="D1173" s="530">
        <v>6890</v>
      </c>
      <c r="E1173" s="522">
        <f>SUMIFS('Accounting data'!$G$2:$G$37000,'Accounting data'!$J$2:$J$37000,"31*",'Accounting data'!$K$2:$K$37000,"689*")</f>
        <v>0</v>
      </c>
    </row>
    <row r="1174" spans="1:5" x14ac:dyDescent="0.25">
      <c r="A1174" s="521" t="s">
        <v>992</v>
      </c>
      <c r="B1174" s="521" t="s">
        <v>991</v>
      </c>
      <c r="C1174" s="521">
        <v>3100</v>
      </c>
      <c r="D1174" s="530">
        <v>6890</v>
      </c>
      <c r="E1174" s="522">
        <f>SUMIFS('Accounting data'!$G$2:$G$37000,'Accounting data'!$H$2:$H$37000,"9999*",'Accounting data'!$J$2:$J$37000,"31*",'Accounting data'!$K$2:$K$37000,"689*")</f>
        <v>0</v>
      </c>
    </row>
    <row r="1175" spans="1:5" x14ac:dyDescent="0.25">
      <c r="A1175" s="521" t="s">
        <v>991</v>
      </c>
      <c r="B1175" s="521" t="s">
        <v>993</v>
      </c>
      <c r="C1175" s="521">
        <v>3100</v>
      </c>
      <c r="D1175" s="530">
        <v>6890</v>
      </c>
      <c r="E1175" s="522">
        <f>SUMIFS('Accounting data'!$G$2:$G$37000,'Accounting data'!$I$2:$I$37000,"7*",'Accounting data'!$J$2:$J$37000,"31*",'Accounting data'!$K$2:$K$37000,"689*")+SUMIFS('Accounting data'!$G$2:$G$37000,'Accounting data'!$I$2:$I$37000,"8*",'Accounting data'!$J$2:$J$37000,"31*",'Accounting data'!$K$2:$K$37000,"689*")+SUMIFS('Accounting data'!$G$2:$G$37000,'Accounting data'!$I$2:$I$37000,"9*",'Accounting data'!$J$2:$J$37000,"31*",'Accounting data'!$K$2:$K$37000,"689*")</f>
        <v>0</v>
      </c>
    </row>
    <row r="1176" spans="1:5" x14ac:dyDescent="0.25">
      <c r="A1176" s="523" t="s">
        <v>992</v>
      </c>
      <c r="B1176" s="521" t="s">
        <v>993</v>
      </c>
      <c r="C1176" s="521">
        <v>3100</v>
      </c>
      <c r="D1176" s="530">
        <v>6890</v>
      </c>
      <c r="E1176" s="522">
        <f>SUMIFS('Accounting data'!$G$2:$G$37000,'Accounting data'!$H$2:$H$37000,"9999*",'Accounting data'!$I$2:$I$37000,"7*",'Accounting data'!$J$2:$J$37000,"31*",'Accounting data'!$K$2:$K$37000,"689*")+SUMIFS('Accounting data'!$G$2:$G$37000,'Accounting data'!$H$2:$H$37000,"9999*",'Accounting data'!$I$2:$I$37000,"8*",'Accounting data'!$J$2:$J$37000,"31*",'Accounting data'!$K$2:$K$37000,"689*")+SUMIFS('Accounting data'!$G$2:$G$37000,'Accounting data'!$H$2:$H$37000,"9999*",'Accounting data'!$I$2:$I$37000,"9*",'Accounting data'!$J$2:$J$37000,"31*",'Accounting data'!$K$2:$K$37000,"689*")</f>
        <v>0</v>
      </c>
    </row>
    <row r="1177" spans="1:5" x14ac:dyDescent="0.25">
      <c r="A1177" s="521"/>
      <c r="B1177" s="521"/>
      <c r="C1177" s="521"/>
      <c r="D1177" s="530"/>
      <c r="E1177" s="522"/>
    </row>
    <row r="1178" spans="1:5" x14ac:dyDescent="0.25">
      <c r="A1178" s="521"/>
      <c r="B1178" s="521"/>
      <c r="C1178" s="521"/>
      <c r="D1178" s="530"/>
      <c r="E1178" s="522"/>
    </row>
    <row r="1179" spans="1:5" x14ac:dyDescent="0.25">
      <c r="A1179" s="524" t="s">
        <v>1082</v>
      </c>
      <c r="B1179" s="524"/>
      <c r="C1179" s="524"/>
      <c r="D1179" s="524"/>
      <c r="E1179" s="526">
        <f>(E1173-E1174-E1175)+(E1176+E1177+E1178)</f>
        <v>0</v>
      </c>
    </row>
    <row r="1186" spans="1:5" x14ac:dyDescent="0.25">
      <c r="A1186" s="524" t="s">
        <v>1083</v>
      </c>
      <c r="B1186" s="524"/>
      <c r="C1186" s="524"/>
      <c r="D1186" s="524"/>
      <c r="E1186" s="526">
        <f>(E1180-E1181-E1182)+(E1183+E1184+E1185)</f>
        <v>0</v>
      </c>
    </row>
    <row r="1187" spans="1:5" x14ac:dyDescent="0.25">
      <c r="A1187" s="521" t="s">
        <v>991</v>
      </c>
      <c r="B1187" s="521" t="s">
        <v>991</v>
      </c>
      <c r="C1187" s="521">
        <v>3400</v>
      </c>
      <c r="D1187" s="530">
        <v>6890</v>
      </c>
      <c r="E1187" s="522">
        <f>SUMIFS('Accounting data'!$G$2:$G$37000,'Accounting data'!$J$2:$J$37000,"34*",'Accounting data'!$K$2:$K$37000,"689*")</f>
        <v>0</v>
      </c>
    </row>
    <row r="1188" spans="1:5" x14ac:dyDescent="0.25">
      <c r="A1188" s="521" t="s">
        <v>992</v>
      </c>
      <c r="B1188" s="521" t="s">
        <v>991</v>
      </c>
      <c r="C1188" s="521">
        <v>3400</v>
      </c>
      <c r="D1188" s="530">
        <v>6890</v>
      </c>
      <c r="E1188" s="522">
        <f>SUMIFS('Accounting data'!$G$2:$G$37000,'Accounting data'!$H$2:$H$37000,"9999*",'Accounting data'!$J$2:$J$37000,"34*",'Accounting data'!$K$2:$K$37000,"689*")</f>
        <v>0</v>
      </c>
    </row>
    <row r="1189" spans="1:5" x14ac:dyDescent="0.25">
      <c r="A1189" s="521" t="s">
        <v>991</v>
      </c>
      <c r="B1189" s="521" t="s">
        <v>993</v>
      </c>
      <c r="C1189" s="521">
        <v>3400</v>
      </c>
      <c r="D1189" s="530">
        <v>6890</v>
      </c>
      <c r="E1189" s="522">
        <f>SUMIFS('Accounting data'!$G$2:$G$37000,'Accounting data'!$I$2:$I$37000,"7*",'Accounting data'!$J$2:$J$37000,"34*",'Accounting data'!$K$2:$K$37000,"689*")+SUMIFS('Accounting data'!$G$2:$G$37000,'Accounting data'!$I$2:$I$37000,"8*",'Accounting data'!$J$2:$J$37000,"34*",'Accounting data'!$K$2:$K$37000,"689*")+SUMIFS('Accounting data'!$G$2:$G$37000,'Accounting data'!$I$2:$I$37000,"9*",'Accounting data'!$J$2:$J$37000,"34*",'Accounting data'!$K$2:$K$37000,"689*")</f>
        <v>0</v>
      </c>
    </row>
    <row r="1190" spans="1:5" x14ac:dyDescent="0.25">
      <c r="A1190" s="523" t="s">
        <v>992</v>
      </c>
      <c r="B1190" s="521" t="s">
        <v>993</v>
      </c>
      <c r="C1190" s="521">
        <v>3400</v>
      </c>
      <c r="D1190" s="530">
        <v>6890</v>
      </c>
      <c r="E1190" s="522">
        <f>SUMIFS('Accounting data'!$G$2:$G$37000,'Accounting data'!$H$2:$H$37000,"9999*",'Accounting data'!$I$2:$I$37000,"7*",'Accounting data'!$J$2:$J$37000,"34*",'Accounting data'!$K$2:$K$37000,"689*")+SUMIFS('Accounting data'!$G$2:$G$37000,'Accounting data'!$H$2:$H$37000,"9999*",'Accounting data'!$I$2:$I$37000,"8*",'Accounting data'!$J$2:$J$37000,"34*",'Accounting data'!$K$2:$K$37000,"689*")+SUMIFS('Accounting data'!$G$2:$G$37000,'Accounting data'!$H$2:$H$37000,"9999*",'Accounting data'!$I$2:$I$37000,"9*",'Accounting data'!$J$2:$J$37000,"34*",'Accounting data'!$K$2:$K$37000,"689*")</f>
        <v>0</v>
      </c>
    </row>
    <row r="1191" spans="1:5" x14ac:dyDescent="0.25">
      <c r="A1191" s="521"/>
      <c r="B1191" s="521"/>
      <c r="C1191" s="521"/>
      <c r="D1191" s="530"/>
      <c r="E1191" s="522"/>
    </row>
    <row r="1192" spans="1:5" x14ac:dyDescent="0.25">
      <c r="A1192" s="521"/>
      <c r="B1192" s="521"/>
      <c r="C1192" s="521"/>
      <c r="D1192" s="530"/>
      <c r="E1192" s="522"/>
    </row>
    <row r="1193" spans="1:5" x14ac:dyDescent="0.25">
      <c r="A1193" s="524" t="s">
        <v>1084</v>
      </c>
      <c r="B1193" s="524"/>
      <c r="C1193" s="524"/>
      <c r="D1193" s="524"/>
      <c r="E1193" s="526">
        <f>(E1187-E1188-E1189)+(E1190+E1191+E1192)</f>
        <v>0</v>
      </c>
    </row>
    <row r="1194" spans="1:5" x14ac:dyDescent="0.25">
      <c r="A1194" s="521" t="s">
        <v>991</v>
      </c>
      <c r="B1194" s="521" t="s">
        <v>991</v>
      </c>
      <c r="C1194" s="521">
        <v>4000</v>
      </c>
      <c r="D1194" s="530">
        <v>6890</v>
      </c>
      <c r="E1194" s="522">
        <f>SUMIFS('Accounting data'!$G$2:$G$37000,'Accounting data'!$J$2:$J$37000,"4*",'Accounting data'!$K$2:$K$37000,"689*")</f>
        <v>0</v>
      </c>
    </row>
    <row r="1195" spans="1:5" x14ac:dyDescent="0.25">
      <c r="A1195" s="521" t="s">
        <v>992</v>
      </c>
      <c r="B1195" s="521" t="s">
        <v>991</v>
      </c>
      <c r="C1195" s="521">
        <v>4000</v>
      </c>
      <c r="D1195" s="530">
        <v>6890</v>
      </c>
      <c r="E1195" s="522">
        <f>SUMIFS('Accounting data'!$G$2:$G$37000,'Accounting data'!$H$2:$H$37000,"9999*",'Accounting data'!$J$2:$J$37000,"4*",'Accounting data'!$K$2:$K$37000,"689*")</f>
        <v>0</v>
      </c>
    </row>
    <row r="1196" spans="1:5" x14ac:dyDescent="0.25">
      <c r="A1196" s="521" t="s">
        <v>991</v>
      </c>
      <c r="B1196" s="521" t="s">
        <v>993</v>
      </c>
      <c r="C1196" s="521">
        <v>4000</v>
      </c>
      <c r="D1196" s="530">
        <v>6890</v>
      </c>
      <c r="E1196" s="522">
        <f>SUMIFS('Accounting data'!$G$2:$G$37000,'Accounting data'!$I$2:$I$37000,"7*",'Accounting data'!$J$2:$J$37000,"4*",'Accounting data'!$K$2:$K$37000,"689*")+SUMIFS('Accounting data'!$G$2:$G$37000,'Accounting data'!$I$2:$I$37000,"8*",'Accounting data'!$J$2:$J$37000,"4*",'Accounting data'!$K$2:$K$37000,"689*")+SUMIFS('Accounting data'!$G$2:$G$37000,'Accounting data'!$I$2:$I$37000,"9*",'Accounting data'!$J$2:$J$37000,"4*",'Accounting data'!$K$2:$K$37000,"689*")</f>
        <v>0</v>
      </c>
    </row>
    <row r="1197" spans="1:5" x14ac:dyDescent="0.25">
      <c r="A1197" s="523" t="s">
        <v>992</v>
      </c>
      <c r="B1197" s="521" t="s">
        <v>993</v>
      </c>
      <c r="C1197" s="521">
        <v>4000</v>
      </c>
      <c r="D1197" s="530">
        <v>6890</v>
      </c>
      <c r="E1197" s="522">
        <f>SUMIFS('Accounting data'!$G$2:$G$37000,'Accounting data'!$H$2:$H$37000,"9999*",'Accounting data'!$I$2:$I$37000,"7*",'Accounting data'!$J$2:$J$37000,"4*",'Accounting data'!$K$2:$K$37000,"689*")+SUMIFS('Accounting data'!$G$2:$G$37000,'Accounting data'!$H$2:$H$37000,"9999*",'Accounting data'!$I$2:$I$37000,"8*",'Accounting data'!$J$2:$J$37000,"4*",'Accounting data'!$K$2:$K$37000,"689*")+SUMIFS('Accounting data'!$G$2:$G$37000,'Accounting data'!$H$2:$H$37000,"9999*",'Accounting data'!$I$2:$I$37000,"9*",'Accounting data'!$J$2:$J$37000,"4*",'Accounting data'!$K$2:$K$37000,"689*")</f>
        <v>0</v>
      </c>
    </row>
    <row r="1198" spans="1:5" x14ac:dyDescent="0.25">
      <c r="A1198" s="521"/>
      <c r="B1198" s="521"/>
      <c r="C1198" s="521"/>
      <c r="D1198" s="530"/>
      <c r="E1198" s="522"/>
    </row>
    <row r="1199" spans="1:5" x14ac:dyDescent="0.25">
      <c r="A1199" s="521"/>
      <c r="B1199" s="521"/>
      <c r="C1199" s="521"/>
      <c r="D1199" s="530"/>
      <c r="E1199" s="522"/>
    </row>
    <row r="1200" spans="1:5" x14ac:dyDescent="0.25">
      <c r="A1200" s="524" t="s">
        <v>1085</v>
      </c>
      <c r="B1200" s="524"/>
      <c r="C1200" s="524"/>
      <c r="D1200" s="524"/>
      <c r="E1200" s="526">
        <f>(E1194-E1195-E1196)+(E1197+E1198+E1199)</f>
        <v>0</v>
      </c>
    </row>
    <row r="1201" spans="1:5" x14ac:dyDescent="0.25">
      <c r="A1201" s="527" t="s">
        <v>1086</v>
      </c>
      <c r="B1201" s="527"/>
      <c r="C1201" s="527"/>
      <c r="D1201" s="527"/>
      <c r="E1201" s="531">
        <f>E1116+E1123+E1130+E1137+E1144+E1151+E1158+E1165+E1172+E1179+E1186+E1193</f>
        <v>0</v>
      </c>
    </row>
    <row r="1202" spans="1:5" x14ac:dyDescent="0.25">
      <c r="A1202" s="521" t="s">
        <v>1007</v>
      </c>
      <c r="B1202" s="521" t="s">
        <v>991</v>
      </c>
      <c r="C1202" s="521">
        <v>1000</v>
      </c>
      <c r="D1202" s="521">
        <v>6890</v>
      </c>
      <c r="E1202" s="522">
        <f>SUMIFS('Accounting data'!$G$2:$G$37000,'Accounting data'!$H$2:$H$37000,"11*",'Accounting data'!$J$2:$J$37000,"1*",'Accounting data'!$K$2:$K$37000,"689*")+SUMIFS('Accounting data'!$G$2:$G$37000,'Accounting data'!$H$2:$H$37000,"12*",'Accounting data'!$J$2:$J$37000,"1*",'Accounting data'!$K$2:$K$37000,"689*")+SUMIFS('Accounting data'!$G$2:$G$37000,'Accounting data'!$H$2:$H$37000,"13*",'Accounting data'!$J$2:$J$37000,"1*",'Accounting data'!$K$2:$K$37000,"689*")</f>
        <v>0</v>
      </c>
    </row>
    <row r="1203" spans="1:5" x14ac:dyDescent="0.25">
      <c r="A1203" s="521" t="s">
        <v>1007</v>
      </c>
      <c r="B1203" s="521" t="s">
        <v>991</v>
      </c>
      <c r="C1203" s="521">
        <v>2000</v>
      </c>
      <c r="D1203" s="521">
        <v>6890</v>
      </c>
      <c r="E1203" s="522">
        <f>SUMIFS('Accounting data'!$G$2:$G$37000,'Accounting data'!$H$2:$H$37000,"11*",'Accounting data'!$J$2:$J$37000,"2*",'Accounting data'!$K$2:$K$37000,"689*")+SUMIFS('Accounting data'!$G$2:$G$37000,'Accounting data'!$H$2:$H$37000,"12*",'Accounting data'!$J$2:$J$37000,"2*",'Accounting data'!$K$2:$K$37000,"689*")+SUMIFS('Accounting data'!$G$2:$G$37000,'Accounting data'!$H$2:$H$37000,"13*",'Accounting data'!$J$2:$J$37000,"2*",'Accounting data'!$K$2:$K$37000,"689*")</f>
        <v>0</v>
      </c>
    </row>
    <row r="1204" spans="1:5" x14ac:dyDescent="0.25">
      <c r="A1204" s="521" t="s">
        <v>1007</v>
      </c>
      <c r="B1204" s="521" t="s">
        <v>991</v>
      </c>
      <c r="C1204" s="521">
        <v>3000</v>
      </c>
      <c r="D1204" s="521">
        <v>6890</v>
      </c>
      <c r="E1204" s="522">
        <f>SUMIFS('Accounting data'!$G$2:$G$37000,'Accounting data'!$H$2:$H$37000,"11*",'Accounting data'!$J$2:$J$37000,"3*",'Accounting data'!$K$2:$K$37000,"689*")+SUMIFS('Accounting data'!$G$2:$G$37000,'Accounting data'!$H$2:$H$37000,"12*",'Accounting data'!$J$2:$J$37000,"3*",'Accounting data'!$K$2:$K$37000,"689*")+SUMIFS('Accounting data'!$G$2:$G$37000,'Accounting data'!$H$2:$H$37000,"13*",'Accounting data'!$J$2:$J$37000,"3*",'Accounting data'!$K$2:$K$37000,"689*")</f>
        <v>0</v>
      </c>
    </row>
    <row r="1205" spans="1:5" x14ac:dyDescent="0.25">
      <c r="A1205" s="521" t="s">
        <v>1007</v>
      </c>
      <c r="B1205" s="523">
        <v>700</v>
      </c>
      <c r="C1205" s="521">
        <v>1000</v>
      </c>
      <c r="D1205" s="521">
        <v>6890</v>
      </c>
      <c r="E1205" s="522">
        <f>SUMIFS('Accounting data'!$G$2:$G$37000,'Accounting data'!$H$2:$H$37000,"11*",'Accounting data'!$I$2:$I$37000,"7*",'Accounting data'!$J$2:$J$37000,"1*",'Accounting data'!$K$2:$K$37000,"689*")+SUMIFS('Accounting data'!$G$2:$G$37000,'Accounting data'!$H$2:$H$37000,"12*",'Accounting data'!$I$2:$I$37000,"7*",'Accounting data'!$J$2:$J$37000,"1*",'Accounting data'!$K$2:$K$37000,"689*")+SUMIFS('Accounting data'!$G$2:$G$37000,'Accounting data'!$H$2:$H$37000,"13*",'Accounting data'!$I$2:$I$37000,"7*",'Accounting data'!$J$2:$J$37000,"1*",'Accounting data'!$K$2:$K$37000,"689*")</f>
        <v>0</v>
      </c>
    </row>
    <row r="1206" spans="1:5" x14ac:dyDescent="0.25">
      <c r="A1206" s="521" t="s">
        <v>1007</v>
      </c>
      <c r="B1206" s="523">
        <v>800</v>
      </c>
      <c r="C1206" s="521">
        <v>1000</v>
      </c>
      <c r="D1206" s="521">
        <v>6890</v>
      </c>
      <c r="E1206" s="522">
        <f>SUMIFS('Accounting data'!$G$2:$G$37000,'Accounting data'!$H$2:$H$37000,"11*",'Accounting data'!$I$2:$I$37000,"8*",'Accounting data'!$J$2:$J$37000,"1*",'Accounting data'!$K$2:$K$37000,"689*")+SUMIFS('Accounting data'!$G$2:$G$37000,'Accounting data'!$H$2:$H$37000,"12*",'Accounting data'!$I$2:$I$37000,"8*",'Accounting data'!$J$2:$J$37000,"1*",'Accounting data'!$K$2:$K$37000,"689*")+SUMIFS('Accounting data'!$G$2:$G$37000,'Accounting data'!$H$2:$H$37000,"13*",'Accounting data'!$I$2:$I$37000,"8*",'Accounting data'!$J$2:$J$37000,"1*",'Accounting data'!$K$2:$K$37000,"689*")</f>
        <v>0</v>
      </c>
    </row>
    <row r="1207" spans="1:5" x14ac:dyDescent="0.25">
      <c r="A1207" s="521" t="s">
        <v>1007</v>
      </c>
      <c r="B1207" s="523">
        <v>900</v>
      </c>
      <c r="C1207" s="521">
        <v>1000</v>
      </c>
      <c r="D1207" s="521">
        <v>6890</v>
      </c>
      <c r="E1207" s="522">
        <f>SUMIFS('Accounting data'!$G$2:$G$37000,'Accounting data'!$H$2:$H$37000,"11*",'Accounting data'!$I$2:$I$37000,"9*",'Accounting data'!$J$2:$J$37000,"1*",'Accounting data'!$K$2:$K$37000,"689*")+SUMIFS('Accounting data'!$G$2:$G$37000,'Accounting data'!$H$2:$H$37000,"12*",'Accounting data'!$I$2:$I$37000,"9*",'Accounting data'!$J$2:$J$37000,"1*",'Accounting data'!$K$2:$K$37000,"689*")+SUMIFS('Accounting data'!$G$2:$G$37000,'Accounting data'!$H$2:$H$37000,"13*",'Accounting data'!$I$2:$I$37000,"9*",'Accounting data'!$J$2:$J$37000,"1*",'Accounting data'!$K$2:$K$37000,"689*")</f>
        <v>0</v>
      </c>
    </row>
    <row r="1208" spans="1:5" x14ac:dyDescent="0.25">
      <c r="A1208" s="521" t="s">
        <v>1007</v>
      </c>
      <c r="B1208" s="523">
        <v>700</v>
      </c>
      <c r="C1208" s="521">
        <v>2000</v>
      </c>
      <c r="D1208" s="521">
        <v>6890</v>
      </c>
      <c r="E1208" s="522">
        <f>SUMIFS('Accounting data'!$G$2:$G$37000,'Accounting data'!$H$2:$H$37000,"11*",'Accounting data'!$I$2:$I$37000,"7*",'Accounting data'!$J$2:$J$37000,"2*",'Accounting data'!$K$2:$K$37000,"689*")+SUMIFS('Accounting data'!$G$2:$G$37000,'Accounting data'!$H$2:$H$37000,"12*",'Accounting data'!$I$2:$I$37000,"7*",'Accounting data'!$J$2:$J$37000,"2*",'Accounting data'!$K$2:$K$37000,"689*")+SUMIFS('Accounting data'!$G$2:$G$37000,'Accounting data'!$H$2:$H$37000,"13*",'Accounting data'!$I$2:$I$37000,"7*",'Accounting data'!$J$2:$J$37000,"2*",'Accounting data'!$K$2:$K$37000,"689*")</f>
        <v>0</v>
      </c>
    </row>
    <row r="1209" spans="1:5" x14ac:dyDescent="0.25">
      <c r="A1209" s="521" t="s">
        <v>1007</v>
      </c>
      <c r="B1209" s="523">
        <v>800</v>
      </c>
      <c r="C1209" s="521">
        <v>2000</v>
      </c>
      <c r="D1209" s="521">
        <v>6890</v>
      </c>
      <c r="E1209" s="522">
        <f>SUMIFS('Accounting data'!$G$2:$G$37000,'Accounting data'!$H$2:$H$37000,"11*",'Accounting data'!$I$2:$I$37000,"8*",'Accounting data'!$J$2:$J$37000,"2*",'Accounting data'!$K$2:$K$37000,"689*")+SUMIFS('Accounting data'!$G$2:$G$37000,'Accounting data'!$H$2:$H$37000,"12*",'Accounting data'!$I$2:$I$37000,"8*",'Accounting data'!$J$2:$J$37000,"2*",'Accounting data'!$K$2:$K$37000,"689*")+SUMIFS('Accounting data'!$G$2:$G$37000,'Accounting data'!$H$2:$H$37000,"13*",'Accounting data'!$I$2:$I$37000,"8*",'Accounting data'!$J$2:$J$37000,"2*",'Accounting data'!$K$2:$K$37000,"689*")</f>
        <v>0</v>
      </c>
    </row>
    <row r="1210" spans="1:5" x14ac:dyDescent="0.25">
      <c r="A1210" s="521" t="s">
        <v>1007</v>
      </c>
      <c r="B1210" s="523">
        <v>900</v>
      </c>
      <c r="C1210" s="521">
        <v>2000</v>
      </c>
      <c r="D1210" s="521">
        <v>6890</v>
      </c>
      <c r="E1210" s="522">
        <f>SUMIFS('Accounting data'!$G$2:$G$37000,'Accounting data'!$H$2:$H$37000,"11*",'Accounting data'!$I$2:$I$37000,"9*",'Accounting data'!$J$2:$J$37000,"2*",'Accounting data'!$K$2:$K$37000,"689*")+SUMIFS('Accounting data'!$G$2:$G$37000,'Accounting data'!$H$2:$H$37000,"12*",'Accounting data'!$I$2:$I$37000,"9*",'Accounting data'!$J$2:$J$37000,"2*",'Accounting data'!$K$2:$K$37000,"689*")+SUMIFS('Accounting data'!$G$2:$G$37000,'Accounting data'!$H$2:$H$37000,"13*",'Accounting data'!$I$2:$I$37000,"9*",'Accounting data'!$J$2:$J$37000,"2*",'Accounting data'!$K$2:$K$37000,"689*")</f>
        <v>0</v>
      </c>
    </row>
    <row r="1211" spans="1:5" x14ac:dyDescent="0.25">
      <c r="A1211" s="521" t="s">
        <v>1007</v>
      </c>
      <c r="B1211" s="523">
        <v>700</v>
      </c>
      <c r="C1211" s="521">
        <v>3000</v>
      </c>
      <c r="D1211" s="521">
        <v>6890</v>
      </c>
      <c r="E1211" s="522">
        <f>SUMIFS('Accounting data'!$G$2:$G$37000,'Accounting data'!$H$2:$H$37000,"11*",'Accounting data'!$I$2:$I$37000,"7*",'Accounting data'!$J$2:$J$37000,"3*",'Accounting data'!$K$2:$K$37000,"689*")+SUMIFS('Accounting data'!$G$2:$G$37000,'Accounting data'!$H$2:$H$37000,"12*",'Accounting data'!$I$2:$I$37000,"7*",'Accounting data'!$J$2:$J$37000,"3*",'Accounting data'!$K$2:$K$37000,"689*")+SUMIFS('Accounting data'!$G$2:$G$37000,'Accounting data'!$H$2:$H$37000,"13*",'Accounting data'!$I$2:$I$37000,"7*",'Accounting data'!$J$2:$J$37000,"3*",'Accounting data'!$K$2:$K$37000,"689*")</f>
        <v>0</v>
      </c>
    </row>
    <row r="1212" spans="1:5" x14ac:dyDescent="0.25">
      <c r="A1212" s="521" t="s">
        <v>1007</v>
      </c>
      <c r="B1212" s="523">
        <v>800</v>
      </c>
      <c r="C1212" s="521">
        <v>3000</v>
      </c>
      <c r="D1212" s="521">
        <v>6890</v>
      </c>
      <c r="E1212" s="522">
        <f>SUMIFS('Accounting data'!$G$2:$G$37000,'Accounting data'!$H$2:$H$37000,"11*",'Accounting data'!$I$2:$I$37000,"8*",'Accounting data'!$J$2:$J$37000,"3*",'Accounting data'!$K$2:$K$37000,"689*")+SUMIFS('Accounting data'!$G$2:$G$37000,'Accounting data'!$H$2:$H$37000,"12*",'Accounting data'!$I$2:$I$37000,"8*",'Accounting data'!$J$2:$J$37000,"3*",'Accounting data'!$K$2:$K$37000,"689*")+SUMIFS('Accounting data'!$G$2:$G$37000,'Accounting data'!$H$2:$H$37000,"13*",'Accounting data'!$I$2:$I$37000,"8*",'Accounting data'!$J$2:$J$37000,"3*",'Accounting data'!$K$2:$K$37000,"689*")</f>
        <v>0</v>
      </c>
    </row>
    <row r="1213" spans="1:5" x14ac:dyDescent="0.25">
      <c r="A1213" s="521" t="s">
        <v>1007</v>
      </c>
      <c r="B1213" s="523">
        <v>900</v>
      </c>
      <c r="C1213" s="521">
        <v>3000</v>
      </c>
      <c r="D1213" s="521">
        <v>6890</v>
      </c>
      <c r="E1213" s="522">
        <f>SUMIFS('Accounting data'!$G$2:$G$37000,'Accounting data'!$H$2:$H$37000,"11*",'Accounting data'!$I$2:$I$37000,"9*",'Accounting data'!$J$2:$J$37000,"3*",'Accounting data'!$K$2:$K$37000,"689*")+SUMIFS('Accounting data'!$G$2:$G$37000,'Accounting data'!$H$2:$H$37000,"12*",'Accounting data'!$I$2:$I$37000,"9*",'Accounting data'!$J$2:$J$37000,"3*",'Accounting data'!$K$2:$K$37000,"689*")+SUMIFS('Accounting data'!$G$2:$G$37000,'Accounting data'!$H$2:$H$37000,"13*",'Accounting data'!$I$2:$I$37000,"9*",'Accounting data'!$J$2:$J$37000,"3*",'Accounting data'!$K$2:$K$37000,"689*")</f>
        <v>0</v>
      </c>
    </row>
    <row r="1214" spans="1:5" x14ac:dyDescent="0.25">
      <c r="A1214" s="524" t="s">
        <v>1087</v>
      </c>
      <c r="B1214" s="524"/>
      <c r="C1214" s="524"/>
      <c r="D1214" s="524"/>
      <c r="E1214" s="526">
        <f>(E1202+E1203+E1204)-(E1205+E1206+E1207+E1208+E1209+E1210+E1211+E1212+E1213)</f>
        <v>0</v>
      </c>
    </row>
    <row r="1215" spans="1:5" x14ac:dyDescent="0.25">
      <c r="A1215" s="521" t="s">
        <v>991</v>
      </c>
      <c r="B1215" s="521" t="s">
        <v>993</v>
      </c>
      <c r="C1215" s="521">
        <v>1000</v>
      </c>
      <c r="D1215" s="521">
        <v>6000</v>
      </c>
      <c r="E1215" s="522">
        <f>SUMIFS('Accounting data'!$G$2:$G$37000,'Accounting data'!$I$2:$I$37000,"7*",'Accounting data'!$J$2:$J$37000,"1*",'Accounting data'!$K$2:$K$37000,"6*")+SUMIFS('Accounting data'!$G$2:$G$37000,'Accounting data'!$I$2:$I$37000,"8*",'Accounting data'!$J$2:$J$37000,"1*",'Accounting data'!$K$2:$K$37000,"6*")+SUMIFS('Accounting data'!$G$2:$G$37000,'Accounting data'!$I$2:$I$37000,"9*",'Accounting data'!$J$2:$J$37000,"1*",'Accounting data'!$K$2:$K$37000,"6*")</f>
        <v>0</v>
      </c>
    </row>
    <row r="1216" spans="1:5" x14ac:dyDescent="0.25">
      <c r="A1216" s="521" t="s">
        <v>991</v>
      </c>
      <c r="B1216" s="521" t="s">
        <v>993</v>
      </c>
      <c r="C1216" s="521">
        <v>1000</v>
      </c>
      <c r="D1216" s="521">
        <v>6900</v>
      </c>
      <c r="E1216" s="522">
        <f>SUMIFS('Accounting data'!$G$2:$G$37000,'Accounting data'!$I$2:$I$37000,"7*",'Accounting data'!$J$2:$J$37000,"1*",'Accounting data'!$K$2:$K$37000,"69*")+SUMIFS('Accounting data'!$G$2:$G$37000,'Accounting data'!$I$2:$I$37000,"8*",'Accounting data'!$J$2:$J$37000,"1*",'Accounting data'!$K$2:$K$37000,"69*")+SUMIFS('Accounting data'!$G$2:$G$37000,'Accounting data'!$I$2:$I$37000,"9*",'Accounting data'!$J$2:$J$37000,"1*",'Accounting data'!$K$2:$K$37000,"69*")</f>
        <v>0</v>
      </c>
    </row>
    <row r="1217" spans="1:5" x14ac:dyDescent="0.25">
      <c r="A1217" s="521" t="s">
        <v>991</v>
      </c>
      <c r="B1217" s="521" t="s">
        <v>993</v>
      </c>
      <c r="C1217" s="521">
        <v>1000</v>
      </c>
      <c r="D1217" s="530">
        <v>6700</v>
      </c>
      <c r="E1217" s="522">
        <f>SUMIFS('Accounting data'!$G$2:$G$37000,'Accounting data'!$I$2:$I$37000,"7*",'Accounting data'!$J$2:$J$37000,"1*",'Accounting data'!$K$2:$K$37000,"67*")+SUMIFS('Accounting data'!$G$2:$G$37000,'Accounting data'!$I$2:$I$37000,"8*",'Accounting data'!$J$2:$J$37000,"1*",'Accounting data'!$K$2:$K$37000,"67*")+SUMIFS('Accounting data'!$G$2:$G$37000,'Accounting data'!$I$2:$I$37000,"9*",'Accounting data'!$J$2:$J$37000,"1*",'Accounting data'!$K$2:$K$37000,"67*")</f>
        <v>0</v>
      </c>
    </row>
    <row r="1218" spans="1:5" x14ac:dyDescent="0.25">
      <c r="A1218" s="523" t="s">
        <v>992</v>
      </c>
      <c r="B1218" s="521" t="s">
        <v>993</v>
      </c>
      <c r="C1218" s="521">
        <v>1000</v>
      </c>
      <c r="D1218" s="521">
        <v>6000</v>
      </c>
      <c r="E1218" s="522">
        <f>SUMIFS('Accounting data'!$G$2:$G$37000,'Accounting data'!$H$2:$H$37000,"9999*",'Accounting data'!$I$2:$I$37000,"7*",'Accounting data'!$J$2:$J$37000,"1*",'Accounting data'!$K$2:$K$37000,"6*")+SUMIFS('Accounting data'!$G$2:$G$37000,'Accounting data'!$H$2:$H$37000,"9999*",'Accounting data'!$I$2:$I$37000,"8*",'Accounting data'!$J$2:$J$37000,"1*",'Accounting data'!$K$2:$K$37000,"6*")+SUMIFS('Accounting data'!$G$2:$G$37000,'Accounting data'!$H$2:$H$37000,"9999*",'Accounting data'!$I$2:$I$37000,"9*",'Accounting data'!$J$2:$J$37000,"1*",'Accounting data'!$K$2:$K$37000,"6*")</f>
        <v>0</v>
      </c>
    </row>
    <row r="1219" spans="1:5" x14ac:dyDescent="0.25">
      <c r="A1219" s="521"/>
      <c r="B1219" s="521"/>
      <c r="C1219" s="521"/>
      <c r="D1219" s="521"/>
      <c r="E1219" s="522"/>
    </row>
    <row r="1220" spans="1:5" x14ac:dyDescent="0.25">
      <c r="A1220" s="523" t="s">
        <v>992</v>
      </c>
      <c r="B1220" s="521" t="s">
        <v>993</v>
      </c>
      <c r="C1220" s="521">
        <v>1000</v>
      </c>
      <c r="D1220" s="521">
        <v>6900</v>
      </c>
      <c r="E1220" s="522">
        <f>SUMIFS('Accounting data'!$G$2:$G$37000,'Accounting data'!$H$2:$H$37000,"9999*",'Accounting data'!$I$2:$I$37000,"7*",'Accounting data'!$J$2:$J$37000,"1*",'Accounting data'!$K$2:$K$37000,"69*")+SUMIFS('Accounting data'!$G$2:$G$37000,'Accounting data'!$H$2:$H$37000,"9999*",'Accounting data'!$I$2:$I$37000,"8*",'Accounting data'!$J$2:$J$37000,"1*",'Accounting data'!$K$2:$K$37000,"69*")+SUMIFS('Accounting data'!$G$2:$G$37000,'Accounting data'!$H$2:$H$37000,"9999*",'Accounting data'!$I$2:$I$37000,"9*",'Accounting data'!$J$2:$J$37000,"1*",'Accounting data'!$K$2:$K$37000,"69*")</f>
        <v>0</v>
      </c>
    </row>
    <row r="1221" spans="1:5" x14ac:dyDescent="0.25">
      <c r="A1221" s="521"/>
      <c r="B1221" s="521"/>
      <c r="C1221" s="521"/>
      <c r="D1221" s="521"/>
      <c r="E1221" s="522"/>
    </row>
    <row r="1222" spans="1:5" x14ac:dyDescent="0.25">
      <c r="A1222" s="523" t="s">
        <v>992</v>
      </c>
      <c r="B1222" s="521" t="s">
        <v>993</v>
      </c>
      <c r="C1222" s="521">
        <v>1000</v>
      </c>
      <c r="D1222" s="530">
        <v>6700</v>
      </c>
      <c r="E1222" s="522">
        <f>SUMIFS('Accounting data'!$G$2:$G$37000,'Accounting data'!$H$2:$H$37000,"9999*",'Accounting data'!$I$2:$I$37000,"7*",'Accounting data'!$J$2:$J$37000,"1*",'Accounting data'!$K$2:$K$37000,"67*")+SUMIFS('Accounting data'!$G$2:$G$37000,'Accounting data'!$H$2:$H$37000,"9999*",'Accounting data'!$I$2:$I$37000,"8*",'Accounting data'!$J$2:$J$37000,"1*",'Accounting data'!$K$2:$K$37000,"67*")+SUMIFS('Accounting data'!$G$2:$G$37000,'Accounting data'!$H$2:$H$37000,"9999*",'Accounting data'!$I$2:$I$37000,"9*",'Accounting data'!$J$2:$J$37000,"1*",'Accounting data'!$K$2:$K$37000,"67*")</f>
        <v>0</v>
      </c>
    </row>
    <row r="1223" spans="1:5" x14ac:dyDescent="0.25">
      <c r="A1223" s="523"/>
      <c r="B1223" s="521"/>
      <c r="C1223" s="521"/>
      <c r="D1223" s="530"/>
      <c r="E1223" s="522"/>
    </row>
    <row r="1224" spans="1:5" x14ac:dyDescent="0.25">
      <c r="A1224" s="523"/>
      <c r="B1224" s="521"/>
      <c r="C1224" s="521"/>
      <c r="D1224" s="530"/>
      <c r="E1224" s="522"/>
    </row>
    <row r="1225" spans="1:5" x14ac:dyDescent="0.25">
      <c r="A1225" s="524" t="s">
        <v>1088</v>
      </c>
      <c r="B1225" s="524"/>
      <c r="C1225" s="524"/>
      <c r="D1225" s="524"/>
      <c r="E1225" s="526">
        <f>(E1215-E1216-E1217)-((E1218+E1219)-(E1220+E1221))-(E1222+E1223+E1224)</f>
        <v>0</v>
      </c>
    </row>
    <row r="1226" spans="1:5" x14ac:dyDescent="0.25">
      <c r="A1226" s="521" t="s">
        <v>991</v>
      </c>
      <c r="B1226" s="521" t="s">
        <v>993</v>
      </c>
      <c r="C1226" s="521">
        <v>2100</v>
      </c>
      <c r="D1226" s="521">
        <v>6000</v>
      </c>
      <c r="E1226" s="522">
        <f>SUMIFS('Accounting data'!$G$2:$G$37000,'Accounting data'!$I$2:$I$37000,"7*",'Accounting data'!$J$2:$J$37000,"21*",'Accounting data'!$K$2:$K$37000,"6*")+SUMIFS('Accounting data'!$G$2:$G$37000,'Accounting data'!$I$2:$I$37000,"8*",'Accounting data'!$J$2:$J$37000,"21*",'Accounting data'!$K$2:$K$37000,"6*")+SUMIFS('Accounting data'!$G$2:$G$37000,'Accounting data'!$I$2:$I$37000,"9*",'Accounting data'!$J$2:$J$37000,"21*",'Accounting data'!$K$2:$K$37000,"6*")</f>
        <v>0</v>
      </c>
    </row>
    <row r="1227" spans="1:5" x14ac:dyDescent="0.25">
      <c r="A1227" s="521" t="s">
        <v>991</v>
      </c>
      <c r="B1227" s="521" t="s">
        <v>993</v>
      </c>
      <c r="C1227" s="521">
        <v>2100</v>
      </c>
      <c r="D1227" s="521">
        <v>6900</v>
      </c>
      <c r="E1227" s="522">
        <f>SUMIFS('Accounting data'!$G$2:$G$37000,'Accounting data'!$I$2:$I$37000,"7*",'Accounting data'!$J$2:$J$37000,"21*",'Accounting data'!$K$2:$K$37000,"69*")+SUMIFS('Accounting data'!$G$2:$G$37000,'Accounting data'!$I$2:$I$37000,"8*",'Accounting data'!$J$2:$J$37000,"21*",'Accounting data'!$K$2:$K$37000,"69*")+SUMIFS('Accounting data'!$G$2:$G$37000,'Accounting data'!$I$2:$I$37000,"9*",'Accounting data'!$J$2:$J$37000,"21*",'Accounting data'!$K$2:$K$37000,"69*")</f>
        <v>0</v>
      </c>
    </row>
    <row r="1228" spans="1:5" x14ac:dyDescent="0.25">
      <c r="A1228" s="521" t="s">
        <v>991</v>
      </c>
      <c r="B1228" s="521" t="s">
        <v>993</v>
      </c>
      <c r="C1228" s="521">
        <v>2100</v>
      </c>
      <c r="D1228" s="530">
        <v>6700</v>
      </c>
      <c r="E1228" s="522">
        <f>SUMIFS('Accounting data'!$G$2:$G$37000,'Accounting data'!$I$2:$I$37000,"7*",'Accounting data'!$J$2:$J$37000,"21*",'Accounting data'!$K$2:$K$37000,"67*")+SUMIFS('Accounting data'!$G$2:$G$37000,'Accounting data'!$I$2:$I$37000,"8*",'Accounting data'!$J$2:$J$37000,"21*",'Accounting data'!$K$2:$K$37000,"67*")+SUMIFS('Accounting data'!$G$2:$G$37000,'Accounting data'!$I$2:$I$37000,"9*",'Accounting data'!$J$2:$J$37000,"21*",'Accounting data'!$K$2:$K$37000,"67*")</f>
        <v>0</v>
      </c>
    </row>
    <row r="1229" spans="1:5" x14ac:dyDescent="0.25">
      <c r="A1229" s="523" t="s">
        <v>992</v>
      </c>
      <c r="B1229" s="521" t="s">
        <v>993</v>
      </c>
      <c r="C1229" s="521">
        <v>2100</v>
      </c>
      <c r="D1229" s="521">
        <v>6000</v>
      </c>
      <c r="E1229" s="522">
        <f>SUMIFS('Accounting data'!$G$2:$G$37000,'Accounting data'!$H$2:$H$37000,"9999*",'Accounting data'!$I$2:$I$37000,"7*",'Accounting data'!$J$2:$J$37000,"21*",'Accounting data'!$K$2:$K$37000,"6*")+SUMIFS('Accounting data'!$G$2:$G$37000,'Accounting data'!$H$2:$H$37000,"9999*",'Accounting data'!$I$2:$I$37000,"8*",'Accounting data'!$J$2:$J$37000,"21*",'Accounting data'!$K$2:$K$37000,"6*")+SUMIFS('Accounting data'!$G$2:$G$37000,'Accounting data'!$H$2:$H$37000,"9999*",'Accounting data'!$I$2:$I$37000,"9*",'Accounting data'!$J$2:$J$37000,"21*",'Accounting data'!$K$2:$K$37000,"6*")</f>
        <v>0</v>
      </c>
    </row>
    <row r="1230" spans="1:5" x14ac:dyDescent="0.25">
      <c r="A1230" s="521"/>
      <c r="B1230" s="521"/>
      <c r="C1230" s="521"/>
      <c r="D1230" s="521"/>
      <c r="E1230" s="522"/>
    </row>
    <row r="1231" spans="1:5" x14ac:dyDescent="0.25">
      <c r="A1231" s="523" t="s">
        <v>992</v>
      </c>
      <c r="B1231" s="521" t="s">
        <v>993</v>
      </c>
      <c r="C1231" s="521">
        <v>2100</v>
      </c>
      <c r="D1231" s="521">
        <v>6900</v>
      </c>
      <c r="E1231" s="522">
        <f>SUMIFS('Accounting data'!$G$2:$G$37000,'Accounting data'!$H$2:$H$37000,"9999*",'Accounting data'!$I$2:$I$37000,"7*",'Accounting data'!$J$2:$J$37000,"21*",'Accounting data'!$K$2:$K$37000,"69*")+SUMIFS('Accounting data'!$G$2:$G$37000,'Accounting data'!$H$2:$H$37000,"9999*",'Accounting data'!$I$2:$I$37000,"8*",'Accounting data'!$J$2:$J$37000,"21*",'Accounting data'!$K$2:$K$37000,"69*")+SUMIFS('Accounting data'!$G$2:$G$37000,'Accounting data'!$H$2:$H$37000,"9999*",'Accounting data'!$I$2:$I$37000,"9*",'Accounting data'!$J$2:$J$37000,"21*",'Accounting data'!$K$2:$K$37000,"69*")</f>
        <v>0</v>
      </c>
    </row>
    <row r="1233" spans="1:5" x14ac:dyDescent="0.25">
      <c r="A1233" s="523" t="s">
        <v>992</v>
      </c>
      <c r="B1233" s="521" t="s">
        <v>993</v>
      </c>
      <c r="C1233" s="521">
        <v>2100</v>
      </c>
      <c r="D1233" s="530">
        <v>6700</v>
      </c>
      <c r="E1233" s="522">
        <f>SUMIFS('Accounting data'!$G$2:$G$37000,'Accounting data'!$H$2:$H$37000,"9999*",'Accounting data'!$I$2:$I$37000,"7*",'Accounting data'!$J$2:$J$37000,"21*",'Accounting data'!$K$2:$K$37000,"67*")+SUMIFS('Accounting data'!$G$2:$G$37000,'Accounting data'!$H$2:$H$37000,"9999*",'Accounting data'!$I$2:$I$37000,"8*",'Accounting data'!$J$2:$J$37000,"21*",'Accounting data'!$K$2:$K$37000,"67*")+SUMIFS('Accounting data'!$G$2:$G$37000,'Accounting data'!$H$2:$H$37000,"9999*",'Accounting data'!$I$2:$I$37000,"9*",'Accounting data'!$J$2:$J$37000,"21*",'Accounting data'!$K$2:$K$37000,"67*")</f>
        <v>0</v>
      </c>
    </row>
    <row r="1234" spans="1:5" x14ac:dyDescent="0.25">
      <c r="A1234" s="523"/>
      <c r="B1234" s="521"/>
      <c r="C1234" s="521"/>
      <c r="D1234" s="530"/>
      <c r="E1234" s="522"/>
    </row>
    <row r="1235" spans="1:5" x14ac:dyDescent="0.25">
      <c r="A1235" s="523"/>
      <c r="B1235" s="521"/>
      <c r="C1235" s="521"/>
      <c r="D1235" s="530"/>
      <c r="E1235" s="522"/>
    </row>
    <row r="1236" spans="1:5" x14ac:dyDescent="0.25">
      <c r="A1236" s="524" t="s">
        <v>1089</v>
      </c>
      <c r="B1236" s="524"/>
      <c r="C1236" s="524"/>
      <c r="D1236" s="524"/>
      <c r="E1236" s="526">
        <f>(E1226-E1227-E1228)-((E1229+E1230)-(E1231+E1232))-(E1233+E1234+E1235)</f>
        <v>0</v>
      </c>
    </row>
    <row r="1237" spans="1:5" x14ac:dyDescent="0.25">
      <c r="A1237" s="521" t="s">
        <v>991</v>
      </c>
      <c r="B1237" s="521" t="s">
        <v>993</v>
      </c>
      <c r="C1237" s="521">
        <v>2200</v>
      </c>
      <c r="D1237" s="521">
        <v>6000</v>
      </c>
      <c r="E1237" s="522">
        <f>SUMIFS('Accounting data'!$G$2:$G$37000,'Accounting data'!$I$2:$I$37000,"7*",'Accounting data'!$J$2:$J$37000,"22*",'Accounting data'!$K$2:$K$37000,"6*")+SUMIFS('Accounting data'!$G$2:$G$37000,'Accounting data'!$I$2:$I$37000,"8*",'Accounting data'!$J$2:$J$37000,"22*",'Accounting data'!$K$2:$K$37000,"6*")+SUMIFS('Accounting data'!$G$2:$G$37000,'Accounting data'!$I$2:$I$37000,"9*",'Accounting data'!$J$2:$J$37000,"22*",'Accounting data'!$K$2:$K$37000,"6*")</f>
        <v>0</v>
      </c>
    </row>
    <row r="1238" spans="1:5" x14ac:dyDescent="0.25">
      <c r="A1238" s="521" t="s">
        <v>991</v>
      </c>
      <c r="B1238" s="521" t="s">
        <v>993</v>
      </c>
      <c r="C1238" s="521">
        <v>2200</v>
      </c>
      <c r="D1238" s="521">
        <v>6900</v>
      </c>
      <c r="E1238" s="522">
        <f>SUMIFS('Accounting data'!$G$2:$G$37000,'Accounting data'!$I$2:$I$37000,"7*",'Accounting data'!$J$2:$J$37000,"22*",'Accounting data'!$K$2:$K$37000,"69*")+SUMIFS('Accounting data'!$G$2:$G$37000,'Accounting data'!$I$2:$I$37000,"8*",'Accounting data'!$J$2:$J$37000,"22*",'Accounting data'!$K$2:$K$37000,"69*")+SUMIFS('Accounting data'!$G$2:$G$37000,'Accounting data'!$I$2:$I$37000,"9*",'Accounting data'!$J$2:$J$37000,"22*",'Accounting data'!$K$2:$K$37000,"69*")</f>
        <v>0</v>
      </c>
    </row>
    <row r="1239" spans="1:5" x14ac:dyDescent="0.25">
      <c r="A1239" s="521" t="s">
        <v>991</v>
      </c>
      <c r="B1239" s="521" t="s">
        <v>993</v>
      </c>
      <c r="C1239" s="521">
        <v>2200</v>
      </c>
      <c r="D1239" s="530">
        <v>6700</v>
      </c>
      <c r="E1239" s="522">
        <f>SUMIFS('Accounting data'!$G$2:$G$37000,'Accounting data'!$I$2:$I$37000,"7*",'Accounting data'!$J$2:$J$37000,"22*",'Accounting data'!$K$2:$K$37000,"67*")+SUMIFS('Accounting data'!$G$2:$G$37000,'Accounting data'!$I$2:$I$37000,"8*",'Accounting data'!$J$2:$J$37000,"22*",'Accounting data'!$K$2:$K$37000,"67*")+SUMIFS('Accounting data'!$G$2:$G$37000,'Accounting data'!$I$2:$I$37000,"9*",'Accounting data'!$J$2:$J$37000,"22*",'Accounting data'!$K$2:$K$37000,"67*")</f>
        <v>0</v>
      </c>
    </row>
    <row r="1240" spans="1:5" x14ac:dyDescent="0.25">
      <c r="A1240" s="523" t="s">
        <v>992</v>
      </c>
      <c r="B1240" s="521" t="s">
        <v>993</v>
      </c>
      <c r="C1240" s="521">
        <v>2200</v>
      </c>
      <c r="D1240" s="521">
        <v>6000</v>
      </c>
      <c r="E1240" s="522">
        <f>SUMIFS('Accounting data'!$G$2:$G$37000,'Accounting data'!$H$2:$H$37000,"9999*",'Accounting data'!$I$2:$I$37000,"7*",'Accounting data'!$J$2:$J$37000,"22*",'Accounting data'!$K$2:$K$37000,"6*")+SUMIFS('Accounting data'!$G$2:$G$37000,'Accounting data'!$H$2:$H$37000,"9999*",'Accounting data'!$I$2:$I$37000,"8*",'Accounting data'!$J$2:$J$37000,"22*",'Accounting data'!$K$2:$K$37000,"6*")+SUMIFS('Accounting data'!$G$2:$G$37000,'Accounting data'!$H$2:$H$37000,"9999*",'Accounting data'!$I$2:$I$37000,"9*",'Accounting data'!$J$2:$J$37000,"22*",'Accounting data'!$K$2:$K$37000,"6*")</f>
        <v>0</v>
      </c>
    </row>
    <row r="1241" spans="1:5" x14ac:dyDescent="0.25">
      <c r="A1241" s="521"/>
      <c r="B1241" s="521"/>
      <c r="C1241" s="521"/>
      <c r="D1241" s="521"/>
      <c r="E1241" s="522"/>
    </row>
    <row r="1242" spans="1:5" x14ac:dyDescent="0.25">
      <c r="A1242" s="523" t="s">
        <v>992</v>
      </c>
      <c r="B1242" s="521" t="s">
        <v>993</v>
      </c>
      <c r="C1242" s="521">
        <v>2200</v>
      </c>
      <c r="D1242" s="521">
        <v>6900</v>
      </c>
      <c r="E1242" s="522">
        <f>SUMIFS('Accounting data'!$G$2:$G$37000,'Accounting data'!$H$2:$H$37000,"9999*",'Accounting data'!$I$2:$I$37000,"7*",'Accounting data'!$J$2:$J$37000,"22*",'Accounting data'!$K$2:$K$37000,"69*")+SUMIFS('Accounting data'!$G$2:$G$37000,'Accounting data'!$H$2:$H$37000,"9999*",'Accounting data'!$I$2:$I$37000,"8*",'Accounting data'!$J$2:$J$37000,"22*",'Accounting data'!$K$2:$K$37000,"69*")+SUMIFS('Accounting data'!$G$2:$G$37000,'Accounting data'!$H$2:$H$37000,"9999*",'Accounting data'!$I$2:$I$37000,"9*",'Accounting data'!$J$2:$J$37000,"22*",'Accounting data'!$K$2:$K$37000,"69*")</f>
        <v>0</v>
      </c>
    </row>
    <row r="1243" spans="1:5" x14ac:dyDescent="0.25">
      <c r="A1243" s="521"/>
      <c r="B1243" s="521"/>
      <c r="C1243" s="521"/>
      <c r="D1243" s="521"/>
      <c r="E1243" s="522"/>
    </row>
    <row r="1244" spans="1:5" x14ac:dyDescent="0.25">
      <c r="A1244" s="523" t="s">
        <v>992</v>
      </c>
      <c r="B1244" s="521" t="s">
        <v>993</v>
      </c>
      <c r="C1244" s="521">
        <v>2200</v>
      </c>
      <c r="D1244" s="530">
        <v>6700</v>
      </c>
      <c r="E1244" s="522">
        <f>SUMIFS('Accounting data'!$G$2:$G$37000,'Accounting data'!$H$2:$H$37000,"9999*",'Accounting data'!$I$2:$I$37000,"7*",'Accounting data'!$J$2:$J$37000,"22*",'Accounting data'!$K$2:$K$37000,"67*")+SUMIFS('Accounting data'!$G$2:$G$37000,'Accounting data'!$H$2:$H$37000,"9999*",'Accounting data'!$I$2:$I$37000,"8*",'Accounting data'!$J$2:$J$37000,"22*",'Accounting data'!$K$2:$K$37000,"67*")+SUMIFS('Accounting data'!$G$2:$G$37000,'Accounting data'!$H$2:$H$37000,"9999*",'Accounting data'!$I$2:$I$37000,"9*",'Accounting data'!$J$2:$J$37000,"22*",'Accounting data'!$K$2:$K$37000,"67*")</f>
        <v>0</v>
      </c>
    </row>
    <row r="1245" spans="1:5" x14ac:dyDescent="0.25">
      <c r="A1245" s="523"/>
      <c r="B1245" s="521"/>
      <c r="C1245" s="521"/>
      <c r="D1245" s="530"/>
      <c r="E1245" s="522"/>
    </row>
    <row r="1246" spans="1:5" x14ac:dyDescent="0.25">
      <c r="A1246" s="523"/>
      <c r="B1246" s="521"/>
      <c r="C1246" s="521"/>
      <c r="D1246" s="530"/>
      <c r="E1246" s="522"/>
    </row>
    <row r="1247" spans="1:5" x14ac:dyDescent="0.25">
      <c r="A1247" s="524" t="s">
        <v>1090</v>
      </c>
      <c r="B1247" s="524"/>
      <c r="C1247" s="524"/>
      <c r="D1247" s="524"/>
      <c r="E1247" s="526">
        <f>(E1237-E1238-E1239)-((E1240+E1241)-(E1242+E1243))-(E1244+E1245+E1246)</f>
        <v>0</v>
      </c>
    </row>
    <row r="1248" spans="1:5" x14ac:dyDescent="0.25">
      <c r="A1248" s="521" t="s">
        <v>991</v>
      </c>
      <c r="B1248" s="521" t="s">
        <v>993</v>
      </c>
      <c r="C1248" s="521">
        <v>2300</v>
      </c>
      <c r="D1248" s="521">
        <v>6000</v>
      </c>
      <c r="E1248" s="522">
        <f>SUMIFS('Accounting data'!$G$2:$G$37000,'Accounting data'!$I$2:$I$37000,"7*",'Accounting data'!$J$2:$J$37000,"23*",'Accounting data'!$K$2:$K$37000,"6*")+SUMIFS('Accounting data'!$G$2:$G$37000,'Accounting data'!$I$2:$I$37000,"8*",'Accounting data'!$J$2:$J$37000,"23*",'Accounting data'!$K$2:$K$37000,"6*")+SUMIFS('Accounting data'!$G$2:$G$37000,'Accounting data'!$I$2:$I$37000,"9*",'Accounting data'!$J$2:$J$37000,"23*",'Accounting data'!$K$2:$K$37000,"6*")</f>
        <v>0</v>
      </c>
    </row>
    <row r="1249" spans="1:5" x14ac:dyDescent="0.25">
      <c r="A1249" s="521" t="s">
        <v>991</v>
      </c>
      <c r="B1249" s="521" t="s">
        <v>993</v>
      </c>
      <c r="C1249" s="521">
        <v>2300</v>
      </c>
      <c r="D1249" s="521">
        <v>6900</v>
      </c>
      <c r="E1249" s="522">
        <f>SUMIFS('Accounting data'!$G$2:$G$37000,'Accounting data'!$I$2:$I$37000,"7*",'Accounting data'!$J$2:$J$37000,"23*",'Accounting data'!$K$2:$K$37000,"69*")+SUMIFS('Accounting data'!$G$2:$G$37000,'Accounting data'!$I$2:$I$37000,"8*",'Accounting data'!$J$2:$J$37000,"23*",'Accounting data'!$K$2:$K$37000,"69*")+SUMIFS('Accounting data'!$G$2:$G$37000,'Accounting data'!$I$2:$I$37000,"9*",'Accounting data'!$J$2:$J$37000,"23*",'Accounting data'!$K$2:$K$37000,"69*")</f>
        <v>0</v>
      </c>
    </row>
    <row r="1250" spans="1:5" x14ac:dyDescent="0.25">
      <c r="A1250" s="521" t="s">
        <v>991</v>
      </c>
      <c r="B1250" s="521" t="s">
        <v>993</v>
      </c>
      <c r="C1250" s="521">
        <v>2300</v>
      </c>
      <c r="D1250" s="530">
        <v>6700</v>
      </c>
      <c r="E1250" s="522">
        <f>SUMIFS('Accounting data'!$G$2:$G$37000,'Accounting data'!$I$2:$I$37000,"7*",'Accounting data'!$J$2:$J$37000,"23*",'Accounting data'!$K$2:$K$37000,"67*")+SUMIFS('Accounting data'!$G$2:$G$37000,'Accounting data'!$I$2:$I$37000,"8*",'Accounting data'!$J$2:$J$37000,"23*",'Accounting data'!$K$2:$K$37000,"67*")+SUMIFS('Accounting data'!$G$2:$G$37000,'Accounting data'!$I$2:$I$37000,"9*",'Accounting data'!$J$2:$J$37000,"23*",'Accounting data'!$K$2:$K$37000,"67*")</f>
        <v>0</v>
      </c>
    </row>
    <row r="1251" spans="1:5" x14ac:dyDescent="0.25">
      <c r="A1251" s="523" t="s">
        <v>992</v>
      </c>
      <c r="B1251" s="521" t="s">
        <v>993</v>
      </c>
      <c r="C1251" s="521">
        <v>2300</v>
      </c>
      <c r="D1251" s="521">
        <v>6000</v>
      </c>
      <c r="E1251" s="522">
        <f>SUMIFS('Accounting data'!$G$2:$G$37000,'Accounting data'!$H$2:$H$37000,"9999*",'Accounting data'!$I$2:$I$37000,"7*",'Accounting data'!$J$2:$J$37000,"23*",'Accounting data'!$K$2:$K$37000,"6*")+SUMIFS('Accounting data'!$G$2:$G$37000,'Accounting data'!$H$2:$H$37000,"9999*",'Accounting data'!$I$2:$I$37000,"8*",'Accounting data'!$J$2:$J$37000,"23*",'Accounting data'!$K$2:$K$37000,"6*")+SUMIFS('Accounting data'!$G$2:$G$37000,'Accounting data'!$H$2:$H$37000,"9999*",'Accounting data'!$I$2:$I$37000,"9*",'Accounting data'!$J$2:$J$37000,"23*",'Accounting data'!$K$2:$K$37000,"6*")</f>
        <v>0</v>
      </c>
    </row>
    <row r="1252" spans="1:5" x14ac:dyDescent="0.25">
      <c r="A1252" s="521"/>
      <c r="B1252" s="521"/>
      <c r="C1252" s="521"/>
      <c r="D1252" s="521"/>
      <c r="E1252" s="522"/>
    </row>
    <row r="1253" spans="1:5" x14ac:dyDescent="0.25">
      <c r="A1253" s="523" t="s">
        <v>992</v>
      </c>
      <c r="B1253" s="521" t="s">
        <v>993</v>
      </c>
      <c r="C1253" s="521">
        <v>2300</v>
      </c>
      <c r="D1253" s="521">
        <v>6900</v>
      </c>
      <c r="E1253" s="522">
        <f>SUMIFS('Accounting data'!$G$2:$G$37000,'Accounting data'!$H$2:$H$37000,"9999*",'Accounting data'!$I$2:$I$37000,"7*",'Accounting data'!$J$2:$J$37000,"23*",'Accounting data'!$K$2:$K$37000,"69*")+SUMIFS('Accounting data'!$G$2:$G$37000,'Accounting data'!$H$2:$H$37000,"9999*",'Accounting data'!$I$2:$I$37000,"8*",'Accounting data'!$J$2:$J$37000,"23*",'Accounting data'!$K$2:$K$37000,"69*")+SUMIFS('Accounting data'!$G$2:$G$37000,'Accounting data'!$H$2:$H$37000,"9999*",'Accounting data'!$I$2:$I$37000,"9*",'Accounting data'!$J$2:$J$37000,"23*",'Accounting data'!$K$2:$K$37000,"69*")</f>
        <v>0</v>
      </c>
    </row>
    <row r="1254" spans="1:5" x14ac:dyDescent="0.25">
      <c r="A1254" s="521"/>
      <c r="B1254" s="521"/>
      <c r="C1254" s="521"/>
      <c r="D1254" s="521"/>
      <c r="E1254" s="522"/>
    </row>
    <row r="1255" spans="1:5" x14ac:dyDescent="0.25">
      <c r="A1255" s="523" t="s">
        <v>992</v>
      </c>
      <c r="B1255" s="521" t="s">
        <v>993</v>
      </c>
      <c r="C1255" s="521">
        <v>2300</v>
      </c>
      <c r="D1255" s="530">
        <v>6700</v>
      </c>
      <c r="E1255" s="522">
        <f>SUMIFS('Accounting data'!$G$2:$G$37000,'Accounting data'!$H$2:$H$37000,"9999*",'Accounting data'!$I$2:$I$37000,"7*",'Accounting data'!$J$2:$J$37000,"23*",'Accounting data'!$K$2:$K$37000,"67*")+SUMIFS('Accounting data'!$G$2:$G$37000,'Accounting data'!$H$2:$H$37000,"9999*",'Accounting data'!$I$2:$I$37000,"8*",'Accounting data'!$J$2:$J$37000,"23*",'Accounting data'!$K$2:$K$37000,"67*")+SUMIFS('Accounting data'!$G$2:$G$37000,'Accounting data'!$H$2:$H$37000,"9999*",'Accounting data'!$I$2:$I$37000,"9*",'Accounting data'!$J$2:$J$37000,"23*",'Accounting data'!$K$2:$K$37000,"67*")</f>
        <v>0</v>
      </c>
    </row>
    <row r="1256" spans="1:5" x14ac:dyDescent="0.25">
      <c r="A1256" s="523"/>
      <c r="B1256" s="521"/>
      <c r="C1256" s="521"/>
      <c r="D1256" s="530"/>
      <c r="E1256" s="522"/>
    </row>
    <row r="1257" spans="1:5" x14ac:dyDescent="0.25">
      <c r="A1257" s="523"/>
      <c r="B1257" s="521"/>
      <c r="C1257" s="521"/>
      <c r="D1257" s="530"/>
      <c r="E1257" s="522"/>
    </row>
    <row r="1258" spans="1:5" x14ac:dyDescent="0.25">
      <c r="A1258" s="524" t="s">
        <v>1091</v>
      </c>
      <c r="B1258" s="524"/>
      <c r="C1258" s="524"/>
      <c r="D1258" s="524"/>
      <c r="E1258" s="526">
        <f>(E1248-E1249-E1250)-((E1251+E1252)-(E1253+E1254))-(E1255+E1256+E1257)</f>
        <v>0</v>
      </c>
    </row>
    <row r="1259" spans="1:5" x14ac:dyDescent="0.25">
      <c r="A1259" s="521" t="s">
        <v>991</v>
      </c>
      <c r="B1259" s="521" t="s">
        <v>993</v>
      </c>
      <c r="C1259" s="521">
        <v>2400</v>
      </c>
      <c r="D1259" s="521">
        <v>6000</v>
      </c>
      <c r="E1259" s="522">
        <f>SUMIFS('Accounting data'!$G$2:$G$37000,'Accounting data'!$I$2:$I$37000,"7*",'Accounting data'!$J$2:$J$37000,"24*",'Accounting data'!$K$2:$K$37000,"6*")+SUMIFS('Accounting data'!$G$2:$G$37000,'Accounting data'!$I$2:$I$37000,"8*",'Accounting data'!$J$2:$J$37000,"24*",'Accounting data'!$K$2:$K$37000,"6*")+SUMIFS('Accounting data'!$G$2:$G$37000,'Accounting data'!$I$2:$I$37000,"9*",'Accounting data'!$J$2:$J$37000,"24*",'Accounting data'!$K$2:$K$37000,"6*")</f>
        <v>0</v>
      </c>
    </row>
    <row r="1260" spans="1:5" x14ac:dyDescent="0.25">
      <c r="A1260" s="521" t="s">
        <v>991</v>
      </c>
      <c r="B1260" s="521" t="s">
        <v>993</v>
      </c>
      <c r="C1260" s="521">
        <v>2400</v>
      </c>
      <c r="D1260" s="521">
        <v>6900</v>
      </c>
      <c r="E1260" s="522">
        <f>SUMIFS('Accounting data'!$G$2:$G$37000,'Accounting data'!$I$2:$I$37000,"7*",'Accounting data'!$J$2:$J$37000,"24*",'Accounting data'!$K$2:$K$37000,"69*")+SUMIFS('Accounting data'!$G$2:$G$37000,'Accounting data'!$I$2:$I$37000,"8*",'Accounting data'!$J$2:$J$37000,"24*",'Accounting data'!$K$2:$K$37000,"69*")+SUMIFS('Accounting data'!$G$2:$G$37000,'Accounting data'!$I$2:$I$37000,"9*",'Accounting data'!$J$2:$J$37000,"24*",'Accounting data'!$K$2:$K$37000,"69*")</f>
        <v>0</v>
      </c>
    </row>
    <row r="1261" spans="1:5" x14ac:dyDescent="0.25">
      <c r="A1261" s="521" t="s">
        <v>991</v>
      </c>
      <c r="B1261" s="521" t="s">
        <v>993</v>
      </c>
      <c r="C1261" s="521">
        <v>2400</v>
      </c>
      <c r="D1261" s="530">
        <v>6700</v>
      </c>
      <c r="E1261" s="522">
        <f>SUMIFS('Accounting data'!$G$2:$G$37000,'Accounting data'!$I$2:$I$37000,"7*",'Accounting data'!$J$2:$J$37000,"24*",'Accounting data'!$K$2:$K$37000,"67*")+SUMIFS('Accounting data'!$G$2:$G$37000,'Accounting data'!$I$2:$I$37000,"8*",'Accounting data'!$J$2:$J$37000,"24*",'Accounting data'!$K$2:$K$37000,"67*")+SUMIFS('Accounting data'!$G$2:$G$37000,'Accounting data'!$I$2:$I$37000,"9*",'Accounting data'!$J$2:$J$37000,"24*",'Accounting data'!$K$2:$K$37000,"67*")</f>
        <v>0</v>
      </c>
    </row>
    <row r="1262" spans="1:5" x14ac:dyDescent="0.25">
      <c r="A1262" s="523" t="s">
        <v>992</v>
      </c>
      <c r="B1262" s="521" t="s">
        <v>993</v>
      </c>
      <c r="C1262" s="521">
        <v>2400</v>
      </c>
      <c r="D1262" s="521">
        <v>6000</v>
      </c>
      <c r="E1262" s="522">
        <f>SUMIFS('Accounting data'!$G$2:$G$37000,'Accounting data'!$H$2:$H$37000,"9999*",'Accounting data'!$I$2:$I$37000,"7*",'Accounting data'!$J$2:$J$37000,"24*",'Accounting data'!$K$2:$K$37000,"6*")+SUMIFS('Accounting data'!$G$2:$G$37000,'Accounting data'!$H$2:$H$37000,"9999*",'Accounting data'!$I$2:$I$37000,"8*",'Accounting data'!$J$2:$J$37000,"24*",'Accounting data'!$K$2:$K$37000,"6*")+SUMIFS('Accounting data'!$G$2:$G$37000,'Accounting data'!$H$2:$H$37000,"9999*",'Accounting data'!$I$2:$I$37000,"9*",'Accounting data'!$J$2:$J$37000,"24*",'Accounting data'!$K$2:$K$37000,"6*")</f>
        <v>0</v>
      </c>
    </row>
    <row r="1263" spans="1:5" x14ac:dyDescent="0.25">
      <c r="A1263" s="521"/>
      <c r="B1263" s="521"/>
      <c r="C1263" s="521"/>
      <c r="D1263" s="521"/>
      <c r="E1263" s="522"/>
    </row>
    <row r="1264" spans="1:5" x14ac:dyDescent="0.25">
      <c r="A1264" s="523" t="s">
        <v>992</v>
      </c>
      <c r="B1264" s="521" t="s">
        <v>993</v>
      </c>
      <c r="C1264" s="521">
        <v>2400</v>
      </c>
      <c r="D1264" s="521">
        <v>6900</v>
      </c>
      <c r="E1264" s="522">
        <f>SUMIFS('Accounting data'!$G$2:$G$37000,'Accounting data'!$H$2:$H$37000,"9999*",'Accounting data'!$I$2:$I$37000,"7*",'Accounting data'!$J$2:$J$37000,"24*",'Accounting data'!$K$2:$K$37000,"69*")+SUMIFS('Accounting data'!$G$2:$G$37000,'Accounting data'!$H$2:$H$37000,"9999*",'Accounting data'!$I$2:$I$37000,"8*",'Accounting data'!$J$2:$J$37000,"24*",'Accounting data'!$K$2:$K$37000,"69*")+SUMIFS('Accounting data'!$G$2:$G$37000,'Accounting data'!$H$2:$H$37000,"9999*",'Accounting data'!$I$2:$I$37000,"9*",'Accounting data'!$J$2:$J$37000,"24*",'Accounting data'!$K$2:$K$37000,"69*")</f>
        <v>0</v>
      </c>
    </row>
    <row r="1266" spans="1:5" x14ac:dyDescent="0.25">
      <c r="A1266" s="523" t="s">
        <v>992</v>
      </c>
      <c r="B1266" s="521" t="s">
        <v>993</v>
      </c>
      <c r="C1266" s="521">
        <v>2400</v>
      </c>
      <c r="D1266" s="530">
        <v>6700</v>
      </c>
      <c r="E1266" s="522">
        <f>SUMIFS('Accounting data'!$G$2:$G$37000,'Accounting data'!$H$2:$H$37000,"9999*",'Accounting data'!$I$2:$I$37000,"7*",'Accounting data'!$J$2:$J$37000,"24*",'Accounting data'!$K$2:$K$37000,"67*")+SUMIFS('Accounting data'!$G$2:$G$37000,'Accounting data'!$H$2:$H$37000,"9999*",'Accounting data'!$I$2:$I$37000,"8*",'Accounting data'!$J$2:$J$37000,"24*",'Accounting data'!$K$2:$K$37000,"67*")+SUMIFS('Accounting data'!$G$2:$G$37000,'Accounting data'!$H$2:$H$37000,"9999*",'Accounting data'!$I$2:$I$37000,"9*",'Accounting data'!$J$2:$J$37000,"24*",'Accounting data'!$K$2:$K$37000,"67*")</f>
        <v>0</v>
      </c>
    </row>
    <row r="1267" spans="1:5" x14ac:dyDescent="0.25">
      <c r="A1267" s="523"/>
      <c r="B1267" s="521"/>
      <c r="C1267" s="521"/>
      <c r="D1267" s="530"/>
      <c r="E1267" s="522"/>
    </row>
    <row r="1268" spans="1:5" x14ac:dyDescent="0.25">
      <c r="A1268" s="523"/>
      <c r="B1268" s="521"/>
      <c r="C1268" s="521"/>
      <c r="D1268" s="530"/>
      <c r="E1268" s="522"/>
    </row>
    <row r="1269" spans="1:5" x14ac:dyDescent="0.25">
      <c r="A1269" s="524" t="s">
        <v>1092</v>
      </c>
      <c r="B1269" s="524"/>
      <c r="C1269" s="524"/>
      <c r="D1269" s="524"/>
      <c r="E1269" s="526">
        <f>(E1259-E1260-E1261)-((E1262+E1263)-(E1264+E1265))-(E1266+E1267+E1268)</f>
        <v>0</v>
      </c>
    </row>
    <row r="1270" spans="1:5" x14ac:dyDescent="0.25">
      <c r="A1270" s="521" t="s">
        <v>991</v>
      </c>
      <c r="B1270" s="521" t="s">
        <v>993</v>
      </c>
      <c r="C1270" s="521">
        <v>2500</v>
      </c>
      <c r="D1270" s="521">
        <v>6000</v>
      </c>
      <c r="E1270" s="522">
        <f>SUMIFS('Accounting data'!$G$2:$G$37000,'Accounting data'!$I$2:$I$37000,"7*",'Accounting data'!$J$2:$J$37000,"25*",'Accounting data'!$K$2:$K$37000,"6*")+SUMIFS('Accounting data'!$G$2:$G$37000,'Accounting data'!$I$2:$I$37000,"8*",'Accounting data'!$J$2:$J$37000,"25*",'Accounting data'!$K$2:$K$37000,"6*")+SUMIFS('Accounting data'!$G$2:$G$37000,'Accounting data'!$I$2:$I$37000,"9*",'Accounting data'!$J$2:$J$37000,"25*",'Accounting data'!$K$2:$K$37000,"6*")</f>
        <v>0</v>
      </c>
    </row>
    <row r="1271" spans="1:5" x14ac:dyDescent="0.25">
      <c r="A1271" s="521" t="s">
        <v>991</v>
      </c>
      <c r="B1271" s="521" t="s">
        <v>993</v>
      </c>
      <c r="C1271" s="521">
        <v>2500</v>
      </c>
      <c r="D1271" s="521">
        <v>6900</v>
      </c>
      <c r="E1271" s="522">
        <f>SUMIFS('Accounting data'!$G$2:$G$37000,'Accounting data'!$I$2:$I$37000,"7*",'Accounting data'!$J$2:$J$37000,"25*",'Accounting data'!$K$2:$K$37000,"69*")+SUMIFS('Accounting data'!$G$2:$G$37000,'Accounting data'!$I$2:$I$37000,"8*",'Accounting data'!$J$2:$J$37000,"25*",'Accounting data'!$K$2:$K$37000,"69*")+SUMIFS('Accounting data'!$G$2:$G$37000,'Accounting data'!$I$2:$I$37000,"9*",'Accounting data'!$J$2:$J$37000,"25*",'Accounting data'!$K$2:$K$37000,"69*")</f>
        <v>0</v>
      </c>
    </row>
    <row r="1272" spans="1:5" x14ac:dyDescent="0.25">
      <c r="A1272" s="521" t="s">
        <v>991</v>
      </c>
      <c r="B1272" s="521" t="s">
        <v>993</v>
      </c>
      <c r="C1272" s="521">
        <v>2500</v>
      </c>
      <c r="D1272" s="530">
        <v>6700</v>
      </c>
      <c r="E1272" s="522">
        <f>SUMIFS('Accounting data'!$G$2:$G$37000,'Accounting data'!$I$2:$I$37000,"7*",'Accounting data'!$J$2:$J$37000,"25*",'Accounting data'!$K$2:$K$37000,"67*")+SUMIFS('Accounting data'!$G$2:$G$37000,'Accounting data'!$I$2:$I$37000,"8*",'Accounting data'!$J$2:$J$37000,"25*",'Accounting data'!$K$2:$K$37000,"67*")+SUMIFS('Accounting data'!$G$2:$G$37000,'Accounting data'!$I$2:$I$37000,"9*",'Accounting data'!$J$2:$J$37000,"25*",'Accounting data'!$K$2:$K$37000,"67*")</f>
        <v>0</v>
      </c>
    </row>
    <row r="1273" spans="1:5" x14ac:dyDescent="0.25">
      <c r="A1273" s="523" t="s">
        <v>992</v>
      </c>
      <c r="B1273" s="521" t="s">
        <v>993</v>
      </c>
      <c r="C1273" s="521">
        <v>2500</v>
      </c>
      <c r="D1273" s="521">
        <v>6000</v>
      </c>
      <c r="E1273" s="522">
        <f>SUMIFS('Accounting data'!$G$2:$G$37000,'Accounting data'!$H$2:$H$37000,"9999*",'Accounting data'!$I$2:$I$37000,"7*",'Accounting data'!$J$2:$J$37000,"25*",'Accounting data'!$K$2:$K$37000,"6*")+SUMIFS('Accounting data'!$G$2:$G$37000,'Accounting data'!$H$2:$H$37000,"9999*",'Accounting data'!$I$2:$I$37000,"8*",'Accounting data'!$J$2:$J$37000,"25*",'Accounting data'!$K$2:$K$37000,"6*")+SUMIFS('Accounting data'!$G$2:$G$37000,'Accounting data'!$H$2:$H$37000,"9999*",'Accounting data'!$I$2:$I$37000,"9*",'Accounting data'!$J$2:$J$37000,"25*",'Accounting data'!$K$2:$K$37000,"6*")</f>
        <v>0</v>
      </c>
    </row>
    <row r="1274" spans="1:5" x14ac:dyDescent="0.25">
      <c r="A1274" s="521"/>
      <c r="B1274" s="521"/>
      <c r="C1274" s="521"/>
      <c r="D1274" s="521"/>
      <c r="E1274" s="522"/>
    </row>
    <row r="1275" spans="1:5" x14ac:dyDescent="0.25">
      <c r="A1275" s="523" t="s">
        <v>992</v>
      </c>
      <c r="B1275" s="521" t="s">
        <v>993</v>
      </c>
      <c r="C1275" s="521">
        <v>2500</v>
      </c>
      <c r="D1275" s="521">
        <v>6900</v>
      </c>
      <c r="E1275" s="522">
        <f>SUMIFS('Accounting data'!$G$2:$G$37000,'Accounting data'!$H$2:$H$37000,"9999*",'Accounting data'!$I$2:$I$37000,"7*",'Accounting data'!$J$2:$J$37000,"25*",'Accounting data'!$K$2:$K$37000,"69*")+SUMIFS('Accounting data'!$G$2:$G$37000,'Accounting data'!$H$2:$H$37000,"9999*",'Accounting data'!$I$2:$I$37000,"8*",'Accounting data'!$J$2:$J$37000,"25*",'Accounting data'!$K$2:$K$37000,"69*")+SUMIFS('Accounting data'!$G$2:$G$37000,'Accounting data'!$H$2:$H$37000,"9999*",'Accounting data'!$I$2:$I$37000,"9*",'Accounting data'!$J$2:$J$37000,"25*",'Accounting data'!$K$2:$K$37000,"69*")</f>
        <v>0</v>
      </c>
    </row>
    <row r="1276" spans="1:5" x14ac:dyDescent="0.25">
      <c r="A1276" s="521"/>
      <c r="B1276" s="521"/>
      <c r="C1276" s="521"/>
      <c r="D1276" s="521"/>
      <c r="E1276" s="522"/>
    </row>
    <row r="1277" spans="1:5" x14ac:dyDescent="0.25">
      <c r="A1277" s="523" t="s">
        <v>992</v>
      </c>
      <c r="B1277" s="521" t="s">
        <v>993</v>
      </c>
      <c r="C1277" s="521">
        <v>2500</v>
      </c>
      <c r="D1277" s="530">
        <v>6700</v>
      </c>
      <c r="E1277" s="522">
        <f>SUMIFS('Accounting data'!$G$2:$G$37000,'Accounting data'!$H$2:$H$37000,"9999*",'Accounting data'!$I$2:$I$37000,"7*",'Accounting data'!$J$2:$J$37000,"25*",'Accounting data'!$K$2:$K$37000,"67*")+SUMIFS('Accounting data'!$G$2:$G$37000,'Accounting data'!$H$2:$H$37000,"9999*",'Accounting data'!$I$2:$I$37000,"8*",'Accounting data'!$J$2:$J$37000,"25*",'Accounting data'!$K$2:$K$37000,"67*")+SUMIFS('Accounting data'!$G$2:$G$37000,'Accounting data'!$H$2:$H$37000,"9999*",'Accounting data'!$I$2:$I$37000,"9*",'Accounting data'!$J$2:$J$37000,"25*",'Accounting data'!$K$2:$K$37000,"67*")</f>
        <v>0</v>
      </c>
    </row>
    <row r="1278" spans="1:5" x14ac:dyDescent="0.25">
      <c r="A1278" s="523"/>
      <c r="B1278" s="521"/>
      <c r="C1278" s="521"/>
      <c r="D1278" s="530"/>
      <c r="E1278" s="522"/>
    </row>
    <row r="1279" spans="1:5" x14ac:dyDescent="0.25">
      <c r="A1279" s="523"/>
      <c r="B1279" s="521"/>
      <c r="C1279" s="521"/>
      <c r="D1279" s="530"/>
      <c r="E1279" s="522"/>
    </row>
    <row r="1280" spans="1:5" x14ac:dyDescent="0.25">
      <c r="A1280" s="524" t="s">
        <v>1093</v>
      </c>
      <c r="B1280" s="524"/>
      <c r="C1280" s="524"/>
      <c r="D1280" s="524"/>
      <c r="E1280" s="526">
        <f>(E1270-E1271-E1272)-((E1273+E1274)-(E1275+E1276))-(E1277+E1278+E1279)</f>
        <v>0</v>
      </c>
    </row>
    <row r="1281" spans="1:5" x14ac:dyDescent="0.25">
      <c r="A1281" s="521" t="s">
        <v>991</v>
      </c>
      <c r="B1281" s="521" t="s">
        <v>993</v>
      </c>
      <c r="C1281" s="521">
        <v>2900</v>
      </c>
      <c r="D1281" s="521">
        <v>6000</v>
      </c>
      <c r="E1281" s="522">
        <f>SUMIFS('Accounting data'!$G$2:$G$37000,'Accounting data'!$I$2:$I$37000,"7*",'Accounting data'!$J$2:$J$37000,"29*",'Accounting data'!$K$2:$K$37000,"6*")+SUMIFS('Accounting data'!$G$2:$G$37000,'Accounting data'!$I$2:$I$37000,"8*",'Accounting data'!$J$2:$J$37000,"29*",'Accounting data'!$K$2:$K$37000,"6*")+SUMIFS('Accounting data'!$G$2:$G$37000,'Accounting data'!$I$2:$I$37000,"9*",'Accounting data'!$J$2:$J$37000,"29*",'Accounting data'!$K$2:$K$37000,"6*")</f>
        <v>0</v>
      </c>
    </row>
    <row r="1282" spans="1:5" x14ac:dyDescent="0.25">
      <c r="A1282" s="521" t="s">
        <v>991</v>
      </c>
      <c r="B1282" s="521" t="s">
        <v>993</v>
      </c>
      <c r="C1282" s="521">
        <v>2900</v>
      </c>
      <c r="D1282" s="521">
        <v>6900</v>
      </c>
      <c r="E1282" s="522">
        <f>SUMIFS('Accounting data'!$G$2:$G$37000,'Accounting data'!$I$2:$I$37000,"7*",'Accounting data'!$J$2:$J$37000,"29*",'Accounting data'!$K$2:$K$37000,"69*")+SUMIFS('Accounting data'!$G$2:$G$37000,'Accounting data'!$I$2:$I$37000,"8*",'Accounting data'!$J$2:$J$37000,"29*",'Accounting data'!$K$2:$K$37000,"69*")+SUMIFS('Accounting data'!$G$2:$G$37000,'Accounting data'!$I$2:$I$37000,"9*",'Accounting data'!$J$2:$J$37000,"29*",'Accounting data'!$K$2:$K$37000,"69*")</f>
        <v>0</v>
      </c>
    </row>
    <row r="1283" spans="1:5" x14ac:dyDescent="0.25">
      <c r="A1283" s="521" t="s">
        <v>991</v>
      </c>
      <c r="B1283" s="521" t="s">
        <v>993</v>
      </c>
      <c r="C1283" s="521">
        <v>2900</v>
      </c>
      <c r="D1283" s="530">
        <v>6700</v>
      </c>
      <c r="E1283" s="522">
        <f>SUMIFS('Accounting data'!$G$2:$G$37000,'Accounting data'!$I$2:$I$37000,"7*",'Accounting data'!$J$2:$J$37000,"29*",'Accounting data'!$K$2:$K$37000,"67*")+SUMIFS('Accounting data'!$G$2:$G$37000,'Accounting data'!$I$2:$I$37000,"8*",'Accounting data'!$J$2:$J$37000,"29*",'Accounting data'!$K$2:$K$37000,"67*")+SUMIFS('Accounting data'!$G$2:$G$37000,'Accounting data'!$I$2:$I$37000,"9*",'Accounting data'!$J$2:$J$37000,"29*",'Accounting data'!$K$2:$K$37000,"67*")</f>
        <v>0</v>
      </c>
    </row>
    <row r="1284" spans="1:5" x14ac:dyDescent="0.25">
      <c r="A1284" s="523" t="s">
        <v>992</v>
      </c>
      <c r="B1284" s="521" t="s">
        <v>993</v>
      </c>
      <c r="C1284" s="521">
        <v>2900</v>
      </c>
      <c r="D1284" s="521">
        <v>6000</v>
      </c>
      <c r="E1284" s="522">
        <f>SUMIFS('Accounting data'!$G$2:$G$37000,'Accounting data'!$H$2:$H$37000,"9999*",'Accounting data'!$I$2:$I$37000,"7*",'Accounting data'!$J$2:$J$37000,"29*",'Accounting data'!$K$2:$K$37000,"6*")+SUMIFS('Accounting data'!$G$2:$G$37000,'Accounting data'!$H$2:$H$37000,"9999*",'Accounting data'!$I$2:$I$37000,"8*",'Accounting data'!$J$2:$J$37000,"29*",'Accounting data'!$K$2:$K$37000,"6*")+SUMIFS('Accounting data'!$G$2:$G$37000,'Accounting data'!$H$2:$H$37000,"9999*",'Accounting data'!$I$2:$I$37000,"9*",'Accounting data'!$J$2:$J$37000,"29*",'Accounting data'!$K$2:$K$37000,"6*")</f>
        <v>0</v>
      </c>
    </row>
    <row r="1285" spans="1:5" x14ac:dyDescent="0.25">
      <c r="A1285" s="521"/>
      <c r="B1285" s="521"/>
      <c r="C1285" s="521"/>
      <c r="D1285" s="521"/>
      <c r="E1285" s="522"/>
    </row>
    <row r="1286" spans="1:5" x14ac:dyDescent="0.25">
      <c r="A1286" s="523" t="s">
        <v>992</v>
      </c>
      <c r="B1286" s="521" t="s">
        <v>993</v>
      </c>
      <c r="C1286" s="521">
        <v>2900</v>
      </c>
      <c r="D1286" s="521">
        <v>6900</v>
      </c>
      <c r="E1286" s="522">
        <f>SUMIFS('Accounting data'!$G$2:$G$37000,'Accounting data'!$H$2:$H$37000,"9999*",'Accounting data'!$I$2:$I$37000,"7*",'Accounting data'!$J$2:$J$37000,"29*",'Accounting data'!$K$2:$K$37000,"69*")+SUMIFS('Accounting data'!$G$2:$G$37000,'Accounting data'!$H$2:$H$37000,"9999*",'Accounting data'!$I$2:$I$37000,"8*",'Accounting data'!$J$2:$J$37000,"29*",'Accounting data'!$K$2:$K$37000,"69*")+SUMIFS('Accounting data'!$G$2:$G$37000,'Accounting data'!$H$2:$H$37000,"9999*",'Accounting data'!$I$2:$I$37000,"9*",'Accounting data'!$J$2:$J$37000,"29*",'Accounting data'!$K$2:$K$37000,"69*")</f>
        <v>0</v>
      </c>
    </row>
    <row r="1287" spans="1:5" x14ac:dyDescent="0.25">
      <c r="A1287" s="521"/>
      <c r="B1287" s="521"/>
      <c r="C1287" s="521"/>
      <c r="D1287" s="521"/>
      <c r="E1287" s="522"/>
    </row>
    <row r="1288" spans="1:5" x14ac:dyDescent="0.25">
      <c r="A1288" s="523" t="s">
        <v>992</v>
      </c>
      <c r="B1288" s="521" t="s">
        <v>993</v>
      </c>
      <c r="C1288" s="521">
        <v>2900</v>
      </c>
      <c r="D1288" s="530">
        <v>6700</v>
      </c>
      <c r="E1288" s="522">
        <f>SUMIFS('Accounting data'!$G$2:$G$37000,'Accounting data'!$H$2:$H$37000,"9999*",'Accounting data'!$I$2:$I$37000,"7*",'Accounting data'!$J$2:$J$37000,"29*",'Accounting data'!$K$2:$K$37000,"67*")+SUMIFS('Accounting data'!$G$2:$G$37000,'Accounting data'!$H$2:$H$37000,"9999*",'Accounting data'!$I$2:$I$37000,"8*",'Accounting data'!$J$2:$J$37000,"29*",'Accounting data'!$K$2:$K$37000,"67*")+SUMIFS('Accounting data'!$G$2:$G$37000,'Accounting data'!$H$2:$H$37000,"9999*",'Accounting data'!$I$2:$I$37000,"9*",'Accounting data'!$J$2:$J$37000,"29*",'Accounting data'!$K$2:$K$37000,"67*")</f>
        <v>0</v>
      </c>
    </row>
    <row r="1289" spans="1:5" x14ac:dyDescent="0.25">
      <c r="A1289" s="523"/>
      <c r="B1289" s="521"/>
      <c r="C1289" s="521"/>
      <c r="D1289" s="530"/>
      <c r="E1289" s="522"/>
    </row>
    <row r="1290" spans="1:5" x14ac:dyDescent="0.25">
      <c r="A1290" s="523"/>
      <c r="B1290" s="521"/>
      <c r="C1290" s="521"/>
      <c r="D1290" s="530"/>
      <c r="E1290" s="522"/>
    </row>
    <row r="1291" spans="1:5" x14ac:dyDescent="0.25">
      <c r="A1291" s="524" t="s">
        <v>1094</v>
      </c>
      <c r="B1291" s="524"/>
      <c r="C1291" s="524"/>
      <c r="D1291" s="524"/>
      <c r="E1291" s="526">
        <f>(E1281-E1282-E1283)-((E1284+E1285)-(E1286+E1287))-(E1288+E1289+E1290)</f>
        <v>0</v>
      </c>
    </row>
    <row r="1292" spans="1:5" x14ac:dyDescent="0.25">
      <c r="A1292" s="521" t="s">
        <v>991</v>
      </c>
      <c r="B1292" s="521" t="s">
        <v>993</v>
      </c>
      <c r="C1292" s="521">
        <v>2600</v>
      </c>
      <c r="D1292" s="521">
        <v>6000</v>
      </c>
      <c r="E1292" s="522">
        <f>SUMIFS('Accounting data'!$G$2:$G$37000,'Accounting data'!$I$2:$I$37000,"7*",'Accounting data'!$J$2:$J$37000,"26*",'Accounting data'!$K$2:$K$37000,"6*")+SUMIFS('Accounting data'!$G$2:$G$37000,'Accounting data'!$I$2:$I$37000,"8*",'Accounting data'!$J$2:$J$37000,"26*",'Accounting data'!$K$2:$K$37000,"6*")+SUMIFS('Accounting data'!$G$2:$G$37000,'Accounting data'!$I$2:$I$37000,"9*",'Accounting data'!$J$2:$J$37000,"26*",'Accounting data'!$K$2:$K$37000,"6*")</f>
        <v>0</v>
      </c>
    </row>
    <row r="1293" spans="1:5" x14ac:dyDescent="0.25">
      <c r="A1293" s="521" t="s">
        <v>991</v>
      </c>
      <c r="B1293" s="521" t="s">
        <v>993</v>
      </c>
      <c r="C1293" s="521">
        <v>2600</v>
      </c>
      <c r="D1293" s="521">
        <v>6900</v>
      </c>
      <c r="E1293" s="522">
        <f>SUMIFS('Accounting data'!$G$2:$G$37000,'Accounting data'!$I$2:$I$37000,"7*",'Accounting data'!$J$2:$J$37000,"26*",'Accounting data'!$K$2:$K$37000,"69*")+SUMIFS('Accounting data'!$G$2:$G$37000,'Accounting data'!$I$2:$I$37000,"8*",'Accounting data'!$J$2:$J$37000,"26*",'Accounting data'!$K$2:$K$37000,"69*")+SUMIFS('Accounting data'!$G$2:$G$37000,'Accounting data'!$I$2:$I$37000,"9*",'Accounting data'!$J$2:$J$37000,"26*",'Accounting data'!$K$2:$K$37000,"69*")</f>
        <v>0</v>
      </c>
    </row>
    <row r="1294" spans="1:5" x14ac:dyDescent="0.25">
      <c r="A1294" s="521" t="s">
        <v>991</v>
      </c>
      <c r="B1294" s="521" t="s">
        <v>993</v>
      </c>
      <c r="C1294" s="521">
        <v>2600</v>
      </c>
      <c r="D1294" s="530">
        <v>6700</v>
      </c>
      <c r="E1294" s="522">
        <f>SUMIFS('Accounting data'!$G$2:$G$37000,'Accounting data'!$I$2:$I$37000,"7*",'Accounting data'!$J$2:$J$37000,"26*",'Accounting data'!$K$2:$K$37000,"67*")+SUMIFS('Accounting data'!$G$2:$G$37000,'Accounting data'!$I$2:$I$37000,"8*",'Accounting data'!$J$2:$J$37000,"26*",'Accounting data'!$K$2:$K$37000,"67*")+SUMIFS('Accounting data'!$G$2:$G$37000,'Accounting data'!$I$2:$I$37000,"9*",'Accounting data'!$J$2:$J$37000,"26*",'Accounting data'!$K$2:$K$37000,"67*")</f>
        <v>0</v>
      </c>
    </row>
    <row r="1295" spans="1:5" x14ac:dyDescent="0.25">
      <c r="A1295" s="523" t="s">
        <v>992</v>
      </c>
      <c r="B1295" s="521" t="s">
        <v>993</v>
      </c>
      <c r="C1295" s="521">
        <v>2600</v>
      </c>
      <c r="D1295" s="521">
        <v>6000</v>
      </c>
      <c r="E1295" s="522">
        <f>SUMIFS('Accounting data'!$G$2:$G$37000,'Accounting data'!$H$2:$H$37000,"9999*",'Accounting data'!$I$2:$I$37000,"7*",'Accounting data'!$J$2:$J$37000,"26*",'Accounting data'!$K$2:$K$37000,"6*")+SUMIFS('Accounting data'!$G$2:$G$37000,'Accounting data'!$H$2:$H$37000,"9999*",'Accounting data'!$I$2:$I$37000,"8*",'Accounting data'!$J$2:$J$37000,"26*",'Accounting data'!$K$2:$K$37000,"6*")+SUMIFS('Accounting data'!$G$2:$G$37000,'Accounting data'!$H$2:$H$37000,"9999*",'Accounting data'!$I$2:$I$37000,"9*",'Accounting data'!$J$2:$J$37000,"26*",'Accounting data'!$K$2:$K$37000,"6*")</f>
        <v>0</v>
      </c>
    </row>
    <row r="1297" spans="1:5" x14ac:dyDescent="0.25">
      <c r="A1297" s="523" t="s">
        <v>992</v>
      </c>
      <c r="B1297" s="521" t="s">
        <v>993</v>
      </c>
      <c r="C1297" s="521">
        <v>2600</v>
      </c>
      <c r="D1297" s="521">
        <v>6900</v>
      </c>
      <c r="E1297" s="522">
        <f>SUMIFS('Accounting data'!$G$2:$G$37000,'Accounting data'!$H$2:$H$37000,"9999*",'Accounting data'!$I$2:$I$37000,"7*",'Accounting data'!$J$2:$J$37000,"26*",'Accounting data'!$K$2:$K$37000,"69*")+SUMIFS('Accounting data'!$G$2:$G$37000,'Accounting data'!$H$2:$H$37000,"9999*",'Accounting data'!$I$2:$I$37000,"8*",'Accounting data'!$J$2:$J$37000,"26*",'Accounting data'!$K$2:$K$37000,"69*")+SUMIFS('Accounting data'!$G$2:$G$37000,'Accounting data'!$H$2:$H$37000,"9999*",'Accounting data'!$I$2:$I$37000,"9*",'Accounting data'!$J$2:$J$37000,"26*",'Accounting data'!$K$2:$K$37000,"69*")</f>
        <v>0</v>
      </c>
    </row>
    <row r="1298" spans="1:5" x14ac:dyDescent="0.25">
      <c r="A1298" s="521"/>
      <c r="B1298" s="521"/>
      <c r="C1298" s="521"/>
      <c r="D1298" s="521"/>
      <c r="E1298" s="522"/>
    </row>
    <row r="1299" spans="1:5" x14ac:dyDescent="0.25">
      <c r="A1299" s="523" t="s">
        <v>992</v>
      </c>
      <c r="B1299" s="521" t="s">
        <v>993</v>
      </c>
      <c r="C1299" s="521">
        <v>2600</v>
      </c>
      <c r="D1299" s="530">
        <v>6700</v>
      </c>
      <c r="E1299" s="522">
        <f>SUMIFS('Accounting data'!$G$2:$G$37000,'Accounting data'!$H$2:$H$37000,"9999*",'Accounting data'!$I$2:$I$37000,"7*",'Accounting data'!$J$2:$J$37000,"26*",'Accounting data'!$K$2:$K$37000,"67*")+SUMIFS('Accounting data'!$G$2:$G$37000,'Accounting data'!$H$2:$H$37000,"9999*",'Accounting data'!$I$2:$I$37000,"8*",'Accounting data'!$J$2:$J$37000,"26*",'Accounting data'!$K$2:$K$37000,"67*")+SUMIFS('Accounting data'!$G$2:$G$37000,'Accounting data'!$H$2:$H$37000,"9999*",'Accounting data'!$I$2:$I$37000,"9*",'Accounting data'!$J$2:$J$37000,"26*",'Accounting data'!$K$2:$K$37000,"67*")</f>
        <v>0</v>
      </c>
    </row>
    <row r="1300" spans="1:5" x14ac:dyDescent="0.25">
      <c r="A1300" s="523"/>
      <c r="B1300" s="521"/>
      <c r="C1300" s="521"/>
      <c r="D1300" s="530"/>
      <c r="E1300" s="522"/>
    </row>
    <row r="1301" spans="1:5" x14ac:dyDescent="0.25">
      <c r="A1301" s="523"/>
      <c r="B1301" s="521"/>
      <c r="C1301" s="521"/>
      <c r="D1301" s="530"/>
      <c r="E1301" s="522"/>
    </row>
    <row r="1302" spans="1:5" x14ac:dyDescent="0.25">
      <c r="A1302" s="524" t="s">
        <v>1095</v>
      </c>
      <c r="B1302" s="524"/>
      <c r="C1302" s="524"/>
      <c r="D1302" s="524"/>
      <c r="E1302" s="526">
        <f>(E1292-E1293-E1294)-((E1295+E1296)-(E1297+E1298))-(E1299+E1300+E1301)</f>
        <v>0</v>
      </c>
    </row>
    <row r="1303" spans="1:5" x14ac:dyDescent="0.25">
      <c r="A1303" s="521" t="s">
        <v>991</v>
      </c>
      <c r="B1303" s="521" t="s">
        <v>993</v>
      </c>
      <c r="C1303" s="521">
        <v>3100</v>
      </c>
      <c r="D1303" s="521">
        <v>6000</v>
      </c>
      <c r="E1303" s="522">
        <f>SUMIFS('Accounting data'!$G$2:$G$37000,'Accounting data'!$I$2:$I$37000,"7*",'Accounting data'!$J$2:$J$37000,"31*",'Accounting data'!$K$2:$K$37000,"6*")+SUMIFS('Accounting data'!$G$2:$G$37000,'Accounting data'!$I$2:$I$37000,"8*",'Accounting data'!$J$2:$J$37000,"31*",'Accounting data'!$K$2:$K$37000,"6*")+SUMIFS('Accounting data'!$G$2:$G$37000,'Accounting data'!$I$2:$I$37000,"9*",'Accounting data'!$J$2:$J$37000,"31*",'Accounting data'!$K$2:$K$37000,"6*")</f>
        <v>0</v>
      </c>
    </row>
    <row r="1304" spans="1:5" x14ac:dyDescent="0.25">
      <c r="A1304" s="521" t="s">
        <v>991</v>
      </c>
      <c r="B1304" s="521" t="s">
        <v>993</v>
      </c>
      <c r="C1304" s="521">
        <v>3100</v>
      </c>
      <c r="D1304" s="521">
        <v>6900</v>
      </c>
      <c r="E1304" s="522">
        <f>SUMIFS('Accounting data'!$G$2:$G$37000,'Accounting data'!$I$2:$I$37000,"7*",'Accounting data'!$J$2:$J$37000,"31*",'Accounting data'!$K$2:$K$37000,"69*")+SUMIFS('Accounting data'!$G$2:$G$37000,'Accounting data'!$I$2:$I$37000,"8*",'Accounting data'!$J$2:$J$37000,"31*",'Accounting data'!$K$2:$K$37000,"69*")+SUMIFS('Accounting data'!$G$2:$G$37000,'Accounting data'!$I$2:$I$37000,"9*",'Accounting data'!$J$2:$J$37000,"31*",'Accounting data'!$K$2:$K$37000,"69*")</f>
        <v>0</v>
      </c>
    </row>
    <row r="1305" spans="1:5" x14ac:dyDescent="0.25">
      <c r="A1305" s="521" t="s">
        <v>991</v>
      </c>
      <c r="B1305" s="521" t="s">
        <v>993</v>
      </c>
      <c r="C1305" s="521">
        <v>3100</v>
      </c>
      <c r="D1305" s="530">
        <v>6700</v>
      </c>
      <c r="E1305" s="522">
        <f>SUMIFS('Accounting data'!$G$2:$G$37000,'Accounting data'!$I$2:$I$37000,"7*",'Accounting data'!$J$2:$J$37000,"31*",'Accounting data'!$K$2:$K$37000,"67*")+SUMIFS('Accounting data'!$G$2:$G$37000,'Accounting data'!$I$2:$I$37000,"8*",'Accounting data'!$J$2:$J$37000,"31*",'Accounting data'!$K$2:$K$37000,"67*")+SUMIFS('Accounting data'!$G$2:$G$37000,'Accounting data'!$I$2:$I$37000,"9*",'Accounting data'!$J$2:$J$37000,"31*",'Accounting data'!$K$2:$K$37000,"67*")</f>
        <v>0</v>
      </c>
    </row>
    <row r="1306" spans="1:5" x14ac:dyDescent="0.25">
      <c r="A1306" s="523" t="s">
        <v>992</v>
      </c>
      <c r="B1306" s="521" t="s">
        <v>993</v>
      </c>
      <c r="C1306" s="521">
        <v>3100</v>
      </c>
      <c r="D1306" s="521">
        <v>6000</v>
      </c>
      <c r="E1306" s="522">
        <f>SUMIFS('Accounting data'!$G$2:$G$37000,'Accounting data'!$H$2:$H$37000,"9999*",'Accounting data'!$I$2:$I$37000,"7*",'Accounting data'!$J$2:$J$37000,"31*",'Accounting data'!$K$2:$K$37000,"6*")+SUMIFS('Accounting data'!$G$2:$G$37000,'Accounting data'!$H$2:$H$37000,"9999*",'Accounting data'!$I$2:$I$37000,"8*",'Accounting data'!$J$2:$J$37000,"31*",'Accounting data'!$K$2:$K$37000,"6*")+SUMIFS('Accounting data'!$G$2:$G$37000,'Accounting data'!$H$2:$H$37000,"9999*",'Accounting data'!$I$2:$I$37000,"9*",'Accounting data'!$J$2:$J$37000,"31*",'Accounting data'!$K$2:$K$37000,"6*")</f>
        <v>0</v>
      </c>
    </row>
    <row r="1307" spans="1:5" x14ac:dyDescent="0.25">
      <c r="A1307" s="521"/>
      <c r="B1307" s="521"/>
      <c r="C1307" s="521"/>
      <c r="D1307" s="521"/>
      <c r="E1307" s="522"/>
    </row>
    <row r="1308" spans="1:5" x14ac:dyDescent="0.25">
      <c r="A1308" s="523" t="s">
        <v>992</v>
      </c>
      <c r="B1308" s="521" t="s">
        <v>993</v>
      </c>
      <c r="C1308" s="521">
        <v>3100</v>
      </c>
      <c r="D1308" s="521">
        <v>6900</v>
      </c>
      <c r="E1308" s="522">
        <f>SUMIFS('Accounting data'!$G$2:$G$37000,'Accounting data'!$H$2:$H$37000,"9999*",'Accounting data'!$I$2:$I$37000,"7*",'Accounting data'!$J$2:$J$37000,"31*",'Accounting data'!$K$2:$K$37000,"69*")+SUMIFS('Accounting data'!$G$2:$G$37000,'Accounting data'!$H$2:$H$37000,"9999*",'Accounting data'!$I$2:$I$37000,"8*",'Accounting data'!$J$2:$J$37000,"31*",'Accounting data'!$K$2:$K$37000,"69*")+SUMIFS('Accounting data'!$G$2:$G$37000,'Accounting data'!$H$2:$H$37000,"9999*",'Accounting data'!$I$2:$I$37000,"9*",'Accounting data'!$J$2:$J$37000,"31*",'Accounting data'!$K$2:$K$37000,"69*")</f>
        <v>0</v>
      </c>
    </row>
    <row r="1309" spans="1:5" x14ac:dyDescent="0.25">
      <c r="A1309" s="521"/>
      <c r="B1309" s="521"/>
      <c r="C1309" s="521"/>
      <c r="D1309" s="521"/>
      <c r="E1309" s="522"/>
    </row>
    <row r="1310" spans="1:5" x14ac:dyDescent="0.25">
      <c r="A1310" s="523" t="s">
        <v>992</v>
      </c>
      <c r="B1310" s="521" t="s">
        <v>993</v>
      </c>
      <c r="C1310" s="521">
        <v>3100</v>
      </c>
      <c r="D1310" s="530">
        <v>6700</v>
      </c>
      <c r="E1310" s="522">
        <f>SUMIFS('Accounting data'!$G$2:$G$37000,'Accounting data'!$H$2:$H$37000,"9999*",'Accounting data'!$I$2:$I$37000,"7*",'Accounting data'!$J$2:$J$37000,"31*",'Accounting data'!$K$2:$K$37000,"67*")+SUMIFS('Accounting data'!$G$2:$G$37000,'Accounting data'!$H$2:$H$37000,"9999*",'Accounting data'!$I$2:$I$37000,"8*",'Accounting data'!$J$2:$J$37000,"31*",'Accounting data'!$K$2:$K$37000,"67*")+SUMIFS('Accounting data'!$G$2:$G$37000,'Accounting data'!$H$2:$H$37000,"9999*",'Accounting data'!$I$2:$I$37000,"9*",'Accounting data'!$J$2:$J$37000,"31*",'Accounting data'!$K$2:$K$37000,"67*")</f>
        <v>0</v>
      </c>
    </row>
    <row r="1313" spans="1:5" x14ac:dyDescent="0.25">
      <c r="A1313" s="524" t="s">
        <v>1096</v>
      </c>
      <c r="B1313" s="524"/>
      <c r="C1313" s="524"/>
      <c r="D1313" s="524"/>
      <c r="E1313" s="526">
        <f>(E1303-E1304-E1305)-((E1306+E1307)-(E1308+E1309))-(E1310+E1311+E1312)</f>
        <v>0</v>
      </c>
    </row>
    <row r="1314" spans="1:5" x14ac:dyDescent="0.25">
      <c r="A1314" s="521"/>
      <c r="B1314" s="521"/>
      <c r="C1314" s="521"/>
      <c r="D1314" s="521"/>
      <c r="E1314" s="522"/>
    </row>
    <row r="1315" spans="1:5" x14ac:dyDescent="0.25">
      <c r="A1315" s="521"/>
      <c r="B1315" s="521"/>
      <c r="C1315" s="521"/>
      <c r="D1315" s="521"/>
      <c r="E1315" s="522"/>
    </row>
    <row r="1316" spans="1:5" x14ac:dyDescent="0.25">
      <c r="A1316" s="521"/>
      <c r="B1316" s="521"/>
      <c r="C1316" s="521"/>
      <c r="D1316" s="530"/>
      <c r="E1316" s="522"/>
    </row>
    <row r="1317" spans="1:5" x14ac:dyDescent="0.25">
      <c r="A1317" s="523"/>
      <c r="B1317" s="521"/>
      <c r="C1317" s="521"/>
      <c r="D1317" s="521"/>
      <c r="E1317" s="522"/>
    </row>
    <row r="1318" spans="1:5" x14ac:dyDescent="0.25">
      <c r="A1318" s="521"/>
      <c r="B1318" s="521"/>
      <c r="C1318" s="521"/>
      <c r="D1318" s="521"/>
      <c r="E1318" s="522"/>
    </row>
    <row r="1319" spans="1:5" x14ac:dyDescent="0.25">
      <c r="A1319" s="523"/>
      <c r="B1319" s="521"/>
      <c r="C1319" s="521"/>
      <c r="D1319" s="521"/>
      <c r="E1319" s="522"/>
    </row>
    <row r="1320" spans="1:5" x14ac:dyDescent="0.25">
      <c r="A1320" s="521"/>
      <c r="B1320" s="521"/>
      <c r="C1320" s="521"/>
      <c r="D1320" s="521"/>
      <c r="E1320" s="522"/>
    </row>
    <row r="1321" spans="1:5" x14ac:dyDescent="0.25">
      <c r="A1321" s="523"/>
      <c r="B1321" s="521"/>
      <c r="C1321" s="521"/>
      <c r="D1321" s="530"/>
      <c r="E1321" s="522"/>
    </row>
    <row r="1322" spans="1:5" x14ac:dyDescent="0.25">
      <c r="A1322" s="523"/>
      <c r="B1322" s="521"/>
      <c r="C1322" s="521"/>
      <c r="D1322" s="530"/>
      <c r="E1322" s="522"/>
    </row>
    <row r="1323" spans="1:5" x14ac:dyDescent="0.25">
      <c r="A1323" s="523"/>
      <c r="B1323" s="521"/>
      <c r="C1323" s="521"/>
      <c r="D1323" s="530"/>
      <c r="E1323" s="522"/>
    </row>
    <row r="1324" spans="1:5" x14ac:dyDescent="0.25">
      <c r="A1324" s="524"/>
      <c r="B1324" s="524"/>
      <c r="C1324" s="524"/>
      <c r="D1324" s="524"/>
      <c r="E1324" s="526"/>
    </row>
    <row r="1325" spans="1:5" x14ac:dyDescent="0.25">
      <c r="A1325" s="521" t="s">
        <v>991</v>
      </c>
      <c r="B1325" s="521" t="s">
        <v>993</v>
      </c>
      <c r="C1325" s="521">
        <v>3300</v>
      </c>
      <c r="D1325" s="521">
        <v>6000</v>
      </c>
      <c r="E1325" s="522">
        <f>SUMIFS('Accounting data'!$G$2:$G$37000,'Accounting data'!$I$2:$I$37000,"7*",'Accounting data'!$J$2:$J$37000,"33*",'Accounting data'!$K$2:$K$37000,"6*")+SUMIFS('Accounting data'!$G$2:$G$37000,'Accounting data'!$I$2:$I$37000,"8*",'Accounting data'!$J$2:$J$37000,"33*",'Accounting data'!$K$2:$K$37000,"6*")+SUMIFS('Accounting data'!$G$2:$G$37000,'Accounting data'!$I$2:$I$37000,"9*",'Accounting data'!$J$2:$J$37000,"33*",'Accounting data'!$K$2:$K$37000,"6*")</f>
        <v>0</v>
      </c>
    </row>
    <row r="1326" spans="1:5" x14ac:dyDescent="0.25">
      <c r="A1326" s="521" t="s">
        <v>991</v>
      </c>
      <c r="B1326" s="521" t="s">
        <v>993</v>
      </c>
      <c r="C1326" s="521">
        <v>3300</v>
      </c>
      <c r="D1326" s="521">
        <v>6900</v>
      </c>
      <c r="E1326" s="522">
        <f>SUMIFS('Accounting data'!$G$2:$G$37000,'Accounting data'!$I$2:$I$37000,"7*",'Accounting data'!$J$2:$J$37000,"33*",'Accounting data'!$K$2:$K$37000,"69*")+SUMIFS('Accounting data'!$G$2:$G$37000,'Accounting data'!$I$2:$I$37000,"8*",'Accounting data'!$J$2:$J$37000,"33*",'Accounting data'!$K$2:$K$37000,"69*")+SUMIFS('Accounting data'!$G$2:$G$37000,'Accounting data'!$I$2:$I$37000,"9*",'Accounting data'!$J$2:$J$37000,"33*",'Accounting data'!$K$2:$K$37000,"69*")</f>
        <v>0</v>
      </c>
    </row>
    <row r="1327" spans="1:5" x14ac:dyDescent="0.25">
      <c r="A1327" s="521" t="s">
        <v>991</v>
      </c>
      <c r="B1327" s="521" t="s">
        <v>993</v>
      </c>
      <c r="C1327" s="521">
        <v>3300</v>
      </c>
      <c r="D1327" s="530">
        <v>6700</v>
      </c>
      <c r="E1327" s="522">
        <f>SUMIFS('Accounting data'!$G$2:$G$37000,'Accounting data'!$I$2:$I$37000,"7*",'Accounting data'!$J$2:$J$37000,"33*",'Accounting data'!$K$2:$K$37000,"67*")+SUMIFS('Accounting data'!$G$2:$G$37000,'Accounting data'!$I$2:$I$37000,"8*",'Accounting data'!$J$2:$J$37000,"33*",'Accounting data'!$K$2:$K$37000,"67*")+SUMIFS('Accounting data'!$G$2:$G$37000,'Accounting data'!$I$2:$I$37000,"9*",'Accounting data'!$J$2:$J$37000,"33*",'Accounting data'!$K$2:$K$37000,"67*")</f>
        <v>0</v>
      </c>
    </row>
    <row r="1328" spans="1:5" x14ac:dyDescent="0.25">
      <c r="A1328" s="523" t="s">
        <v>992</v>
      </c>
      <c r="B1328" s="521" t="s">
        <v>993</v>
      </c>
      <c r="C1328" s="521">
        <v>3300</v>
      </c>
      <c r="D1328" s="521">
        <v>6000</v>
      </c>
      <c r="E1328" s="522">
        <f>SUMIFS('Accounting data'!$G$2:$G$37000,'Accounting data'!$H$2:$H$37000,"9999*",'Accounting data'!$I$2:$I$37000,"7*",'Accounting data'!$J$2:$J$37000,"33*",'Accounting data'!$K$2:$K$37000,"6*")+SUMIFS('Accounting data'!$G$2:$G$37000,'Accounting data'!$H$2:$H$37000,"9999*",'Accounting data'!$I$2:$I$37000,"8*",'Accounting data'!$J$2:$J$37000,"33*",'Accounting data'!$K$2:$K$37000,"6*")+SUMIFS('Accounting data'!$G$2:$G$37000,'Accounting data'!$H$2:$H$37000,"9999*",'Accounting data'!$I$2:$I$37000,"9*",'Accounting data'!$J$2:$J$37000,"33*",'Accounting data'!$K$2:$K$37000,"6*")</f>
        <v>0</v>
      </c>
    </row>
    <row r="1330" spans="1:5" x14ac:dyDescent="0.25">
      <c r="A1330" s="523" t="s">
        <v>992</v>
      </c>
      <c r="B1330" s="521" t="s">
        <v>993</v>
      </c>
      <c r="C1330" s="521">
        <v>3300</v>
      </c>
      <c r="D1330" s="521">
        <v>6900</v>
      </c>
      <c r="E1330" s="522">
        <f>SUMIFS('Accounting data'!$G$2:$G$37000,'Accounting data'!$H$2:$H$37000,"9999*",'Accounting data'!$I$2:$I$37000,"7*",'Accounting data'!$J$2:$J$37000,"33*",'Accounting data'!$K$2:$K$37000,"69*")+SUMIFS('Accounting data'!$G$2:$G$37000,'Accounting data'!$H$2:$H$37000,"9999*",'Accounting data'!$I$2:$I$37000,"8*",'Accounting data'!$J$2:$J$37000,"33*",'Accounting data'!$K$2:$K$37000,"69*")+SUMIFS('Accounting data'!$G$2:$G$37000,'Accounting data'!$H$2:$H$37000,"9999*",'Accounting data'!$I$2:$I$37000,"9*",'Accounting data'!$J$2:$J$37000,"33*",'Accounting data'!$K$2:$K$37000,"69*")</f>
        <v>0</v>
      </c>
    </row>
    <row r="1331" spans="1:5" x14ac:dyDescent="0.25">
      <c r="A1331" s="521"/>
      <c r="B1331" s="521"/>
      <c r="C1331" s="521"/>
      <c r="D1331" s="521"/>
      <c r="E1331" s="522"/>
    </row>
    <row r="1332" spans="1:5" x14ac:dyDescent="0.25">
      <c r="A1332" s="523" t="s">
        <v>992</v>
      </c>
      <c r="B1332" s="521" t="s">
        <v>993</v>
      </c>
      <c r="C1332" s="521">
        <v>3300</v>
      </c>
      <c r="D1332" s="530">
        <v>6700</v>
      </c>
      <c r="E1332" s="522">
        <f>SUMIFS('Accounting data'!$G$2:$G$37000,'Accounting data'!$H$2:$H$37000,"9999*",'Accounting data'!$I$2:$I$37000,"7*",'Accounting data'!$J$2:$J$37000,"33*",'Accounting data'!$K$2:$K$37000,"67*")+SUMIFS('Accounting data'!$G$2:$G$37000,'Accounting data'!$H$2:$H$37000,"9999*",'Accounting data'!$I$2:$I$37000,"8*",'Accounting data'!$J$2:$J$37000,"33*",'Accounting data'!$K$2:$K$37000,"67*")+SUMIFS('Accounting data'!$G$2:$G$37000,'Accounting data'!$H$2:$H$37000,"9999*",'Accounting data'!$I$2:$I$37000,"9*",'Accounting data'!$J$2:$J$37000,"33*",'Accounting data'!$K$2:$K$37000,"67*")</f>
        <v>0</v>
      </c>
    </row>
    <row r="1333" spans="1:5" x14ac:dyDescent="0.25">
      <c r="A1333" s="523"/>
      <c r="B1333" s="521"/>
      <c r="C1333" s="521"/>
      <c r="D1333" s="530"/>
      <c r="E1333" s="522"/>
    </row>
    <row r="1334" spans="1:5" x14ac:dyDescent="0.25">
      <c r="A1334" s="523"/>
      <c r="B1334" s="521"/>
      <c r="C1334" s="521"/>
      <c r="D1334" s="530"/>
      <c r="E1334" s="522"/>
    </row>
    <row r="1335" spans="1:5" x14ac:dyDescent="0.25">
      <c r="A1335" s="524" t="s">
        <v>1097</v>
      </c>
      <c r="B1335" s="524"/>
      <c r="C1335" s="524"/>
      <c r="D1335" s="524"/>
      <c r="E1335" s="526">
        <f>(E1325-E1326-E1327)-((E1328+E1329)-(E1330+E1331))-(E1332+E1333+E1334)</f>
        <v>0</v>
      </c>
    </row>
    <row r="1336" spans="1:5" x14ac:dyDescent="0.25">
      <c r="A1336" s="521" t="s">
        <v>991</v>
      </c>
      <c r="B1336" s="521" t="s">
        <v>993</v>
      </c>
      <c r="C1336" s="521">
        <v>3400</v>
      </c>
      <c r="D1336" s="521">
        <v>6000</v>
      </c>
      <c r="E1336" s="522">
        <f>SUMIFS('Accounting data'!$G$2:$G$37000,'Accounting data'!$I$2:$I$37000,"7*",'Accounting data'!$J$2:$J$37000,"34*",'Accounting data'!$K$2:$K$37000,"6*")+SUMIFS('Accounting data'!$G$2:$G$37000,'Accounting data'!$I$2:$I$37000,"8*",'Accounting data'!$J$2:$J$37000,"34*",'Accounting data'!$K$2:$K$37000,"6*")+SUMIFS('Accounting data'!$G$2:$G$37000,'Accounting data'!$I$2:$I$37000,"9*",'Accounting data'!$J$2:$J$37000,"34*",'Accounting data'!$K$2:$K$37000,"6*")</f>
        <v>0</v>
      </c>
    </row>
    <row r="1337" spans="1:5" x14ac:dyDescent="0.25">
      <c r="A1337" s="521" t="s">
        <v>991</v>
      </c>
      <c r="B1337" s="521" t="s">
        <v>993</v>
      </c>
      <c r="C1337" s="521">
        <v>3400</v>
      </c>
      <c r="D1337" s="521">
        <v>6900</v>
      </c>
      <c r="E1337" s="522">
        <f>SUMIFS('Accounting data'!$G$2:$G$37000,'Accounting data'!$I$2:$I$37000,"7*",'Accounting data'!$J$2:$J$37000,"34*",'Accounting data'!$K$2:$K$37000,"69*")+SUMIFS('Accounting data'!$G$2:$G$37000,'Accounting data'!$I$2:$I$37000,"8*",'Accounting data'!$J$2:$J$37000,"34*",'Accounting data'!$K$2:$K$37000,"69*")+SUMIFS('Accounting data'!$G$2:$G$37000,'Accounting data'!$I$2:$I$37000,"9*",'Accounting data'!$J$2:$J$37000,"34*",'Accounting data'!$K$2:$K$37000,"69*")</f>
        <v>0</v>
      </c>
    </row>
    <row r="1338" spans="1:5" x14ac:dyDescent="0.25">
      <c r="A1338" s="521" t="s">
        <v>991</v>
      </c>
      <c r="B1338" s="521" t="s">
        <v>993</v>
      </c>
      <c r="C1338" s="521">
        <v>3400</v>
      </c>
      <c r="D1338" s="530">
        <v>6700</v>
      </c>
      <c r="E1338" s="522">
        <f>SUMIFS('Accounting data'!$G$2:$G$37000,'Accounting data'!$I$2:$I$37000,"7*",'Accounting data'!$J$2:$J$37000,"34*",'Accounting data'!$K$2:$K$37000,"67*")+SUMIFS('Accounting data'!$G$2:$G$37000,'Accounting data'!$I$2:$I$37000,"8*",'Accounting data'!$J$2:$J$37000,"34*",'Accounting data'!$K$2:$K$37000,"67*")+SUMIFS('Accounting data'!$G$2:$G$37000,'Accounting data'!$I$2:$I$37000,"9*",'Accounting data'!$J$2:$J$37000,"34*",'Accounting data'!$K$2:$K$37000,"67*")</f>
        <v>0</v>
      </c>
    </row>
    <row r="1339" spans="1:5" x14ac:dyDescent="0.25">
      <c r="A1339" s="523" t="s">
        <v>992</v>
      </c>
      <c r="B1339" s="521" t="s">
        <v>993</v>
      </c>
      <c r="C1339" s="521">
        <v>3400</v>
      </c>
      <c r="D1339" s="521">
        <v>6000</v>
      </c>
      <c r="E1339" s="522">
        <f>SUMIFS('Accounting data'!$G$2:$G$37000,'Accounting data'!$H$2:$H$37000,"9999*",'Accounting data'!$I$2:$I$37000,"7*",'Accounting data'!$J$2:$J$37000,"34*",'Accounting data'!$K$2:$K$37000,"6*")+SUMIFS('Accounting data'!$G$2:$G$37000,'Accounting data'!$H$2:$H$37000,"9999*",'Accounting data'!$I$2:$I$37000,"8*",'Accounting data'!$J$2:$J$37000,"34*",'Accounting data'!$K$2:$K$37000,"6*")+SUMIFS('Accounting data'!$G$2:$G$37000,'Accounting data'!$H$2:$H$37000,"9999*",'Accounting data'!$I$2:$I$37000,"9*",'Accounting data'!$J$2:$J$37000,"34*",'Accounting data'!$K$2:$K$37000,"6*")</f>
        <v>0</v>
      </c>
    </row>
    <row r="1340" spans="1:5" x14ac:dyDescent="0.25">
      <c r="A1340" s="521"/>
      <c r="B1340" s="521"/>
      <c r="C1340" s="521"/>
      <c r="D1340" s="521"/>
      <c r="E1340" s="522"/>
    </row>
    <row r="1341" spans="1:5" x14ac:dyDescent="0.25">
      <c r="A1341" s="523" t="s">
        <v>992</v>
      </c>
      <c r="B1341" s="521" t="s">
        <v>993</v>
      </c>
      <c r="C1341" s="521">
        <v>3400</v>
      </c>
      <c r="D1341" s="521">
        <v>6900</v>
      </c>
      <c r="E1341" s="522">
        <f>SUMIFS('Accounting data'!$G$2:$G$37000,'Accounting data'!$H$2:$H$37000,"9999*",'Accounting data'!$I$2:$I$37000,"7*",'Accounting data'!$J$2:$J$37000,"34*",'Accounting data'!$K$2:$K$37000,"69*")+SUMIFS('Accounting data'!$G$2:$G$37000,'Accounting data'!$H$2:$H$37000,"9999*",'Accounting data'!$I$2:$I$37000,"8*",'Accounting data'!$J$2:$J$37000,"34*",'Accounting data'!$K$2:$K$37000,"69*")+SUMIFS('Accounting data'!$G$2:$G$37000,'Accounting data'!$H$2:$H$37000,"9999*",'Accounting data'!$I$2:$I$37000,"9*",'Accounting data'!$J$2:$J$37000,"34*",'Accounting data'!$K$2:$K$37000,"69*")</f>
        <v>0</v>
      </c>
    </row>
    <row r="1342" spans="1:5" x14ac:dyDescent="0.25">
      <c r="A1342" s="521"/>
      <c r="B1342" s="521"/>
      <c r="C1342" s="521"/>
      <c r="D1342" s="521"/>
      <c r="E1342" s="522"/>
    </row>
    <row r="1343" spans="1:5" x14ac:dyDescent="0.25">
      <c r="A1343" s="523" t="s">
        <v>992</v>
      </c>
      <c r="B1343" s="521" t="s">
        <v>993</v>
      </c>
      <c r="C1343" s="521">
        <v>3400</v>
      </c>
      <c r="D1343" s="530">
        <v>6700</v>
      </c>
      <c r="E1343" s="522">
        <f>SUMIFS('Accounting data'!$G$2:$G$37000,'Accounting data'!$H$2:$H$37000,"9999*",'Accounting data'!$I$2:$I$37000,"7*",'Accounting data'!$J$2:$J$37000,"34*",'Accounting data'!$K$2:$K$37000,"67*")+SUMIFS('Accounting data'!$G$2:$G$37000,'Accounting data'!$H$2:$H$37000,"9999*",'Accounting data'!$I$2:$I$37000,"8*",'Accounting data'!$J$2:$J$37000,"34*",'Accounting data'!$K$2:$K$37000,"67*")+SUMIFS('Accounting data'!$G$2:$G$37000,'Accounting data'!$H$2:$H$37000,"9999*",'Accounting data'!$I$2:$I$37000,"9*",'Accounting data'!$J$2:$J$37000,"34*",'Accounting data'!$K$2:$K$37000,"67*")</f>
        <v>0</v>
      </c>
    </row>
    <row r="1346" spans="1:5" x14ac:dyDescent="0.25">
      <c r="A1346" s="524" t="s">
        <v>1098</v>
      </c>
      <c r="B1346" s="524"/>
      <c r="C1346" s="524"/>
      <c r="D1346" s="524"/>
      <c r="E1346" s="526">
        <f>(E1336-E1337-E1338)-((E1339+E1340)-(E1341+E1342))-(E1343+E1344+E1345)</f>
        <v>0</v>
      </c>
    </row>
    <row r="1347" spans="1:5" x14ac:dyDescent="0.25">
      <c r="A1347" s="521" t="s">
        <v>991</v>
      </c>
      <c r="B1347" s="521" t="s">
        <v>993</v>
      </c>
      <c r="C1347" s="521">
        <v>4000</v>
      </c>
      <c r="D1347" s="521">
        <v>6000</v>
      </c>
      <c r="E1347" s="522">
        <f>SUMIFS('Accounting data'!$G$2:$G$37000,'Accounting data'!$I$2:$I$37000,"7*",'Accounting data'!$J$2:$J$37000,"4*",'Accounting data'!$K$2:$K$37000,"6*")+SUMIFS('Accounting data'!$G$2:$G$37000,'Accounting data'!$I$2:$I$37000,"8*",'Accounting data'!$J$2:$J$37000,"4*",'Accounting data'!$K$2:$K$37000,"6*")+SUMIFS('Accounting data'!$G$2:$G$37000,'Accounting data'!$I$2:$I$37000,"9*",'Accounting data'!$J$2:$J$37000,"4*",'Accounting data'!$K$2:$K$37000,"6*")</f>
        <v>0</v>
      </c>
    </row>
    <row r="1348" spans="1:5" x14ac:dyDescent="0.25">
      <c r="A1348" s="521" t="s">
        <v>991</v>
      </c>
      <c r="B1348" s="521" t="s">
        <v>993</v>
      </c>
      <c r="C1348" s="521">
        <v>4000</v>
      </c>
      <c r="D1348" s="521">
        <v>6900</v>
      </c>
      <c r="E1348" s="522">
        <f>SUMIFS('Accounting data'!$G$2:$G$37000,'Accounting data'!$I$2:$I$37000,"7*",'Accounting data'!$J$2:$J$37000,"4*",'Accounting data'!$K$2:$K$37000,"69*")+SUMIFS('Accounting data'!$G$2:$G$37000,'Accounting data'!$I$2:$I$37000,"8*",'Accounting data'!$J$2:$J$37000,"4*",'Accounting data'!$K$2:$K$37000,"69*")+SUMIFS('Accounting data'!$G$2:$G$37000,'Accounting data'!$I$2:$I$37000,"9*",'Accounting data'!$J$2:$J$37000,"4*",'Accounting data'!$K$2:$K$37000,"69*")</f>
        <v>0</v>
      </c>
    </row>
    <row r="1349" spans="1:5" x14ac:dyDescent="0.25">
      <c r="A1349" s="521" t="s">
        <v>991</v>
      </c>
      <c r="B1349" s="521" t="s">
        <v>993</v>
      </c>
      <c r="C1349" s="521">
        <v>4000</v>
      </c>
      <c r="D1349" s="530">
        <v>6700</v>
      </c>
      <c r="E1349" s="522">
        <f>SUMIFS('Accounting data'!$G$2:$G$37000,'Accounting data'!$I$2:$I$37000,"7*",'Accounting data'!$J$2:$J$37000,"4*",'Accounting data'!$K$2:$K$37000,"67*")+SUMIFS('Accounting data'!$G$2:$G$37000,'Accounting data'!$I$2:$I$37000,"8*",'Accounting data'!$J$2:$J$37000,"4*",'Accounting data'!$K$2:$K$37000,"67*")+SUMIFS('Accounting data'!$G$2:$G$37000,'Accounting data'!$I$2:$I$37000,"9*",'Accounting data'!$J$2:$J$37000,"4*",'Accounting data'!$K$2:$K$37000,"67*")</f>
        <v>0</v>
      </c>
    </row>
    <row r="1350" spans="1:5" x14ac:dyDescent="0.25">
      <c r="A1350" s="523" t="s">
        <v>992</v>
      </c>
      <c r="B1350" s="521" t="s">
        <v>993</v>
      </c>
      <c r="C1350" s="521">
        <v>4000</v>
      </c>
      <c r="D1350" s="521">
        <v>6000</v>
      </c>
      <c r="E1350" s="522">
        <f>SUMIFS('Accounting data'!$G$2:$G$37000,'Accounting data'!$H$2:$H$37000,"9999*",'Accounting data'!$I$2:$I$37000,"7*",'Accounting data'!$J$2:$J$37000,"4*",'Accounting data'!$K$2:$K$37000,"6*")+SUMIFS('Accounting data'!$G$2:$G$37000,'Accounting data'!$H$2:$H$37000,"9999*",'Accounting data'!$I$2:$I$37000,"8*",'Accounting data'!$J$2:$J$37000,"4*",'Accounting data'!$K$2:$K$37000,"6*")+SUMIFS('Accounting data'!$G$2:$G$37000,'Accounting data'!$H$2:$H$37000,"9999*",'Accounting data'!$I$2:$I$37000,"9*",'Accounting data'!$J$2:$J$37000,"4*",'Accounting data'!$K$2:$K$37000,"6*")</f>
        <v>0</v>
      </c>
    </row>
    <row r="1351" spans="1:5" x14ac:dyDescent="0.25">
      <c r="A1351" s="521"/>
      <c r="B1351" s="521"/>
      <c r="C1351" s="521"/>
      <c r="D1351" s="521"/>
      <c r="E1351" s="522"/>
    </row>
    <row r="1352" spans="1:5" x14ac:dyDescent="0.25">
      <c r="A1352" s="523" t="s">
        <v>992</v>
      </c>
      <c r="B1352" s="521" t="s">
        <v>993</v>
      </c>
      <c r="C1352" s="521">
        <v>4000</v>
      </c>
      <c r="D1352" s="521">
        <v>6900</v>
      </c>
      <c r="E1352" s="522">
        <f>SUMIFS('Accounting data'!$G$2:$G$37000,'Accounting data'!$H$2:$H$37000,"9999*",'Accounting data'!$I$2:$I$37000,"7*",'Accounting data'!$J$2:$J$37000,"4*",'Accounting data'!$K$2:$K$37000,"69*")+SUMIFS('Accounting data'!$G$2:$G$37000,'Accounting data'!$H$2:$H$37000,"9999*",'Accounting data'!$I$2:$I$37000,"8*",'Accounting data'!$J$2:$J$37000,"4*",'Accounting data'!$K$2:$K$37000,"69*")+SUMIFS('Accounting data'!$G$2:$G$37000,'Accounting data'!$H$2:$H$37000,"9999*",'Accounting data'!$I$2:$I$37000,"9*",'Accounting data'!$J$2:$J$37000,"4*",'Accounting data'!$K$2:$K$37000,"69*")</f>
        <v>0</v>
      </c>
    </row>
    <row r="1353" spans="1:5" x14ac:dyDescent="0.25">
      <c r="A1353" s="521"/>
      <c r="B1353" s="521"/>
      <c r="C1353" s="521"/>
      <c r="D1353" s="521"/>
      <c r="E1353" s="522"/>
    </row>
    <row r="1354" spans="1:5" x14ac:dyDescent="0.25">
      <c r="A1354" s="523" t="s">
        <v>992</v>
      </c>
      <c r="B1354" s="521" t="s">
        <v>993</v>
      </c>
      <c r="C1354" s="521">
        <v>4000</v>
      </c>
      <c r="D1354" s="530">
        <v>6700</v>
      </c>
      <c r="E1354" s="522">
        <f>SUMIFS('Accounting data'!$G$2:$G$37000,'Accounting data'!$H$2:$H$37000,"9999*",'Accounting data'!$I$2:$I$37000,"7*",'Accounting data'!$J$2:$J$37000,"4*",'Accounting data'!$K$2:$K$37000,"67*")+SUMIFS('Accounting data'!$G$2:$G$37000,'Accounting data'!$H$2:$H$37000,"9999*",'Accounting data'!$I$2:$I$37000,"8*",'Accounting data'!$J$2:$J$37000,"4*",'Accounting data'!$K$2:$K$37000,"67*")+SUMIFS('Accounting data'!$G$2:$G$37000,'Accounting data'!$H$2:$H$37000,"9999*",'Accounting data'!$I$2:$I$37000,"9*",'Accounting data'!$J$2:$J$37000,"4*",'Accounting data'!$K$2:$K$37000,"67*")</f>
        <v>0</v>
      </c>
    </row>
    <row r="1355" spans="1:5" x14ac:dyDescent="0.25">
      <c r="A1355" s="523"/>
      <c r="B1355" s="521"/>
      <c r="C1355" s="521"/>
      <c r="D1355" s="530"/>
      <c r="E1355" s="522"/>
    </row>
    <row r="1356" spans="1:5" x14ac:dyDescent="0.25">
      <c r="A1356" s="523"/>
      <c r="B1356" s="521"/>
      <c r="C1356" s="521"/>
      <c r="D1356" s="530"/>
      <c r="E1356" s="522"/>
    </row>
    <row r="1357" spans="1:5" x14ac:dyDescent="0.25">
      <c r="A1357" s="524" t="s">
        <v>1099</v>
      </c>
      <c r="B1357" s="524"/>
      <c r="C1357" s="524"/>
      <c r="D1357" s="524"/>
      <c r="E1357" s="526">
        <f>(E1347-E1348-E1349)-((E1350+E1351)-(E1352+E1353))-(E1354+E1355+E1356)</f>
        <v>0</v>
      </c>
    </row>
    <row r="1358" spans="1:5" x14ac:dyDescent="0.25">
      <c r="A1358" s="521" t="s">
        <v>991</v>
      </c>
      <c r="B1358" s="521" t="s">
        <v>993</v>
      </c>
      <c r="C1358" s="521">
        <v>5000</v>
      </c>
      <c r="D1358" s="521">
        <v>6000</v>
      </c>
      <c r="E1358" s="522">
        <f>SUMIFS('Accounting data'!$G$2:$G$37000,'Accounting data'!$I$2:$I$37000,"7*",'Accounting data'!$J$2:$J$37000,"5*",'Accounting data'!$K$2:$K$37000,"6*")+SUMIFS('Accounting data'!$G$2:$G$37000,'Accounting data'!$I$2:$I$37000,"8*",'Accounting data'!$J$2:$J$37000,"5*",'Accounting data'!$K$2:$K$37000,"6*")+SUMIFS('Accounting data'!$G$2:$G$37000,'Accounting data'!$I$2:$I$37000,"9*",'Accounting data'!$J$2:$J$37000,"5*",'Accounting data'!$K$2:$K$37000,"6*")</f>
        <v>0</v>
      </c>
    </row>
    <row r="1359" spans="1:5" x14ac:dyDescent="0.25">
      <c r="A1359" s="521" t="s">
        <v>991</v>
      </c>
      <c r="B1359" s="521" t="s">
        <v>993</v>
      </c>
      <c r="C1359" s="521">
        <v>5000</v>
      </c>
      <c r="D1359" s="521">
        <v>6900</v>
      </c>
      <c r="E1359" s="522">
        <f>SUMIFS('Accounting data'!$G$2:$G$37000,'Accounting data'!$I$2:$I$37000,"7*",'Accounting data'!$J$2:$J$37000,"5*",'Accounting data'!$K$2:$K$37000,"69*")+SUMIFS('Accounting data'!$G$2:$G$37000,'Accounting data'!$I$2:$I$37000,"8*",'Accounting data'!$J$2:$J$37000,"5*",'Accounting data'!$K$2:$K$37000,"69*")+SUMIFS('Accounting data'!$G$2:$G$37000,'Accounting data'!$I$2:$I$37000,"9*",'Accounting data'!$J$2:$J$37000,"5*",'Accounting data'!$K$2:$K$37000,"69*")</f>
        <v>0</v>
      </c>
    </row>
    <row r="1360" spans="1:5" x14ac:dyDescent="0.25">
      <c r="A1360" s="521" t="s">
        <v>991</v>
      </c>
      <c r="B1360" s="521" t="s">
        <v>993</v>
      </c>
      <c r="C1360" s="521">
        <v>5000</v>
      </c>
      <c r="D1360" s="530">
        <v>6700</v>
      </c>
      <c r="E1360" s="522">
        <f>SUMIFS('Accounting data'!$G$2:$G$37000,'Accounting data'!$I$2:$I$37000,"7*",'Accounting data'!$J$2:$J$37000,"5*",'Accounting data'!$K$2:$K$37000,"67*")+SUMIFS('Accounting data'!$G$2:$G$37000,'Accounting data'!$I$2:$I$37000,"8*",'Accounting data'!$J$2:$J$37000,"5*",'Accounting data'!$K$2:$K$37000,"67*")+SUMIFS('Accounting data'!$G$2:$G$37000,'Accounting data'!$I$2:$I$37000,"9*",'Accounting data'!$J$2:$J$37000,"5*",'Accounting data'!$K$2:$K$37000,"67*")</f>
        <v>0</v>
      </c>
    </row>
    <row r="1361" spans="1:5" x14ac:dyDescent="0.25">
      <c r="A1361" s="523" t="s">
        <v>992</v>
      </c>
      <c r="B1361" s="521" t="s">
        <v>993</v>
      </c>
      <c r="C1361" s="521">
        <v>5000</v>
      </c>
      <c r="D1361" s="521">
        <v>6000</v>
      </c>
      <c r="E1361" s="522">
        <f>SUMIFS('Accounting data'!$G$2:$G$37000,'Accounting data'!$H$2:$H$37000,"9999*",'Accounting data'!$I$2:$I$37000,"7*",'Accounting data'!$J$2:$J$37000,"5*",'Accounting data'!$K$2:$K$37000,"6*")+SUMIFS('Accounting data'!$G$2:$G$37000,'Accounting data'!$H$2:$H$37000,"9999*",'Accounting data'!$I$2:$I$37000,"8*",'Accounting data'!$J$2:$J$37000,"5*",'Accounting data'!$K$2:$K$37000,"6*")+SUMIFS('Accounting data'!$G$2:$G$37000,'Accounting data'!$H$2:$H$37000,"9999*",'Accounting data'!$I$2:$I$37000,"9*",'Accounting data'!$J$2:$J$37000,"5*",'Accounting data'!$K$2:$K$37000,"6*")</f>
        <v>0</v>
      </c>
    </row>
    <row r="1362" spans="1:5" x14ac:dyDescent="0.25">
      <c r="A1362" s="521"/>
      <c r="B1362" s="521"/>
      <c r="C1362" s="521"/>
      <c r="D1362" s="521"/>
      <c r="E1362" s="522"/>
    </row>
    <row r="1363" spans="1:5" x14ac:dyDescent="0.25">
      <c r="A1363" s="523" t="s">
        <v>992</v>
      </c>
      <c r="B1363" s="521" t="s">
        <v>993</v>
      </c>
      <c r="C1363" s="521">
        <v>5000</v>
      </c>
      <c r="D1363" s="521">
        <v>6900</v>
      </c>
      <c r="E1363" s="522">
        <f>SUMIFS('Accounting data'!$G$2:$G$37000,'Accounting data'!$H$2:$H$37000,"9999*",'Accounting data'!$I$2:$I$37000,"7*",'Accounting data'!$J$2:$J$37000,"5*",'Accounting data'!$K$2:$K$37000,"69*")+SUMIFS('Accounting data'!$G$2:$G$37000,'Accounting data'!$H$2:$H$37000,"9999*",'Accounting data'!$I$2:$I$37000,"8*",'Accounting data'!$J$2:$J$37000,"5*",'Accounting data'!$K$2:$K$37000,"69*")+SUMIFS('Accounting data'!$G$2:$G$37000,'Accounting data'!$H$2:$H$37000,"9999*",'Accounting data'!$I$2:$I$37000,"9*",'Accounting data'!$J$2:$J$37000,"5*",'Accounting data'!$K$2:$K$37000,"69*")</f>
        <v>0</v>
      </c>
    </row>
    <row r="1364" spans="1:5" x14ac:dyDescent="0.25">
      <c r="A1364" s="521"/>
      <c r="B1364" s="521"/>
      <c r="C1364" s="521"/>
      <c r="D1364" s="521"/>
      <c r="E1364" s="522"/>
    </row>
    <row r="1365" spans="1:5" x14ac:dyDescent="0.25">
      <c r="A1365" s="523" t="s">
        <v>992</v>
      </c>
      <c r="B1365" s="521" t="s">
        <v>993</v>
      </c>
      <c r="C1365" s="521">
        <v>5000</v>
      </c>
      <c r="D1365" s="530">
        <v>6700</v>
      </c>
      <c r="E1365" s="522">
        <f>SUMIFS('Accounting data'!$G$2:$G$37000,'Accounting data'!$H$2:$H$37000,"9999*",'Accounting data'!$I$2:$I$37000,"7*",'Accounting data'!$J$2:$J$37000,"5*",'Accounting data'!$K$2:$K$37000,"67*")+SUMIFS('Accounting data'!$G$2:$G$37000,'Accounting data'!$H$2:$H$37000,"9999*",'Accounting data'!$I$2:$I$37000,"8*",'Accounting data'!$J$2:$J$37000,"5*",'Accounting data'!$K$2:$K$37000,"67*")+SUMIFS('Accounting data'!$G$2:$G$37000,'Accounting data'!$H$2:$H$37000,"9999*",'Accounting data'!$I$2:$I$37000,"9*",'Accounting data'!$J$2:$J$37000,"5*",'Accounting data'!$K$2:$K$37000,"67*")</f>
        <v>0</v>
      </c>
    </row>
    <row r="1366" spans="1:5" x14ac:dyDescent="0.25">
      <c r="A1366" s="523"/>
      <c r="B1366" s="521"/>
      <c r="C1366" s="521"/>
      <c r="D1366" s="530"/>
      <c r="E1366" s="522"/>
    </row>
    <row r="1367" spans="1:5" x14ac:dyDescent="0.25">
      <c r="A1367" s="523"/>
      <c r="B1367" s="521"/>
      <c r="C1367" s="521"/>
      <c r="D1367" s="530"/>
      <c r="E1367" s="522"/>
    </row>
    <row r="1368" spans="1:5" x14ac:dyDescent="0.25">
      <c r="A1368" s="524" t="s">
        <v>1100</v>
      </c>
      <c r="B1368" s="524"/>
      <c r="C1368" s="524"/>
      <c r="D1368" s="524"/>
      <c r="E1368" s="526">
        <f>(E1358-E1359-E1360)-((E1361+E1362)-(E1363+E1364))-(E1365+E1366+E1367)</f>
        <v>0</v>
      </c>
    </row>
    <row r="1369" spans="1:5" x14ac:dyDescent="0.25">
      <c r="A1369" s="527" t="s">
        <v>1101</v>
      </c>
      <c r="B1369" s="527"/>
      <c r="C1369" s="527"/>
      <c r="D1369" s="527"/>
      <c r="E1369" s="531">
        <f>E1225+E1236+E1247+E1258+E1269+E1280+E1291+E1302+E1313+E1324+E1335+E1346</f>
        <v>0</v>
      </c>
    </row>
    <row r="1370" spans="1:5" x14ac:dyDescent="0.25">
      <c r="A1370" s="523" t="s">
        <v>1007</v>
      </c>
      <c r="B1370" s="523">
        <v>700</v>
      </c>
      <c r="C1370" s="530">
        <v>1000</v>
      </c>
      <c r="D1370" s="521">
        <v>6000</v>
      </c>
      <c r="E1370" s="522">
        <f>SUMIFS('Accounting data'!$G$2:$G$37000,'Accounting data'!$H$2:$H$37000,"11*",'Accounting data'!$I$2:$I$37000,"7*",'Accounting data'!$J$2:$J$37000,"1*",'Accounting data'!$K$2:$K$37000,"6*")+SUMIFS('Accounting data'!$G$2:$G$37000,'Accounting data'!$H$2:$H$37000,"12*",'Accounting data'!$I$2:$I$37000,"7*",'Accounting data'!$J$2:$J$37000,"1*",'Accounting data'!$K$2:$K$37000,"6*")+SUMIFS('Accounting data'!$G$2:$G$37000,'Accounting data'!$H$2:$H$37000,"13*",'Accounting data'!$I$2:$I$37000,"7*",'Accounting data'!$J$2:$J$37000,"1*",'Accounting data'!$K$2:$K$37000,"6*")</f>
        <v>0</v>
      </c>
    </row>
    <row r="1371" spans="1:5" x14ac:dyDescent="0.25">
      <c r="A1371" s="523" t="s">
        <v>1007</v>
      </c>
      <c r="B1371" s="523">
        <v>800</v>
      </c>
      <c r="C1371" s="530">
        <v>1000</v>
      </c>
      <c r="D1371" s="521">
        <v>6000</v>
      </c>
      <c r="E1371" s="522">
        <f>SUMIFS('Accounting data'!$G$2:$G$37000,'Accounting data'!$H$2:$H$37000,"11*",'Accounting data'!$I$2:$I$37000,"8*",'Accounting data'!$J$2:$J$37000,"1*",'Accounting data'!$K$2:$K$37000,"6*")+SUMIFS('Accounting data'!$G$2:$G$37000,'Accounting data'!$H$2:$H$37000,"12*",'Accounting data'!$I$2:$I$37000,"8*",'Accounting data'!$J$2:$J$37000,"1*",'Accounting data'!$K$2:$K$37000,"6*")+SUMIFS('Accounting data'!$G$2:$G$37000,'Accounting data'!$H$2:$H$37000,"13*",'Accounting data'!$I$2:$I$37000,"8*",'Accounting data'!$J$2:$J$37000,"1*",'Accounting data'!$K$2:$K$37000,"6*")</f>
        <v>0</v>
      </c>
    </row>
    <row r="1372" spans="1:5" x14ac:dyDescent="0.25">
      <c r="A1372" s="523" t="s">
        <v>1007</v>
      </c>
      <c r="B1372" s="523">
        <v>900</v>
      </c>
      <c r="C1372" s="530">
        <v>1000</v>
      </c>
      <c r="D1372" s="521">
        <v>6000</v>
      </c>
      <c r="E1372" s="522">
        <f>SUMIFS('Accounting data'!$G$2:$G$37000,'Accounting data'!$H$2:$H$37000,"11*",'Accounting data'!$I$2:$I$37000,"9*",'Accounting data'!$J$2:$J$37000,"1*",'Accounting data'!$K$2:$K$37000,"6*")+SUMIFS('Accounting data'!$G$2:$G$37000,'Accounting data'!$H$2:$H$37000,"12*",'Accounting data'!$I$2:$I$37000,"9*",'Accounting data'!$J$2:$J$37000,"1*",'Accounting data'!$K$2:$K$37000,"6*")+SUMIFS('Accounting data'!$G$2:$G$37000,'Accounting data'!$H$2:$H$37000,"13*",'Accounting data'!$I$2:$I$37000,"9*",'Accounting data'!$J$2:$J$37000,"1*",'Accounting data'!$K$2:$K$37000,"6*")</f>
        <v>0</v>
      </c>
    </row>
    <row r="1373" spans="1:5" x14ac:dyDescent="0.25">
      <c r="A1373" s="523" t="s">
        <v>1007</v>
      </c>
      <c r="B1373" s="523">
        <v>700</v>
      </c>
      <c r="C1373" s="530">
        <v>2000</v>
      </c>
      <c r="D1373" s="521">
        <v>6000</v>
      </c>
      <c r="E1373" s="522">
        <f>SUMIFS('Accounting data'!$G$2:$G$37000,'Accounting data'!$H$2:$H$37000,"11*",'Accounting data'!$I$2:$I$37000,"7*",'Accounting data'!$J$2:$J$37000,"2*",'Accounting data'!$K$2:$K$37000,"6*")+SUMIFS('Accounting data'!$G$2:$G$37000,'Accounting data'!$H$2:$H$37000,"12*",'Accounting data'!$I$2:$I$37000,"7*",'Accounting data'!$J$2:$J$37000,"2*",'Accounting data'!$K$2:$K$37000,"6*")+SUMIFS('Accounting data'!$G$2:$G$37000,'Accounting data'!$H$2:$H$37000,"13*",'Accounting data'!$I$2:$I$37000,"7*",'Accounting data'!$J$2:$J$37000,"2*",'Accounting data'!$K$2:$K$37000,"6*")</f>
        <v>0</v>
      </c>
    </row>
    <row r="1374" spans="1:5" x14ac:dyDescent="0.25">
      <c r="A1374" s="523" t="s">
        <v>1007</v>
      </c>
      <c r="B1374" s="523">
        <v>800</v>
      </c>
      <c r="C1374" s="530">
        <v>2000</v>
      </c>
      <c r="D1374" s="521">
        <v>6000</v>
      </c>
      <c r="E1374" s="522">
        <f>SUMIFS('Accounting data'!$G$2:$G$37000,'Accounting data'!$H$2:$H$37000,"11*",'Accounting data'!$I$2:$I$37000,"8*",'Accounting data'!$J$2:$J$37000,"2*",'Accounting data'!$K$2:$K$37000,"6*")+SUMIFS('Accounting data'!$G$2:$G$37000,'Accounting data'!$H$2:$H$37000,"12*",'Accounting data'!$I$2:$I$37000,"8*",'Accounting data'!$J$2:$J$37000,"2*",'Accounting data'!$K$2:$K$37000,"6*")+SUMIFS('Accounting data'!$G$2:$G$37000,'Accounting data'!$H$2:$H$37000,"13*",'Accounting data'!$I$2:$I$37000,"8*",'Accounting data'!$J$2:$J$37000,"2*",'Accounting data'!$K$2:$K$37000,"6*")</f>
        <v>0</v>
      </c>
    </row>
    <row r="1375" spans="1:5" x14ac:dyDescent="0.25">
      <c r="A1375" s="523" t="s">
        <v>1007</v>
      </c>
      <c r="B1375" s="523">
        <v>900</v>
      </c>
      <c r="C1375" s="530">
        <v>2000</v>
      </c>
      <c r="D1375" s="521">
        <v>6000</v>
      </c>
      <c r="E1375" s="522">
        <f>SUMIFS('Accounting data'!$G$2:$G$37000,'Accounting data'!$H$2:$H$37000,"11*",'Accounting data'!$I$2:$I$37000,"9*",'Accounting data'!$J$2:$J$37000,"2*",'Accounting data'!$K$2:$K$37000,"6*")+SUMIFS('Accounting data'!$G$2:$G$37000,'Accounting data'!$H$2:$H$37000,"12*",'Accounting data'!$I$2:$I$37000,"9*",'Accounting data'!$J$2:$J$37000,"2*",'Accounting data'!$K$2:$K$37000,"6*")+SUMIFS('Accounting data'!$G$2:$G$37000,'Accounting data'!$H$2:$H$37000,"13*",'Accounting data'!$I$2:$I$37000,"9*",'Accounting data'!$J$2:$J$37000,"2*",'Accounting data'!$K$2:$K$37000,"6*")</f>
        <v>0</v>
      </c>
    </row>
    <row r="1376" spans="1:5" x14ac:dyDescent="0.25">
      <c r="A1376" s="523" t="s">
        <v>1007</v>
      </c>
      <c r="B1376" s="523">
        <v>700</v>
      </c>
      <c r="C1376" s="530">
        <v>3000</v>
      </c>
      <c r="D1376" s="521">
        <v>6000</v>
      </c>
      <c r="E1376" s="522">
        <f>SUMIFS('Accounting data'!$G$2:$G$37000,'Accounting data'!$H$2:$H$37000,"11*",'Accounting data'!$I$2:$I$37000,"7*",'Accounting data'!$J$2:$J$37000,"3*",'Accounting data'!$K$2:$K$37000,"6*")+SUMIFS('Accounting data'!$G$2:$G$37000,'Accounting data'!$H$2:$H$37000,"12*",'Accounting data'!$I$2:$I$37000,"7*",'Accounting data'!$J$2:$J$37000,"3*",'Accounting data'!$K$2:$K$37000,"6*")+SUMIFS('Accounting data'!$G$2:$G$37000,'Accounting data'!$H$2:$H$37000,"13*",'Accounting data'!$I$2:$I$37000,"7*",'Accounting data'!$J$2:$J$37000,"3*",'Accounting data'!$K$2:$K$37000,"6*")</f>
        <v>0</v>
      </c>
    </row>
    <row r="1377" spans="1:5" x14ac:dyDescent="0.25">
      <c r="A1377" s="523" t="s">
        <v>1007</v>
      </c>
      <c r="B1377" s="523">
        <v>800</v>
      </c>
      <c r="C1377" s="530">
        <v>3000</v>
      </c>
      <c r="D1377" s="521">
        <v>6000</v>
      </c>
      <c r="E1377" s="522">
        <f>SUMIFS('Accounting data'!$G$2:$G$37000,'Accounting data'!$H$2:$H$37000,"11*",'Accounting data'!$I$2:$I$37000,"8*",'Accounting data'!$J$2:$J$37000,"3*",'Accounting data'!$K$2:$K$37000,"6*")+SUMIFS('Accounting data'!$G$2:$G$37000,'Accounting data'!$H$2:$H$37000,"12*",'Accounting data'!$I$2:$I$37000,"8*",'Accounting data'!$J$2:$J$37000,"3*",'Accounting data'!$K$2:$K$37000,"6*")+SUMIFS('Accounting data'!$G$2:$G$37000,'Accounting data'!$H$2:$H$37000,"13*",'Accounting data'!$I$2:$I$37000,"8*",'Accounting data'!$J$2:$J$37000,"3*",'Accounting data'!$K$2:$K$37000,"6*")</f>
        <v>0</v>
      </c>
    </row>
    <row r="1378" spans="1:5" x14ac:dyDescent="0.25">
      <c r="A1378" s="523" t="s">
        <v>1007</v>
      </c>
      <c r="B1378" s="523">
        <v>900</v>
      </c>
      <c r="C1378" s="530">
        <v>3000</v>
      </c>
      <c r="D1378" s="521">
        <v>6000</v>
      </c>
      <c r="E1378" s="522">
        <f>SUMIFS('Accounting data'!$G$2:$G$37000,'Accounting data'!$H$2:$H$37000,"11*",'Accounting data'!$I$2:$I$37000,"9*",'Accounting data'!$J$2:$J$37000,"3*",'Accounting data'!$K$2:$K$37000,"6*")+SUMIFS('Accounting data'!$G$2:$G$37000,'Accounting data'!$H$2:$H$37000,"12*",'Accounting data'!$I$2:$I$37000,"9*",'Accounting data'!$J$2:$J$37000,"3*",'Accounting data'!$K$2:$K$37000,"6*")+SUMIFS('Accounting data'!$G$2:$G$37000,'Accounting data'!$H$2:$H$37000,"13*",'Accounting data'!$I$2:$I$37000,"9*",'Accounting data'!$J$2:$J$37000,"3*",'Accounting data'!$K$2:$K$37000,"6*")</f>
        <v>0</v>
      </c>
    </row>
    <row r="1379" spans="1:5" x14ac:dyDescent="0.25">
      <c r="A1379" s="523" t="s">
        <v>1007</v>
      </c>
      <c r="B1379" s="523">
        <v>700</v>
      </c>
      <c r="C1379" s="530">
        <v>1000</v>
      </c>
      <c r="D1379" s="521">
        <v>6900</v>
      </c>
      <c r="E1379" s="522">
        <f>SUMIFS('Accounting data'!$G$2:$G$37000,'Accounting data'!$H$2:$H$37000,"11*",'Accounting data'!$I$2:$I$37000,"7*",'Accounting data'!$J$2:$J$37000,"1*",'Accounting data'!$K$2:$K$37000,"69*")+SUMIFS('Accounting data'!$G$2:$G$37000,'Accounting data'!$H$2:$H$37000,"12*",'Accounting data'!$I$2:$I$37000,"7*",'Accounting data'!$J$2:$J$37000,"1*",'Accounting data'!$K$2:$K$37000,"69*")+SUMIFS('Accounting data'!$G$2:$G$37000,'Accounting data'!$H$2:$H$37000,"13*",'Accounting data'!$I$2:$I$37000,"7*",'Accounting data'!$J$2:$J$37000,"1*",'Accounting data'!$K$2:$K$37000,"69*")</f>
        <v>0</v>
      </c>
    </row>
    <row r="1380" spans="1:5" x14ac:dyDescent="0.25">
      <c r="A1380" s="523" t="s">
        <v>1007</v>
      </c>
      <c r="B1380" s="523">
        <v>800</v>
      </c>
      <c r="C1380" s="530">
        <v>1000</v>
      </c>
      <c r="D1380" s="521">
        <v>6900</v>
      </c>
      <c r="E1380" s="522">
        <f>SUMIFS('Accounting data'!$G$2:$G$37000,'Accounting data'!$H$2:$H$37000,"11*",'Accounting data'!$I$2:$I$37000,"8*",'Accounting data'!$J$2:$J$37000,"1*",'Accounting data'!$K$2:$K$37000,"69*")+SUMIFS('Accounting data'!$G$2:$G$37000,'Accounting data'!$H$2:$H$37000,"12*",'Accounting data'!$I$2:$I$37000,"8*",'Accounting data'!$J$2:$J$37000,"1*",'Accounting data'!$K$2:$K$37000,"69*")+SUMIFS('Accounting data'!$G$2:$G$37000,'Accounting data'!$H$2:$H$37000,"13*",'Accounting data'!$I$2:$I$37000,"8*",'Accounting data'!$J$2:$J$37000,"1*",'Accounting data'!$K$2:$K$37000,"69*")</f>
        <v>0</v>
      </c>
    </row>
    <row r="1381" spans="1:5" x14ac:dyDescent="0.25">
      <c r="A1381" s="523" t="s">
        <v>1007</v>
      </c>
      <c r="B1381" s="523">
        <v>900</v>
      </c>
      <c r="C1381" s="530">
        <v>1000</v>
      </c>
      <c r="D1381" s="521">
        <v>6900</v>
      </c>
      <c r="E1381" s="522">
        <f>SUMIFS('Accounting data'!$G$2:$G$37000,'Accounting data'!$H$2:$H$37000,"11*",'Accounting data'!$I$2:$I$37000,"9*",'Accounting data'!$J$2:$J$37000,"1*",'Accounting data'!$K$2:$K$37000,"69*")+SUMIFS('Accounting data'!$G$2:$G$37000,'Accounting data'!$H$2:$H$37000,"12*",'Accounting data'!$I$2:$I$37000,"9*",'Accounting data'!$J$2:$J$37000,"1*",'Accounting data'!$K$2:$K$37000,"69*")+SUMIFS('Accounting data'!$G$2:$G$37000,'Accounting data'!$H$2:$H$37000,"13*",'Accounting data'!$I$2:$I$37000,"9*",'Accounting data'!$J$2:$J$37000,"1*",'Accounting data'!$K$2:$K$37000,"69*")</f>
        <v>0</v>
      </c>
    </row>
    <row r="1382" spans="1:5" x14ac:dyDescent="0.25">
      <c r="A1382" s="523" t="s">
        <v>1007</v>
      </c>
      <c r="B1382" s="523">
        <v>700</v>
      </c>
      <c r="C1382" s="530">
        <v>2000</v>
      </c>
      <c r="D1382" s="521">
        <v>6900</v>
      </c>
      <c r="E1382" s="522">
        <f>SUMIFS('Accounting data'!$G$2:$G$37000,'Accounting data'!$H$2:$H$37000,"11*",'Accounting data'!$I$2:$I$37000,"7*",'Accounting data'!$J$2:$J$37000,"2*",'Accounting data'!$K$2:$K$37000,"69*")+SUMIFS('Accounting data'!$G$2:$G$37000,'Accounting data'!$H$2:$H$37000,"12*",'Accounting data'!$I$2:$I$37000,"7*",'Accounting data'!$J$2:$J$37000,"2*",'Accounting data'!$K$2:$K$37000,"69*")+SUMIFS('Accounting data'!$G$2:$G$37000,'Accounting data'!$H$2:$H$37000,"13*",'Accounting data'!$I$2:$I$37000,"7*",'Accounting data'!$J$2:$J$37000,"2*",'Accounting data'!$K$2:$K$37000,"69*")</f>
        <v>0</v>
      </c>
    </row>
    <row r="1383" spans="1:5" x14ac:dyDescent="0.25">
      <c r="A1383" s="523" t="s">
        <v>1007</v>
      </c>
      <c r="B1383" s="523">
        <v>800</v>
      </c>
      <c r="C1383" s="530">
        <v>2000</v>
      </c>
      <c r="D1383" s="521">
        <v>6900</v>
      </c>
      <c r="E1383" s="522">
        <f>SUMIFS('Accounting data'!$G$2:$G$37000,'Accounting data'!$H$2:$H$37000,"11*",'Accounting data'!$I$2:$I$37000,"8*",'Accounting data'!$J$2:$J$37000,"2*",'Accounting data'!$K$2:$K$37000,"69*")+SUMIFS('Accounting data'!$G$2:$G$37000,'Accounting data'!$H$2:$H$37000,"12*",'Accounting data'!$I$2:$I$37000,"8*",'Accounting data'!$J$2:$J$37000,"2*",'Accounting data'!$K$2:$K$37000,"69*")+SUMIFS('Accounting data'!$G$2:$G$37000,'Accounting data'!$H$2:$H$37000,"13*",'Accounting data'!$I$2:$I$37000,"8*",'Accounting data'!$J$2:$J$37000,"2*",'Accounting data'!$K$2:$K$37000,"69*")</f>
        <v>0</v>
      </c>
    </row>
    <row r="1384" spans="1:5" x14ac:dyDescent="0.25">
      <c r="A1384" s="523" t="s">
        <v>1007</v>
      </c>
      <c r="B1384" s="523">
        <v>900</v>
      </c>
      <c r="C1384" s="530">
        <v>2000</v>
      </c>
      <c r="D1384" s="521">
        <v>6900</v>
      </c>
      <c r="E1384" s="522">
        <f>SUMIFS('Accounting data'!$G$2:$G$37000,'Accounting data'!$H$2:$H$37000,"11*",'Accounting data'!$I$2:$I$37000,"9*",'Accounting data'!$J$2:$J$37000,"2*",'Accounting data'!$K$2:$K$37000,"69*")+SUMIFS('Accounting data'!$G$2:$G$37000,'Accounting data'!$H$2:$H$37000,"12*",'Accounting data'!$I$2:$I$37000,"9*",'Accounting data'!$J$2:$J$37000,"2*",'Accounting data'!$K$2:$K$37000,"69*")+SUMIFS('Accounting data'!$G$2:$G$37000,'Accounting data'!$H$2:$H$37000,"13*",'Accounting data'!$I$2:$I$37000,"9*",'Accounting data'!$J$2:$J$37000,"2*",'Accounting data'!$K$2:$K$37000,"69*")</f>
        <v>0</v>
      </c>
    </row>
    <row r="1385" spans="1:5" x14ac:dyDescent="0.25">
      <c r="A1385" s="523" t="s">
        <v>1007</v>
      </c>
      <c r="B1385" s="523">
        <v>700</v>
      </c>
      <c r="C1385" s="530">
        <v>3000</v>
      </c>
      <c r="D1385" s="521">
        <v>6900</v>
      </c>
      <c r="E1385" s="522">
        <f>SUMIFS('Accounting data'!$G$2:$G$37000,'Accounting data'!$H$2:$H$37000,"11*",'Accounting data'!$I$2:$I$37000,"7*",'Accounting data'!$J$2:$J$37000,"3*",'Accounting data'!$K$2:$K$37000,"69*")+SUMIFS('Accounting data'!$G$2:$G$37000,'Accounting data'!$H$2:$H$37000,"12*",'Accounting data'!$I$2:$I$37000,"7*",'Accounting data'!$J$2:$J$37000,"3*",'Accounting data'!$K$2:$K$37000,"69*")+SUMIFS('Accounting data'!$G$2:$G$37000,'Accounting data'!$H$2:$H$37000,"13*",'Accounting data'!$I$2:$I$37000,"7*",'Accounting data'!$J$2:$J$37000,"3*",'Accounting data'!$K$2:$K$37000,"69*")</f>
        <v>0</v>
      </c>
    </row>
    <row r="1386" spans="1:5" x14ac:dyDescent="0.25">
      <c r="A1386" s="523" t="s">
        <v>1007</v>
      </c>
      <c r="B1386" s="523">
        <v>800</v>
      </c>
      <c r="C1386" s="530">
        <v>3000</v>
      </c>
      <c r="D1386" s="521">
        <v>6900</v>
      </c>
      <c r="E1386" s="522">
        <f>SUMIFS('Accounting data'!$G$2:$G$37000,'Accounting data'!$H$2:$H$37000,"11*",'Accounting data'!$I$2:$I$37000,"8*",'Accounting data'!$J$2:$J$37000,"3*",'Accounting data'!$K$2:$K$37000,"69*")+SUMIFS('Accounting data'!$G$2:$G$37000,'Accounting data'!$H$2:$H$37000,"12*",'Accounting data'!$I$2:$I$37000,"8*",'Accounting data'!$J$2:$J$37000,"3*",'Accounting data'!$K$2:$K$37000,"69*")+SUMIFS('Accounting data'!$G$2:$G$37000,'Accounting data'!$H$2:$H$37000,"13*",'Accounting data'!$I$2:$I$37000,"8*",'Accounting data'!$J$2:$J$37000,"3*",'Accounting data'!$K$2:$K$37000,"69*")</f>
        <v>0</v>
      </c>
    </row>
    <row r="1387" spans="1:5" x14ac:dyDescent="0.25">
      <c r="A1387" s="523" t="s">
        <v>1007</v>
      </c>
      <c r="B1387" s="523">
        <v>900</v>
      </c>
      <c r="C1387" s="530">
        <v>3000</v>
      </c>
      <c r="D1387" s="521">
        <v>6900</v>
      </c>
      <c r="E1387" s="522">
        <f>SUMIFS('Accounting data'!$G$2:$G$37000,'Accounting data'!$H$2:$H$37000,"11*",'Accounting data'!$I$2:$I$37000,"9*",'Accounting data'!$J$2:$J$37000,"3*",'Accounting data'!$K$2:$K$37000,"69*")+SUMIFS('Accounting data'!$G$2:$G$37000,'Accounting data'!$H$2:$H$37000,"12*",'Accounting data'!$I$2:$I$37000,"9*",'Accounting data'!$J$2:$J$37000,"3*",'Accounting data'!$K$2:$K$37000,"69*")+SUMIFS('Accounting data'!$G$2:$G$37000,'Accounting data'!$H$2:$H$37000,"13*",'Accounting data'!$I$2:$I$37000,"9*",'Accounting data'!$J$2:$J$37000,"3*",'Accounting data'!$K$2:$K$37000,"69*")</f>
        <v>0</v>
      </c>
    </row>
    <row r="1388" spans="1:5" x14ac:dyDescent="0.25">
      <c r="A1388" s="524" t="s">
        <v>1102</v>
      </c>
      <c r="B1388" s="524"/>
      <c r="C1388" s="524"/>
      <c r="D1388" s="524"/>
      <c r="E1388" s="526">
        <f>(E1370+E1371+E1372+E1373+E1374+E1375+E1376+E1377+E1378)-(E1379+E1380+E1381+E1382+E1383+E1384+E1385+E1386+E1387)</f>
        <v>0</v>
      </c>
    </row>
    <row r="1437" spans="1:5" x14ac:dyDescent="0.25">
      <c r="A1437" s="521" t="s">
        <v>1103</v>
      </c>
      <c r="B1437" s="521" t="s">
        <v>991</v>
      </c>
      <c r="C1437" s="521" t="s">
        <v>991</v>
      </c>
      <c r="D1437" s="521">
        <v>6000</v>
      </c>
      <c r="E1437" s="522">
        <f>SUMIFS('Accounting data'!$G$2:$G$37000,'Accounting data'!$H$2:$H$37000,"9*",'Accounting data'!$K$2:$K$37000,"6*")+SUMIFS('Accounting data'!$G$2:$G$37000,'Accounting data'!$H$2:$H$37000,"9*",'Accounting data'!$K$2:$K$37000,"6*")+SUMIFS('Accounting data'!$G$2:$G$37000,'Accounting data'!$H$2:$H$37000,"9*",'Accounting data'!$K$2:$K$37000,"6*")+SUMIFS('Accounting data'!$G$2:$G$37000,'Accounting data'!$H$2:$H$37000,"9*",'Accounting data'!$K$2:$K$37000,"6*")+SUMIFS('Accounting data'!$G$2:$G$37000,'Accounting data'!$H$2:$H$37000,"9*",'Accounting data'!$K$2:$K$37000,"6*")</f>
        <v>0</v>
      </c>
    </row>
    <row r="1438" spans="1:5" x14ac:dyDescent="0.25">
      <c r="A1438" s="524" t="s">
        <v>1104</v>
      </c>
      <c r="B1438" s="524"/>
      <c r="C1438" s="524"/>
      <c r="D1438" s="524"/>
      <c r="E1438" s="526">
        <f>E1437</f>
        <v>0</v>
      </c>
    </row>
    <row r="1445" spans="1:5" x14ac:dyDescent="0.25">
      <c r="A1445" s="521" t="s">
        <v>991</v>
      </c>
      <c r="B1445" s="521" t="s">
        <v>991</v>
      </c>
      <c r="C1445" s="521">
        <v>5000</v>
      </c>
      <c r="D1445" s="521">
        <v>6850</v>
      </c>
      <c r="E1445" s="522">
        <f>SUMIFS('Accounting data'!$G$2:$G$37000,'Accounting data'!$J$2:$J$37000,"5*",'Accounting data'!$K$2:$K$37000,"685*")</f>
        <v>182777</v>
      </c>
    </row>
    <row r="1446" spans="1:5" x14ac:dyDescent="0.25">
      <c r="A1446" s="521" t="s">
        <v>992</v>
      </c>
      <c r="B1446" s="521" t="s">
        <v>991</v>
      </c>
      <c r="C1446" s="521">
        <v>5000</v>
      </c>
      <c r="D1446" s="521">
        <v>6850</v>
      </c>
      <c r="E1446" s="522">
        <f>SUMIFS('Accounting data'!$G$2:$G$37000,'Accounting data'!$H$2:$H$37000,"9999*",'Accounting data'!$J$2:$J$37000,"5*",'Accounting data'!$K$2:$K$37000,"685*")</f>
        <v>0</v>
      </c>
    </row>
    <row r="1447" spans="1:5" x14ac:dyDescent="0.25">
      <c r="A1447" s="521" t="s">
        <v>991</v>
      </c>
      <c r="B1447" s="521" t="s">
        <v>993</v>
      </c>
      <c r="C1447" s="521">
        <v>5000</v>
      </c>
      <c r="D1447" s="521">
        <v>6850</v>
      </c>
      <c r="E1447" s="522">
        <f>SUMIFS('Accounting data'!$G$2:$G$37000,'Accounting data'!$I$2:$I$37000,"7*",'Accounting data'!$J$2:$J$37000,"5*",'Accounting data'!$K$2:$K$37000,"685*")+SUMIFS('Accounting data'!$G$2:$G$37000,'Accounting data'!$I$2:$I$37000,"8*",'Accounting data'!$J$2:$J$37000,"5*",'Accounting data'!$K$2:$K$37000,"685*")+SUMIFS('Accounting data'!$G$2:$G$37000,'Accounting data'!$I$2:$I$37000,"9*",'Accounting data'!$J$2:$J$37000,"5*",'Accounting data'!$K$2:$K$37000,"685*")</f>
        <v>0</v>
      </c>
    </row>
    <row r="1448" spans="1:5" x14ac:dyDescent="0.25">
      <c r="A1448" s="523" t="s">
        <v>992</v>
      </c>
      <c r="B1448" s="521" t="s">
        <v>993</v>
      </c>
      <c r="C1448" s="521">
        <v>5000</v>
      </c>
      <c r="D1448" s="521">
        <v>6850</v>
      </c>
      <c r="E1448" s="522">
        <f>SUMIFS('Accounting data'!$G$2:$G$37000,'Accounting data'!$H$2:$H$37000,"9999*",'Accounting data'!$I$2:$I$37000,"7*",'Accounting data'!$J$2:$J$37000,"5*",'Accounting data'!$K$2:$K$37000,"685*")+SUMIFS('Accounting data'!$G$2:$G$37000,'Accounting data'!$H$2:$H$37000,"9999*",'Accounting data'!$I$2:$I$37000,"8*",'Accounting data'!$J$2:$J$37000,"5*",'Accounting data'!$K$2:$K$37000,"685*")+SUMIFS('Accounting data'!$G$2:$G$37000,'Accounting data'!$H$2:$H$37000,"9999*",'Accounting data'!$I$2:$I$37000,"9*",'Accounting data'!$J$2:$J$37000,"5*",'Accounting data'!$K$2:$K$37000,"685*")</f>
        <v>0</v>
      </c>
    </row>
    <row r="1449" spans="1:5" ht="14.4" x14ac:dyDescent="0.3">
      <c r="A1449" s="524" t="s">
        <v>1105</v>
      </c>
      <c r="B1449" s="524"/>
      <c r="C1449" s="524"/>
      <c r="D1449" s="524"/>
      <c r="E1449" s="525">
        <f>(E1445-E1446-E1447)+E1448</f>
        <v>182777</v>
      </c>
    </row>
    <row r="1450" spans="1:5" x14ac:dyDescent="0.25">
      <c r="A1450" s="521" t="s">
        <v>991</v>
      </c>
      <c r="B1450" s="521" t="s">
        <v>991</v>
      </c>
      <c r="C1450" s="521">
        <v>1000</v>
      </c>
      <c r="D1450" s="521">
        <v>6800</v>
      </c>
      <c r="E1450" s="522">
        <f t="array" ref="E1450">SUMIFS('Accounting data'!$G$2:$G$37000,'Accounting data'!$J$2:$J$37000,"1*",'Accounting data'!$K$2:$K$37000,"68*")</f>
        <v>809</v>
      </c>
    </row>
    <row r="1451" spans="1:5" x14ac:dyDescent="0.25">
      <c r="A1451" s="521" t="s">
        <v>992</v>
      </c>
      <c r="B1451" s="521" t="s">
        <v>991</v>
      </c>
      <c r="C1451" s="521">
        <v>1000</v>
      </c>
      <c r="D1451" s="521">
        <v>6800</v>
      </c>
      <c r="E1451" s="522">
        <f t="array" ref="E1451">SUMIFS('Accounting data'!$G$2:$G$37000,'Accounting data'!$H$2:$H$37000,"9999*",'Accounting data'!$J$2:$J$37000,"1*",'Accounting data'!$K$2:$K$37000,"68*")</f>
        <v>0</v>
      </c>
    </row>
    <row r="1452" spans="1:5" x14ac:dyDescent="0.25">
      <c r="A1452" s="521" t="s">
        <v>991</v>
      </c>
      <c r="B1452" s="521" t="s">
        <v>993</v>
      </c>
      <c r="C1452" s="521">
        <v>1000</v>
      </c>
      <c r="D1452" s="521">
        <v>6800</v>
      </c>
      <c r="E1452" s="522">
        <f t="array" ref="E1452">SUMIFS('Accounting data'!$G$2:$G$37000,'Accounting data'!$I$2:$I$37000,"7*",'Accounting data'!$J$2:$J$37000,"1*",'Accounting data'!$K$2:$K$37000,"68*")+SUMIFS('Accounting data'!$G$2:$G$37000,'Accounting data'!$I$2:$I$37000,"8*",'Accounting data'!$J$2:$J$37000,"1*",'Accounting data'!$K$2:$K$37000,"68*")+SUMIFS('Accounting data'!$G$2:$G$37000,'Accounting data'!$I$2:$I$37000,"9*",'Accounting data'!$J$2:$J$37000,"1*",'Accounting data'!$K$2:$K$37000,"68*")</f>
        <v>0</v>
      </c>
    </row>
    <row r="1453" spans="1:5" x14ac:dyDescent="0.25">
      <c r="A1453" s="523" t="s">
        <v>992</v>
      </c>
      <c r="B1453" s="521" t="s">
        <v>993</v>
      </c>
      <c r="C1453" s="521">
        <v>1000</v>
      </c>
      <c r="D1453" s="521">
        <v>6800</v>
      </c>
      <c r="E1453" s="522">
        <f t="array" ref="E1453">SUMIFS('Accounting data'!$G$2:$G$37000,'Accounting data'!$H$2:$H$37000,"9999*",'Accounting data'!$I$2:$I$37000,"7*",'Accounting data'!$J$2:$J$37000,"1*",'Accounting data'!$K$2:$K$37000,"68*")+SUMIFS('Accounting data'!$G$2:$G$37000,'Accounting data'!$H$2:$H$37000,"9999*",'Accounting data'!$I$2:$I$37000,"8*",'Accounting data'!$J$2:$J$37000,"1*",'Accounting data'!$K$2:$K$37000,"68*")+SUMIFS('Accounting data'!$G$2:$G$37000,'Accounting data'!$H$2:$H$37000,"9999*",'Accounting data'!$I$2:$I$37000,"9*",'Accounting data'!$J$2:$J$37000,"1*",'Accounting data'!$K$2:$K$37000,"68*")</f>
        <v>0</v>
      </c>
    </row>
    <row r="1454" spans="1:5" ht="14.4" x14ac:dyDescent="0.3">
      <c r="A1454" s="524" t="s">
        <v>1106</v>
      </c>
      <c r="B1454" s="524"/>
      <c r="C1454" s="524"/>
      <c r="D1454" s="524"/>
      <c r="E1454" s="525">
        <f>(E1450-E1451-E1452)+E1453</f>
        <v>809</v>
      </c>
    </row>
    <row r="1455" spans="1:5" x14ac:dyDescent="0.25">
      <c r="A1455" s="521" t="s">
        <v>991</v>
      </c>
      <c r="B1455" s="521" t="s">
        <v>991</v>
      </c>
      <c r="C1455" s="521">
        <v>2100</v>
      </c>
      <c r="D1455" s="521">
        <v>6800</v>
      </c>
      <c r="E1455" s="522">
        <f t="array" ref="E1455">SUMIFS('Accounting data'!$G$2:$G$37000,'Accounting data'!$J$2:$J$37000,"21*",'Accounting data'!$K$2:$K$37000,"68*")</f>
        <v>99</v>
      </c>
    </row>
    <row r="1456" spans="1:5" x14ac:dyDescent="0.25">
      <c r="A1456" s="521" t="s">
        <v>992</v>
      </c>
      <c r="B1456" s="521" t="s">
        <v>991</v>
      </c>
      <c r="C1456" s="521">
        <v>2100</v>
      </c>
      <c r="D1456" s="521">
        <v>6800</v>
      </c>
      <c r="E1456" s="522">
        <f t="array" ref="E1456">SUMIFS('Accounting data'!$G$2:$G$37000,'Accounting data'!$H$2:$H$37000,"9999*",'Accounting data'!$J$2:$J$37000,"21*",'Accounting data'!$K$2:$K$37000,"68*")</f>
        <v>0</v>
      </c>
    </row>
    <row r="1457" spans="1:5" x14ac:dyDescent="0.25">
      <c r="A1457" s="521" t="s">
        <v>991</v>
      </c>
      <c r="B1457" s="521" t="s">
        <v>993</v>
      </c>
      <c r="C1457" s="521">
        <v>2100</v>
      </c>
      <c r="D1457" s="521">
        <v>6800</v>
      </c>
      <c r="E1457" s="522">
        <f t="array" ref="E1457">SUMIFS('Accounting data'!$G$2:$G$37000,'Accounting data'!$I$2:$I$37000,"7*",'Accounting data'!$J$2:$J$37000,"21*",'Accounting data'!$K$2:$K$37000,"68*")+SUMIFS('Accounting data'!$G$2:$G$37000,'Accounting data'!$I$2:$I$37000,"8*",'Accounting data'!$J$2:$J$37000,"21*",'Accounting data'!$K$2:$K$37000,"68*")+SUMIFS('Accounting data'!$G$2:$G$37000,'Accounting data'!$I$2:$I$37000,"9*",'Accounting data'!$J$2:$J$37000,"21*",'Accounting data'!$K$2:$K$37000,"68*")</f>
        <v>0</v>
      </c>
    </row>
    <row r="1458" spans="1:5" x14ac:dyDescent="0.25">
      <c r="A1458" s="523" t="s">
        <v>992</v>
      </c>
      <c r="B1458" s="521" t="s">
        <v>993</v>
      </c>
      <c r="C1458" s="521">
        <v>2100</v>
      </c>
      <c r="D1458" s="521">
        <v>6800</v>
      </c>
      <c r="E1458" s="522">
        <f t="array" ref="E1458">SUMIFS('Accounting data'!$G$2:$G$37000,'Accounting data'!$H$2:$H$37000,"9999*",'Accounting data'!$I$2:$I$37000,"7*",'Accounting data'!$J$2:$J$37000,"21*",'Accounting data'!$K$2:$K$37000,"68*")+SUMIFS('Accounting data'!$G$2:$G$37000,'Accounting data'!$H$2:$H$37000,"9999*",'Accounting data'!$I$2:$I$37000,"8*",'Accounting data'!$J$2:$J$37000,"21*",'Accounting data'!$K$2:$K$37000,"68*")+SUMIFS('Accounting data'!$G$2:$G$37000,'Accounting data'!$H$2:$H$37000,"9999*",'Accounting data'!$I$2:$I$37000,"9*",'Accounting data'!$J$2:$J$37000,"21*",'Accounting data'!$K$2:$K$37000,"68*")</f>
        <v>0</v>
      </c>
    </row>
    <row r="1459" spans="1:5" ht="14.4" x14ac:dyDescent="0.3">
      <c r="A1459" s="524" t="s">
        <v>1107</v>
      </c>
      <c r="B1459" s="524"/>
      <c r="C1459" s="524"/>
      <c r="D1459" s="524"/>
      <c r="E1459" s="525">
        <f>(E1455-E1456-E1457)+E1458</f>
        <v>99</v>
      </c>
    </row>
    <row r="1460" spans="1:5" x14ac:dyDescent="0.25">
      <c r="A1460" s="521" t="s">
        <v>991</v>
      </c>
      <c r="B1460" s="521" t="s">
        <v>991</v>
      </c>
      <c r="C1460" s="521">
        <v>2200</v>
      </c>
      <c r="D1460" s="521">
        <v>6800</v>
      </c>
      <c r="E1460" s="522">
        <f t="array" ref="E1460">SUMIFS('Accounting data'!$G$2:$G$37000,'Accounting data'!$J$2:$J$37000,"22*",'Accounting data'!$K$2:$K$37000,"68*")</f>
        <v>0</v>
      </c>
    </row>
    <row r="1461" spans="1:5" x14ac:dyDescent="0.25">
      <c r="A1461" s="521" t="s">
        <v>992</v>
      </c>
      <c r="B1461" s="521" t="s">
        <v>991</v>
      </c>
      <c r="C1461" s="521">
        <v>2200</v>
      </c>
      <c r="D1461" s="521">
        <v>6800</v>
      </c>
      <c r="E1461" s="522">
        <f t="array" ref="E1461">SUMIFS('Accounting data'!$G$2:$G$37000,'Accounting data'!$H$2:$H$37000,"9999*",'Accounting data'!$J$2:$J$37000,"22*",'Accounting data'!$K$2:$K$37000,"68*")</f>
        <v>0</v>
      </c>
    </row>
    <row r="1462" spans="1:5" x14ac:dyDescent="0.25">
      <c r="A1462" s="521" t="s">
        <v>991</v>
      </c>
      <c r="B1462" s="521" t="s">
        <v>993</v>
      </c>
      <c r="C1462" s="521">
        <v>2200</v>
      </c>
      <c r="D1462" s="521">
        <v>6800</v>
      </c>
      <c r="E1462" s="522">
        <f t="array" ref="E1462">SUMIFS('Accounting data'!$G$2:$G$37000,'Accounting data'!$I$2:$I$37000,"7*",'Accounting data'!$J$2:$J$37000,"22*",'Accounting data'!$K$2:$K$37000,"68*")+SUMIFS('Accounting data'!$G$2:$G$37000,'Accounting data'!$I$2:$I$37000,"8*",'Accounting data'!$J$2:$J$37000,"22*",'Accounting data'!$K$2:$K$37000,"68*")+SUMIFS('Accounting data'!$G$2:$G$37000,'Accounting data'!$I$2:$I$37000,"9*",'Accounting data'!$J$2:$J$37000,"22*",'Accounting data'!$K$2:$K$37000,"68*")</f>
        <v>0</v>
      </c>
    </row>
    <row r="1463" spans="1:5" x14ac:dyDescent="0.25">
      <c r="A1463" s="523" t="s">
        <v>992</v>
      </c>
      <c r="B1463" s="521" t="s">
        <v>993</v>
      </c>
      <c r="C1463" s="521">
        <v>2200</v>
      </c>
      <c r="D1463" s="521">
        <v>6800</v>
      </c>
      <c r="E1463" s="522">
        <f t="array" ref="E1463">SUMIFS('Accounting data'!$G$2:$G$37000,'Accounting data'!$H$2:$H$37000,"9999*",'Accounting data'!$I$2:$I$37000,"7*",'Accounting data'!$J$2:$J$37000,"22*",'Accounting data'!$K$2:$K$37000,"68*")+SUMIFS('Accounting data'!$G$2:$G$37000,'Accounting data'!$H$2:$H$37000,"9999*",'Accounting data'!$I$2:$I$37000,"8*",'Accounting data'!$J$2:$J$37000,"22*",'Accounting data'!$K$2:$K$37000,"68*")+SUMIFS('Accounting data'!$G$2:$G$37000,'Accounting data'!$H$2:$H$37000,"9999*",'Accounting data'!$I$2:$I$37000,"9*",'Accounting data'!$J$2:$J$37000,"22*",'Accounting data'!$K$2:$K$37000,"68*")</f>
        <v>0</v>
      </c>
    </row>
    <row r="1464" spans="1:5" ht="14.4" x14ac:dyDescent="0.3">
      <c r="A1464" s="524" t="s">
        <v>1108</v>
      </c>
      <c r="B1464" s="524"/>
      <c r="C1464" s="524"/>
      <c r="D1464" s="524"/>
      <c r="E1464" s="525">
        <f>(E1460-E1461-E1462)+E1463</f>
        <v>0</v>
      </c>
    </row>
    <row r="1465" spans="1:5" x14ac:dyDescent="0.25">
      <c r="A1465" s="521" t="s">
        <v>991</v>
      </c>
      <c r="B1465" s="521" t="s">
        <v>991</v>
      </c>
      <c r="C1465" s="521">
        <v>2300</v>
      </c>
      <c r="D1465" s="521">
        <v>6800</v>
      </c>
      <c r="E1465" s="522">
        <f t="array" ref="E1465">SUMIFS('Accounting data'!$G$2:$G$37000,'Accounting data'!$J$2:$J$37000,"23*",'Accounting data'!$K$2:$K$37000,"68*")</f>
        <v>2210</v>
      </c>
    </row>
    <row r="1466" spans="1:5" x14ac:dyDescent="0.25">
      <c r="A1466" s="521" t="s">
        <v>992</v>
      </c>
      <c r="B1466" s="521" t="s">
        <v>991</v>
      </c>
      <c r="C1466" s="521">
        <v>2300</v>
      </c>
      <c r="D1466" s="521">
        <v>6800</v>
      </c>
      <c r="E1466" s="522">
        <f t="array" ref="E1466">SUMIFS('Accounting data'!$G$2:$G$37000,'Accounting data'!$H$2:$H$37000,"9999*",'Accounting data'!$J$2:$J$37000,"23*",'Accounting data'!$K$2:$K$37000,"68*")</f>
        <v>0</v>
      </c>
    </row>
    <row r="1467" spans="1:5" x14ac:dyDescent="0.25">
      <c r="A1467" s="521" t="s">
        <v>991</v>
      </c>
      <c r="B1467" s="521" t="s">
        <v>993</v>
      </c>
      <c r="C1467" s="521">
        <v>2300</v>
      </c>
      <c r="D1467" s="521">
        <v>6800</v>
      </c>
      <c r="E1467" s="522">
        <f t="array" ref="E1467">SUMIFS('Accounting data'!$G$2:$G$37000,'Accounting data'!$I$2:$I$37000,"7*",'Accounting data'!$J$2:$J$37000,"23*",'Accounting data'!$K$2:$K$37000,"68*")+SUMIFS('Accounting data'!$G$2:$G$37000,'Accounting data'!$I$2:$I$37000,"8*",'Accounting data'!$J$2:$J$37000,"23*",'Accounting data'!$K$2:$K$37000,"68*")+SUMIFS('Accounting data'!$G$2:$G$37000,'Accounting data'!$I$2:$I$37000,"9*",'Accounting data'!$J$2:$J$37000,"23*",'Accounting data'!$K$2:$K$37000,"68*")</f>
        <v>0</v>
      </c>
    </row>
    <row r="1468" spans="1:5" x14ac:dyDescent="0.25">
      <c r="A1468" s="523" t="s">
        <v>992</v>
      </c>
      <c r="B1468" s="521" t="s">
        <v>993</v>
      </c>
      <c r="C1468" s="521">
        <v>2300</v>
      </c>
      <c r="D1468" s="521">
        <v>6800</v>
      </c>
      <c r="E1468" s="522">
        <f t="array" ref="E1468">SUMIFS('Accounting data'!$G$2:$G$37000,'Accounting data'!$H$2:$H$37000,"9999*",'Accounting data'!$I$2:$I$37000,"7*",'Accounting data'!$J$2:$J$37000,"23*",'Accounting data'!$K$2:$K$37000,"68*")+SUMIFS('Accounting data'!$G$2:$G$37000,'Accounting data'!$H$2:$H$37000,"9999*",'Accounting data'!$I$2:$I$37000,"8*",'Accounting data'!$J$2:$J$37000,"23*",'Accounting data'!$K$2:$K$37000,"68*")+SUMIFS('Accounting data'!$G$2:$G$37000,'Accounting data'!$H$2:$H$37000,"9999*",'Accounting data'!$I$2:$I$37000,"9*",'Accounting data'!$J$2:$J$37000,"23*",'Accounting data'!$K$2:$K$37000,"68*")</f>
        <v>0</v>
      </c>
    </row>
    <row r="1469" spans="1:5" ht="14.4" x14ac:dyDescent="0.3">
      <c r="A1469" s="524" t="s">
        <v>1109</v>
      </c>
      <c r="B1469" s="524"/>
      <c r="C1469" s="524"/>
      <c r="D1469" s="524"/>
      <c r="E1469" s="525">
        <f>(E1465-E1466-E1467)+E1468</f>
        <v>2210</v>
      </c>
    </row>
    <row r="1470" spans="1:5" x14ac:dyDescent="0.25">
      <c r="A1470" s="521" t="s">
        <v>991</v>
      </c>
      <c r="B1470" s="521" t="s">
        <v>991</v>
      </c>
      <c r="C1470" s="521">
        <v>2400</v>
      </c>
      <c r="D1470" s="521">
        <v>6800</v>
      </c>
      <c r="E1470" s="522">
        <f t="array" ref="E1470">SUMIFS('Accounting data'!$G$2:$G$37000,'Accounting data'!$J$2:$J$37000,"24*",'Accounting data'!$K$2:$K$37000,"68*")</f>
        <v>3384</v>
      </c>
    </row>
    <row r="1471" spans="1:5" x14ac:dyDescent="0.25">
      <c r="A1471" s="521" t="s">
        <v>992</v>
      </c>
      <c r="B1471" s="521" t="s">
        <v>991</v>
      </c>
      <c r="C1471" s="521">
        <v>2400</v>
      </c>
      <c r="D1471" s="521">
        <v>6800</v>
      </c>
      <c r="E1471" s="522">
        <f t="array" ref="E1471">SUMIFS('Accounting data'!$G$2:$G$37000,'Accounting data'!$H$2:$H$37000,"9999*",'Accounting data'!$J$2:$J$37000,"24*",'Accounting data'!$K$2:$K$37000,"68*")</f>
        <v>0</v>
      </c>
    </row>
    <row r="1472" spans="1:5" x14ac:dyDescent="0.25">
      <c r="A1472" s="521" t="s">
        <v>991</v>
      </c>
      <c r="B1472" s="521" t="s">
        <v>993</v>
      </c>
      <c r="C1472" s="521">
        <v>2400</v>
      </c>
      <c r="D1472" s="521">
        <v>6800</v>
      </c>
      <c r="E1472" s="522">
        <f t="array" ref="E1472">SUMIFS('Accounting data'!$G$2:$G$37000,'Accounting data'!$I$2:$I$37000,"7*",'Accounting data'!$J$2:$J$37000,"24*",'Accounting data'!$K$2:$K$37000,"68*")+SUMIFS('Accounting data'!$G$2:$G$37000,'Accounting data'!$I$2:$I$37000,"8*",'Accounting data'!$J$2:$J$37000,"24*",'Accounting data'!$K$2:$K$37000,"68*")+SUMIFS('Accounting data'!$G$2:$G$37000,'Accounting data'!$I$2:$I$37000,"9*",'Accounting data'!$J$2:$J$37000,"24*",'Accounting data'!$K$2:$K$37000,"68*")</f>
        <v>0</v>
      </c>
    </row>
    <row r="1473" spans="1:5" x14ac:dyDescent="0.25">
      <c r="A1473" s="523" t="s">
        <v>992</v>
      </c>
      <c r="B1473" s="521" t="s">
        <v>993</v>
      </c>
      <c r="C1473" s="521">
        <v>2400</v>
      </c>
      <c r="D1473" s="521">
        <v>6800</v>
      </c>
      <c r="E1473" s="522">
        <f t="array" ref="E1473">SUMIFS('Accounting data'!$G$2:$G$37000,'Accounting data'!$H$2:$H$37000,"9999*",'Accounting data'!$I$2:$I$37000,"7*",'Accounting data'!$J$2:$J$37000,"24*",'Accounting data'!$K$2:$K$37000,"68*")+SUMIFS('Accounting data'!$G$2:$G$37000,'Accounting data'!$H$2:$H$37000,"9999*",'Accounting data'!$I$2:$I$37000,"8*",'Accounting data'!$J$2:$J$37000,"24*",'Accounting data'!$K$2:$K$37000,"68*")+SUMIFS('Accounting data'!$G$2:$G$37000,'Accounting data'!$H$2:$H$37000,"9999*",'Accounting data'!$I$2:$I$37000,"9*",'Accounting data'!$J$2:$J$37000,"24*",'Accounting data'!$K$2:$K$37000,"68*")</f>
        <v>0</v>
      </c>
    </row>
    <row r="1474" spans="1:5" ht="14.4" x14ac:dyDescent="0.3">
      <c r="A1474" s="524" t="s">
        <v>1110</v>
      </c>
      <c r="B1474" s="524"/>
      <c r="C1474" s="524"/>
      <c r="D1474" s="524"/>
      <c r="E1474" s="525">
        <f>(E1470-E1471-E1472)+E1473</f>
        <v>3384</v>
      </c>
    </row>
    <row r="1475" spans="1:5" x14ac:dyDescent="0.25">
      <c r="A1475" s="521" t="s">
        <v>991</v>
      </c>
      <c r="B1475" s="521" t="s">
        <v>991</v>
      </c>
      <c r="C1475" s="521">
        <v>2500</v>
      </c>
      <c r="D1475" s="521">
        <v>6800</v>
      </c>
      <c r="E1475" s="522">
        <f t="array" ref="E1475">SUMIFS('Accounting data'!$G$2:$G$37000,'Accounting data'!$J$2:$J$37000,"25*",'Accounting data'!$K$2:$K$37000,"68*")</f>
        <v>17307</v>
      </c>
    </row>
    <row r="1476" spans="1:5" x14ac:dyDescent="0.25">
      <c r="A1476" s="521" t="s">
        <v>992</v>
      </c>
      <c r="B1476" s="521" t="s">
        <v>991</v>
      </c>
      <c r="C1476" s="521">
        <v>2500</v>
      </c>
      <c r="D1476" s="521">
        <v>6800</v>
      </c>
      <c r="E1476" s="522">
        <f t="array" ref="E1476">SUMIFS('Accounting data'!$G$2:$G$37000,'Accounting data'!$H$2:$H$37000,"9999*",'Accounting data'!$J$2:$J$37000,"25*",'Accounting data'!$K$2:$K$37000,"68*")</f>
        <v>0</v>
      </c>
    </row>
    <row r="1477" spans="1:5" x14ac:dyDescent="0.25">
      <c r="A1477" s="521" t="s">
        <v>991</v>
      </c>
      <c r="B1477" s="521" t="s">
        <v>993</v>
      </c>
      <c r="C1477" s="521">
        <v>2500</v>
      </c>
      <c r="D1477" s="521">
        <v>6800</v>
      </c>
      <c r="E1477" s="522">
        <f t="array" ref="E1477">SUMIFS('Accounting data'!$G$2:$G$37000,'Accounting data'!$I$2:$I$37000,"7*",'Accounting data'!$J$2:$J$37000,"25*",'Accounting data'!$K$2:$K$37000,"68*")+SUMIFS('Accounting data'!$G$2:$G$37000,'Accounting data'!$I$2:$I$37000,"8*",'Accounting data'!$J$2:$J$37000,"25*",'Accounting data'!$K$2:$K$37000,"68*")+SUMIFS('Accounting data'!$G$2:$G$37000,'Accounting data'!$I$2:$I$37000,"9*",'Accounting data'!$J$2:$J$37000,"25*",'Accounting data'!$K$2:$K$37000,"68*")</f>
        <v>0</v>
      </c>
    </row>
    <row r="1478" spans="1:5" x14ac:dyDescent="0.25">
      <c r="A1478" s="523" t="s">
        <v>992</v>
      </c>
      <c r="B1478" s="521" t="s">
        <v>993</v>
      </c>
      <c r="C1478" s="521">
        <v>2500</v>
      </c>
      <c r="D1478" s="521">
        <v>6800</v>
      </c>
      <c r="E1478" s="522">
        <f t="array" ref="E1478">SUMIFS('Accounting data'!$G$2:$G$37000,'Accounting data'!$H$2:$H$37000,"9999*",'Accounting data'!$I$2:$I$37000,"7*",'Accounting data'!$J$2:$J$37000,"25*",'Accounting data'!$K$2:$K$37000,"68*")+SUMIFS('Accounting data'!$G$2:$G$37000,'Accounting data'!$H$2:$H$37000,"9999*",'Accounting data'!$I$2:$I$37000,"8*",'Accounting data'!$J$2:$J$37000,"25*",'Accounting data'!$K$2:$K$37000,"68*")+SUMIFS('Accounting data'!$G$2:$G$37000,'Accounting data'!$H$2:$H$37000,"9999*",'Accounting data'!$I$2:$I$37000,"9*",'Accounting data'!$J$2:$J$37000,"25*",'Accounting data'!$K$2:$K$37000,"68*")</f>
        <v>0</v>
      </c>
    </row>
    <row r="1479" spans="1:5" ht="14.4" x14ac:dyDescent="0.3">
      <c r="A1479" s="524" t="s">
        <v>1111</v>
      </c>
      <c r="B1479" s="524"/>
      <c r="C1479" s="524"/>
      <c r="D1479" s="524"/>
      <c r="E1479" s="525">
        <f>(E1475-E1476-E1477)+E1478</f>
        <v>17307</v>
      </c>
    </row>
    <row r="1480" spans="1:5" x14ac:dyDescent="0.25">
      <c r="A1480" s="521" t="s">
        <v>991</v>
      </c>
      <c r="B1480" s="521" t="s">
        <v>991</v>
      </c>
      <c r="C1480" s="521">
        <v>2900</v>
      </c>
      <c r="D1480" s="521">
        <v>6800</v>
      </c>
      <c r="E1480" s="522">
        <f t="array" ref="E1480">SUMIFS('Accounting data'!$G$2:$G$37000,'Accounting data'!$J$2:$J$37000,"29*",'Accounting data'!$K$2:$K$37000,"68*")</f>
        <v>0</v>
      </c>
    </row>
    <row r="1481" spans="1:5" x14ac:dyDescent="0.25">
      <c r="A1481" s="521" t="s">
        <v>992</v>
      </c>
      <c r="B1481" s="521" t="s">
        <v>991</v>
      </c>
      <c r="C1481" s="521">
        <v>2900</v>
      </c>
      <c r="D1481" s="521">
        <v>6800</v>
      </c>
      <c r="E1481" s="522">
        <f t="array" ref="E1481">SUMIFS('Accounting data'!$G$2:$G$37000,'Accounting data'!$H$2:$H$37000,"9999*",'Accounting data'!$J$2:$J$37000,"29*",'Accounting data'!$K$2:$K$37000,"68*")</f>
        <v>0</v>
      </c>
    </row>
    <row r="1482" spans="1:5" x14ac:dyDescent="0.25">
      <c r="A1482" s="521" t="s">
        <v>991</v>
      </c>
      <c r="B1482" s="521" t="s">
        <v>993</v>
      </c>
      <c r="C1482" s="521">
        <v>2900</v>
      </c>
      <c r="D1482" s="521">
        <v>6800</v>
      </c>
      <c r="E1482" s="522">
        <f t="array" ref="E1482">SUMIFS('Accounting data'!$G$2:$G$37000,'Accounting data'!$I$2:$I$37000,"7*",'Accounting data'!$J$2:$J$37000,"29*",'Accounting data'!$K$2:$K$37000,"68*")+SUMIFS('Accounting data'!$G$2:$G$37000,'Accounting data'!$I$2:$I$37000,"8*",'Accounting data'!$J$2:$J$37000,"29*",'Accounting data'!$K$2:$K$37000,"68*")+SUMIFS('Accounting data'!$G$2:$G$37000,'Accounting data'!$I$2:$I$37000,"9*",'Accounting data'!$J$2:$J$37000,"29*",'Accounting data'!$K$2:$K$37000,"68*")</f>
        <v>0</v>
      </c>
    </row>
    <row r="1483" spans="1:5" x14ac:dyDescent="0.25">
      <c r="A1483" s="523" t="s">
        <v>992</v>
      </c>
      <c r="B1483" s="521" t="s">
        <v>993</v>
      </c>
      <c r="C1483" s="521">
        <v>2900</v>
      </c>
      <c r="D1483" s="521">
        <v>6800</v>
      </c>
      <c r="E1483" s="522">
        <f t="array" ref="E1483">SUMIFS('Accounting data'!$G$2:$G$37000,'Accounting data'!$H$2:$H$37000,"9999*",'Accounting data'!$I$2:$I$37000,"7*",'Accounting data'!$J$2:$J$37000,"29*",'Accounting data'!$K$2:$K$37000,"68*")+SUMIFS('Accounting data'!$G$2:$G$37000,'Accounting data'!$H$2:$H$37000,"9999*",'Accounting data'!$I$2:$I$37000,"8*",'Accounting data'!$J$2:$J$37000,"29*",'Accounting data'!$K$2:$K$37000,"68*")+SUMIFS('Accounting data'!$G$2:$G$37000,'Accounting data'!$H$2:$H$37000,"9999*",'Accounting data'!$I$2:$I$37000,"9*",'Accounting data'!$J$2:$J$37000,"29*",'Accounting data'!$K$2:$K$37000,"68*")</f>
        <v>0</v>
      </c>
    </row>
    <row r="1484" spans="1:5" ht="14.4" x14ac:dyDescent="0.3">
      <c r="A1484" s="524" t="s">
        <v>1112</v>
      </c>
      <c r="B1484" s="524"/>
      <c r="C1484" s="524"/>
      <c r="D1484" s="524"/>
      <c r="E1484" s="525">
        <f>(E1480-E1481-E1482)+E1483</f>
        <v>0</v>
      </c>
    </row>
    <row r="1485" spans="1:5" x14ac:dyDescent="0.25">
      <c r="A1485" s="521" t="s">
        <v>991</v>
      </c>
      <c r="B1485" s="521" t="s">
        <v>991</v>
      </c>
      <c r="C1485" s="521">
        <v>2600</v>
      </c>
      <c r="D1485" s="521">
        <v>6800</v>
      </c>
      <c r="E1485" s="522">
        <f t="array" ref="E1485">SUMIFS('Accounting data'!$G$2:$G$37000,'Accounting data'!$J$2:$J$37000,"26*",'Accounting data'!$K$2:$K$37000,"68*")</f>
        <v>705</v>
      </c>
    </row>
    <row r="1486" spans="1:5" x14ac:dyDescent="0.25">
      <c r="A1486" s="521" t="s">
        <v>992</v>
      </c>
      <c r="B1486" s="521" t="s">
        <v>991</v>
      </c>
      <c r="C1486" s="521">
        <v>2600</v>
      </c>
      <c r="D1486" s="521">
        <v>6800</v>
      </c>
      <c r="E1486" s="522">
        <f t="array" ref="E1486">SUMIFS('Accounting data'!$G$2:$G$37000,'Accounting data'!$H$2:$H$37000,"9999*",'Accounting data'!$J$2:$J$37000,"26*",'Accounting data'!$K$2:$K$37000,"68*")</f>
        <v>0</v>
      </c>
    </row>
    <row r="1487" spans="1:5" x14ac:dyDescent="0.25">
      <c r="A1487" s="521" t="s">
        <v>991</v>
      </c>
      <c r="B1487" s="521" t="s">
        <v>993</v>
      </c>
      <c r="C1487" s="521">
        <v>2600</v>
      </c>
      <c r="D1487" s="521">
        <v>6800</v>
      </c>
      <c r="E1487" s="522">
        <f t="array" ref="E1487">SUMIFS('Accounting data'!$G$2:$G$37000,'Accounting data'!$I$2:$I$37000,"7*",'Accounting data'!$J$2:$J$37000,"26*",'Accounting data'!$K$2:$K$37000,"68*")+SUMIFS('Accounting data'!$G$2:$G$37000,'Accounting data'!$I$2:$I$37000,"8*",'Accounting data'!$J$2:$J$37000,"26*",'Accounting data'!$K$2:$K$37000,"68*")+SUMIFS('Accounting data'!$G$2:$G$37000,'Accounting data'!$I$2:$I$37000,"9*",'Accounting data'!$J$2:$J$37000,"26*",'Accounting data'!$K$2:$K$37000,"68*")</f>
        <v>0</v>
      </c>
    </row>
    <row r="1488" spans="1:5" x14ac:dyDescent="0.25">
      <c r="A1488" s="523" t="s">
        <v>992</v>
      </c>
      <c r="B1488" s="521" t="s">
        <v>993</v>
      </c>
      <c r="C1488" s="521">
        <v>2600</v>
      </c>
      <c r="D1488" s="521">
        <v>6800</v>
      </c>
      <c r="E1488" s="522">
        <f t="array" ref="E1488">SUMIFS('Accounting data'!$G$2:$G$37000,'Accounting data'!$H$2:$H$37000,"9999*",'Accounting data'!$I$2:$I$37000,"7*",'Accounting data'!$J$2:$J$37000,"26*",'Accounting data'!$K$2:$K$37000,"68*")+SUMIFS('Accounting data'!$G$2:$G$37000,'Accounting data'!$H$2:$H$37000,"9999*",'Accounting data'!$I$2:$I$37000,"8*",'Accounting data'!$J$2:$J$37000,"26*",'Accounting data'!$K$2:$K$37000,"68*")+SUMIFS('Accounting data'!$G$2:$G$37000,'Accounting data'!$H$2:$H$37000,"9999*",'Accounting data'!$I$2:$I$37000,"9*",'Accounting data'!$J$2:$J$37000,"26*",'Accounting data'!$K$2:$K$37000,"68*")</f>
        <v>0</v>
      </c>
    </row>
    <row r="1489" spans="1:5" ht="14.4" x14ac:dyDescent="0.3">
      <c r="A1489" s="524" t="s">
        <v>1113</v>
      </c>
      <c r="B1489" s="524"/>
      <c r="C1489" s="524"/>
      <c r="D1489" s="524"/>
      <c r="E1489" s="525">
        <f>(E1485-E1486-E1487)+E1488</f>
        <v>705</v>
      </c>
    </row>
    <row r="1490" spans="1:5" x14ac:dyDescent="0.25">
      <c r="A1490" s="521" t="s">
        <v>991</v>
      </c>
      <c r="B1490" s="521" t="s">
        <v>991</v>
      </c>
      <c r="C1490" s="521">
        <v>2700</v>
      </c>
      <c r="D1490" s="521">
        <v>6800</v>
      </c>
      <c r="E1490" s="522">
        <f t="array" ref="E1490">SUMIFS('Accounting data'!$G$2:$G$37000,'Accounting data'!$J$2:$J$37000,"27*",'Accounting data'!$K$2:$K$37000,"68*")</f>
        <v>0</v>
      </c>
    </row>
    <row r="1491" spans="1:5" x14ac:dyDescent="0.25">
      <c r="A1491" s="521" t="s">
        <v>992</v>
      </c>
      <c r="B1491" s="521" t="s">
        <v>991</v>
      </c>
      <c r="C1491" s="521">
        <v>2700</v>
      </c>
      <c r="D1491" s="521">
        <v>6800</v>
      </c>
      <c r="E1491" s="522">
        <f t="array" ref="E1491">SUMIFS('Accounting data'!$G$2:$G$37000,'Accounting data'!$H$2:$H$37000,"9999*",'Accounting data'!$J$2:$J$37000,"27*",'Accounting data'!$K$2:$K$37000,"68*")</f>
        <v>0</v>
      </c>
    </row>
    <row r="1492" spans="1:5" x14ac:dyDescent="0.25">
      <c r="A1492" s="521" t="s">
        <v>991</v>
      </c>
      <c r="B1492" s="521" t="s">
        <v>993</v>
      </c>
      <c r="C1492" s="521">
        <v>2700</v>
      </c>
      <c r="D1492" s="521">
        <v>6800</v>
      </c>
      <c r="E1492" s="522">
        <f t="array" ref="E1492">SUMIFS('Accounting data'!$G$2:$G$37000,'Accounting data'!$I$2:$I$37000,"7*",'Accounting data'!$J$2:$J$37000,"27*",'Accounting data'!$K$2:$K$37000,"68*")+SUMIFS('Accounting data'!$G$2:$G$37000,'Accounting data'!$I$2:$I$37000,"8*",'Accounting data'!$J$2:$J$37000,"27*",'Accounting data'!$K$2:$K$37000,"68*")+SUMIFS('Accounting data'!$G$2:$G$37000,'Accounting data'!$I$2:$I$37000,"9*",'Accounting data'!$J$2:$J$37000,"27*",'Accounting data'!$K$2:$K$37000,"68*")</f>
        <v>0</v>
      </c>
    </row>
    <row r="1493" spans="1:5" x14ac:dyDescent="0.25">
      <c r="A1493" s="523" t="s">
        <v>992</v>
      </c>
      <c r="B1493" s="521" t="s">
        <v>993</v>
      </c>
      <c r="C1493" s="521">
        <v>2700</v>
      </c>
      <c r="D1493" s="521">
        <v>6800</v>
      </c>
      <c r="E1493" s="522">
        <f t="array" ref="E1493">SUMIFS('Accounting data'!$G$2:$G$37000,'Accounting data'!$H$2:$H$37000,"9999*",'Accounting data'!$I$2:$I$37000,"7*",'Accounting data'!$J$2:$J$37000,"27*",'Accounting data'!$K$2:$K$37000,"68*")+SUMIFS('Accounting data'!$G$2:$G$37000,'Accounting data'!$H$2:$H$37000,"9999*",'Accounting data'!$I$2:$I$37000,"8*",'Accounting data'!$J$2:$J$37000,"27*",'Accounting data'!$K$2:$K$37000,"68*")+SUMIFS('Accounting data'!$G$2:$G$37000,'Accounting data'!$H$2:$H$37000,"9999*",'Accounting data'!$I$2:$I$37000,"9*",'Accounting data'!$J$2:$J$37000,"27*",'Accounting data'!$K$2:$K$37000,"68*")</f>
        <v>0</v>
      </c>
    </row>
    <row r="1494" spans="1:5" ht="14.4" x14ac:dyDescent="0.3">
      <c r="A1494" s="524" t="s">
        <v>1114</v>
      </c>
      <c r="B1494" s="524"/>
      <c r="C1494" s="524"/>
      <c r="D1494" s="524"/>
      <c r="E1494" s="525">
        <f>(E1490-E1491-E1492)+E1493</f>
        <v>0</v>
      </c>
    </row>
    <row r="1495" spans="1:5" x14ac:dyDescent="0.25">
      <c r="A1495" s="521" t="s">
        <v>991</v>
      </c>
      <c r="B1495" s="521" t="s">
        <v>991</v>
      </c>
      <c r="C1495" s="521">
        <v>3100</v>
      </c>
      <c r="D1495" s="521">
        <v>6800</v>
      </c>
      <c r="E1495" s="522">
        <f t="array" ref="E1495">SUMIFS('Accounting data'!$G$2:$G$37000,'Accounting data'!$J$2:$J$37000,"31*",'Accounting data'!$K$2:$K$37000,"68*")</f>
        <v>0</v>
      </c>
    </row>
    <row r="1496" spans="1:5" x14ac:dyDescent="0.25">
      <c r="A1496" s="521" t="s">
        <v>992</v>
      </c>
      <c r="B1496" s="521" t="s">
        <v>991</v>
      </c>
      <c r="C1496" s="521">
        <v>3100</v>
      </c>
      <c r="D1496" s="521">
        <v>6800</v>
      </c>
      <c r="E1496" s="522">
        <f t="array" ref="E1496">SUMIFS('Accounting data'!$G$2:$G$37000,'Accounting data'!$H$2:$H$37000,"9999*",'Accounting data'!$J$2:$J$37000,"31*",'Accounting data'!$K$2:$K$37000,"68*")</f>
        <v>0</v>
      </c>
    </row>
    <row r="1497" spans="1:5" x14ac:dyDescent="0.25">
      <c r="A1497" s="521" t="s">
        <v>991</v>
      </c>
      <c r="B1497" s="521" t="s">
        <v>993</v>
      </c>
      <c r="C1497" s="521">
        <v>3100</v>
      </c>
      <c r="D1497" s="521">
        <v>6800</v>
      </c>
      <c r="E1497" s="522">
        <f t="array" ref="E1497">SUMIFS('Accounting data'!$G$2:$G$37000,'Accounting data'!$I$2:$I$37000,"7*",'Accounting data'!$J$2:$J$37000,"31*",'Accounting data'!$K$2:$K$37000,"68*")+SUMIFS('Accounting data'!$G$2:$G$37000,'Accounting data'!$I$2:$I$37000,"8*",'Accounting data'!$J$2:$J$37000,"31*",'Accounting data'!$K$2:$K$37000,"68*")+SUMIFS('Accounting data'!$G$2:$G$37000,'Accounting data'!$I$2:$I$37000,"9*",'Accounting data'!$J$2:$J$37000,"31*",'Accounting data'!$K$2:$K$37000,"68*")</f>
        <v>0</v>
      </c>
    </row>
    <row r="1498" spans="1:5" x14ac:dyDescent="0.25">
      <c r="A1498" s="523" t="s">
        <v>992</v>
      </c>
      <c r="B1498" s="521" t="s">
        <v>993</v>
      </c>
      <c r="C1498" s="521">
        <v>3100</v>
      </c>
      <c r="D1498" s="521">
        <v>6800</v>
      </c>
      <c r="E1498" s="522">
        <f t="array" ref="E1498">SUMIFS('Accounting data'!$G$2:$G$37000,'Accounting data'!$H$2:$H$37000,"9999*",'Accounting data'!$I$2:$I$37000,"7*",'Accounting data'!$J$2:$J$37000,"31*",'Accounting data'!$K$2:$K$37000,"68*")+SUMIFS('Accounting data'!$G$2:$G$37000,'Accounting data'!$H$2:$H$37000,"9999*",'Accounting data'!$I$2:$I$37000,"8*",'Accounting data'!$J$2:$J$37000,"31*",'Accounting data'!$K$2:$K$37000,"68*")+SUMIFS('Accounting data'!$G$2:$G$37000,'Accounting data'!$H$2:$H$37000,"9999*",'Accounting data'!$I$2:$I$37000,"9*",'Accounting data'!$J$2:$J$37000,"31*",'Accounting data'!$K$2:$K$37000,"68*")</f>
        <v>0</v>
      </c>
    </row>
    <row r="1499" spans="1:5" ht="14.4" x14ac:dyDescent="0.3">
      <c r="A1499" s="524" t="s">
        <v>1115</v>
      </c>
      <c r="B1499" s="524"/>
      <c r="C1499" s="524"/>
      <c r="D1499" s="524"/>
      <c r="E1499" s="525">
        <f>(E1495-E1496-E1497)+E1498</f>
        <v>0</v>
      </c>
    </row>
    <row r="1500" spans="1:5" x14ac:dyDescent="0.25">
      <c r="A1500" s="521" t="s">
        <v>991</v>
      </c>
      <c r="B1500" s="521" t="s">
        <v>991</v>
      </c>
      <c r="C1500" s="521">
        <v>3400</v>
      </c>
      <c r="D1500" s="521">
        <v>6800</v>
      </c>
      <c r="E1500" s="522">
        <f t="array" ref="E1500">SUMIFS('Accounting data'!$G$2:$G$37000,'Accounting data'!$J$2:$J$37000,"34*",'Accounting data'!$K$2:$K$37000,"68*")</f>
        <v>0</v>
      </c>
    </row>
    <row r="1501" spans="1:5" x14ac:dyDescent="0.25">
      <c r="A1501" s="521" t="s">
        <v>992</v>
      </c>
      <c r="B1501" s="521" t="s">
        <v>991</v>
      </c>
      <c r="C1501" s="521">
        <v>3400</v>
      </c>
      <c r="D1501" s="521">
        <v>6800</v>
      </c>
      <c r="E1501" s="522">
        <f t="array" ref="E1501">SUMIFS('Accounting data'!$G$2:$G$37000,'Accounting data'!$H$2:$H$37000,"9999*",'Accounting data'!$J$2:$J$37000,"34*",'Accounting data'!$K$2:$K$37000,"68*")</f>
        <v>0</v>
      </c>
    </row>
    <row r="1502" spans="1:5" x14ac:dyDescent="0.25">
      <c r="A1502" s="521" t="s">
        <v>991</v>
      </c>
      <c r="B1502" s="521" t="s">
        <v>993</v>
      </c>
      <c r="C1502" s="521">
        <v>3400</v>
      </c>
      <c r="D1502" s="521">
        <v>6800</v>
      </c>
      <c r="E1502" s="522">
        <f t="array" ref="E1502">SUMIFS('Accounting data'!$G$2:$G$37000,'Accounting data'!$I$2:$I$37000,"7*",'Accounting data'!$J$2:$J$37000,"34*",'Accounting data'!$K$2:$K$37000,"68*")+SUMIFS('Accounting data'!$G$2:$G$37000,'Accounting data'!$I$2:$I$37000,"8*",'Accounting data'!$J$2:$J$37000,"34*",'Accounting data'!$K$2:$K$37000,"68*")+SUMIFS('Accounting data'!$G$2:$G$37000,'Accounting data'!$I$2:$I$37000,"9*",'Accounting data'!$J$2:$J$37000,"34*",'Accounting data'!$K$2:$K$37000,"68*")</f>
        <v>0</v>
      </c>
    </row>
    <row r="1503" spans="1:5" x14ac:dyDescent="0.25">
      <c r="A1503" s="523" t="s">
        <v>992</v>
      </c>
      <c r="B1503" s="521" t="s">
        <v>993</v>
      </c>
      <c r="C1503" s="521">
        <v>3400</v>
      </c>
      <c r="D1503" s="521">
        <v>6800</v>
      </c>
      <c r="E1503" s="522">
        <f t="array" ref="E1503">SUMIFS('Accounting data'!$G$2:$G$37000,'Accounting data'!$H$2:$H$37000,"9999*",'Accounting data'!$I$2:$I$37000,"7*",'Accounting data'!$J$2:$J$37000,"34*",'Accounting data'!$K$2:$K$37000,"68*")+SUMIFS('Accounting data'!$G$2:$G$37000,'Accounting data'!$H$2:$H$37000,"9999*",'Accounting data'!$I$2:$I$37000,"8*",'Accounting data'!$J$2:$J$37000,"34*",'Accounting data'!$K$2:$K$37000,"68*")+SUMIFS('Accounting data'!$G$2:$G$37000,'Accounting data'!$H$2:$H$37000,"9999*",'Accounting data'!$I$2:$I$37000,"9*",'Accounting data'!$J$2:$J$37000,"34*",'Accounting data'!$K$2:$K$37000,"68*")</f>
        <v>0</v>
      </c>
    </row>
    <row r="1504" spans="1:5" ht="14.4" x14ac:dyDescent="0.3">
      <c r="A1504" s="524" t="s">
        <v>1116</v>
      </c>
      <c r="B1504" s="524"/>
      <c r="C1504" s="524"/>
      <c r="D1504" s="524"/>
      <c r="E1504" s="525">
        <f>(E1500-E1501-E1502)+E1503</f>
        <v>0</v>
      </c>
    </row>
    <row r="1505" spans="1:5" ht="14.4" x14ac:dyDescent="0.3">
      <c r="A1505" s="527" t="s">
        <v>1117</v>
      </c>
      <c r="B1505" s="527"/>
      <c r="C1505" s="527"/>
      <c r="D1505" s="527"/>
      <c r="E1505" s="528">
        <f>E1454+E1459+E1464+E1469+E1474+E1479+E1484+E1489+E1494+E1499+E1504</f>
        <v>24514</v>
      </c>
    </row>
    <row r="1506" spans="1:5" x14ac:dyDescent="0.25">
      <c r="A1506" s="521" t="s">
        <v>1007</v>
      </c>
      <c r="B1506" s="521" t="s">
        <v>991</v>
      </c>
      <c r="C1506" s="521">
        <v>1000</v>
      </c>
      <c r="D1506" s="521">
        <v>6800</v>
      </c>
      <c r="E1506" s="522">
        <f>SUMIFS('Accounting data'!$G$2:$G$37000,'Accounting data'!$H$2:$H$37000,"11*",'Accounting data'!$J$2:$J$37000,"1*",'Accounting data'!$K$2:$K$37000,"68*")+SUMIFS('Accounting data'!$G$2:$G$37000,'Accounting data'!$H$2:$H$37000,"12*",'Accounting data'!$J$2:$J$37000,"1*",'Accounting data'!$K$2:$K$37000,"68*")+SUMIFS('Accounting data'!$G$2:$G$37000,'Accounting data'!$H$2:$H$37000,"13*",'Accounting data'!$J$2:$J$37000,"1*",'Accounting data'!$K$2:$K$37000,"68*")</f>
        <v>0</v>
      </c>
    </row>
    <row r="1507" spans="1:5" x14ac:dyDescent="0.25">
      <c r="A1507" s="521" t="s">
        <v>1007</v>
      </c>
      <c r="B1507" s="521" t="s">
        <v>991</v>
      </c>
      <c r="C1507" s="521">
        <v>2000</v>
      </c>
      <c r="D1507" s="521">
        <v>6800</v>
      </c>
      <c r="E1507" s="522">
        <f>SUMIFS('Accounting data'!$G$2:$G$37000,'Accounting data'!$H$2:$H$37000,"11*",'Accounting data'!$J$2:$J$37000,"2*",'Accounting data'!$K$2:$K$37000,"68*")+SUMIFS('Accounting data'!$G$2:$G$37000,'Accounting data'!$H$2:$H$37000,"12*",'Accounting data'!$J$2:$J$37000,"2*",'Accounting data'!$K$2:$K$37000,"68*")+SUMIFS('Accounting data'!$G$2:$G$37000,'Accounting data'!$H$2:$H$37000,"13*",'Accounting data'!$J$2:$J$37000,"2*",'Accounting data'!$K$2:$K$37000,"68*")</f>
        <v>0</v>
      </c>
    </row>
    <row r="1508" spans="1:5" x14ac:dyDescent="0.25">
      <c r="A1508" s="521" t="s">
        <v>1007</v>
      </c>
      <c r="B1508" s="521" t="s">
        <v>991</v>
      </c>
      <c r="C1508" s="521">
        <v>3000</v>
      </c>
      <c r="D1508" s="521">
        <v>6800</v>
      </c>
      <c r="E1508" s="522">
        <f>SUMIFS('Accounting data'!$G$2:$G$37000,'Accounting data'!$H$2:$H$37000,"11*",'Accounting data'!$J$2:$J$37000,"3*",'Accounting data'!$K$2:$K$37000,"68*")+SUMIFS('Accounting data'!$G$2:$G$37000,'Accounting data'!$H$2:$H$37000,"12*",'Accounting data'!$J$2:$J$37000,"3*",'Accounting data'!$K$2:$K$37000,"68*")+SUMIFS('Accounting data'!$G$2:$G$37000,'Accounting data'!$H$2:$H$37000,"13*",'Accounting data'!$J$2:$J$37000,"3*",'Accounting data'!$K$2:$K$37000,"68*")</f>
        <v>0</v>
      </c>
    </row>
    <row r="1509" spans="1:5" x14ac:dyDescent="0.25">
      <c r="A1509" s="521" t="s">
        <v>1007</v>
      </c>
      <c r="B1509" s="523">
        <v>700</v>
      </c>
      <c r="C1509" s="521">
        <v>1000</v>
      </c>
      <c r="D1509" s="521">
        <v>6800</v>
      </c>
      <c r="E1509" s="522">
        <f>SUMIFS('Accounting data'!$G$2:$G$37000,'Accounting data'!$H$2:$H$37000,"11*",'Accounting data'!$I$2:$I$37000,"7*",'Accounting data'!$J$2:$J$37000,"1*",'Accounting data'!$K$2:$K$37000,"68*")+SUMIFS('Accounting data'!$G$2:$G$37000,'Accounting data'!$H$2:$H$37000,"12*",'Accounting data'!$I$2:$I$37000,"7*",'Accounting data'!$J$2:$J$37000,"1*",'Accounting data'!$K$2:$K$37000,"68*")+SUMIFS('Accounting data'!$G$2:$G$37000,'Accounting data'!$H$2:$H$37000,"13*",'Accounting data'!$I$2:$I$37000,"7*",'Accounting data'!$J$2:$J$37000,"1*",'Accounting data'!$K$2:$K$37000,"68*")</f>
        <v>0</v>
      </c>
    </row>
    <row r="1510" spans="1:5" x14ac:dyDescent="0.25">
      <c r="A1510" s="521" t="s">
        <v>1007</v>
      </c>
      <c r="B1510" s="523">
        <v>800</v>
      </c>
      <c r="C1510" s="521">
        <v>1000</v>
      </c>
      <c r="D1510" s="521">
        <v>6800</v>
      </c>
      <c r="E1510" s="522">
        <f>SUMIFS('Accounting data'!$G$2:$G$37000,'Accounting data'!$H$2:$H$37000,"11*",'Accounting data'!$I$2:$I$37000,"8*",'Accounting data'!$J$2:$J$37000,"1*",'Accounting data'!$K$2:$K$37000,"68*")+SUMIFS('Accounting data'!$G$2:$G$37000,'Accounting data'!$H$2:$H$37000,"12*",'Accounting data'!$I$2:$I$37000,"8*",'Accounting data'!$J$2:$J$37000,"1*",'Accounting data'!$K$2:$K$37000,"68*")+SUMIFS('Accounting data'!$G$2:$G$37000,'Accounting data'!$H$2:$H$37000,"13*",'Accounting data'!$I$2:$I$37000,"8*",'Accounting data'!$J$2:$J$37000,"1*",'Accounting data'!$K$2:$K$37000,"68*")</f>
        <v>0</v>
      </c>
    </row>
    <row r="1511" spans="1:5" x14ac:dyDescent="0.25">
      <c r="A1511" s="521" t="s">
        <v>1007</v>
      </c>
      <c r="B1511" s="523">
        <v>900</v>
      </c>
      <c r="C1511" s="521">
        <v>1000</v>
      </c>
      <c r="D1511" s="521">
        <v>6800</v>
      </c>
      <c r="E1511" s="522">
        <f>SUMIFS('Accounting data'!$G$2:$G$37000,'Accounting data'!$H$2:$H$37000,"11*",'Accounting data'!$I$2:$I$37000,"9*",'Accounting data'!$J$2:$J$37000,"1*",'Accounting data'!$K$2:$K$37000,"68*")+SUMIFS('Accounting data'!$G$2:$G$37000,'Accounting data'!$H$2:$H$37000,"12*",'Accounting data'!$I$2:$I$37000,"9*",'Accounting data'!$J$2:$J$37000,"1*",'Accounting data'!$K$2:$K$37000,"68*")+SUMIFS('Accounting data'!$G$2:$G$37000,'Accounting data'!$H$2:$H$37000,"13*",'Accounting data'!$I$2:$I$37000,"9*",'Accounting data'!$J$2:$J$37000,"1*",'Accounting data'!$K$2:$K$37000,"68*")</f>
        <v>0</v>
      </c>
    </row>
    <row r="1512" spans="1:5" x14ac:dyDescent="0.25">
      <c r="A1512" s="521" t="s">
        <v>1007</v>
      </c>
      <c r="B1512" s="523">
        <v>700</v>
      </c>
      <c r="C1512" s="521">
        <v>2000</v>
      </c>
      <c r="D1512" s="521">
        <v>6800</v>
      </c>
      <c r="E1512" s="522">
        <f>SUMIFS('Accounting data'!$G$2:$G$37000,'Accounting data'!$H$2:$H$37000,"11*",'Accounting data'!$I$2:$I$37000,"7*",'Accounting data'!$J$2:$J$37000,"2*",'Accounting data'!$K$2:$K$37000,"68*")+SUMIFS('Accounting data'!$G$2:$G$37000,'Accounting data'!$H$2:$H$37000,"12*",'Accounting data'!$I$2:$I$37000,"7*",'Accounting data'!$J$2:$J$37000,"2*",'Accounting data'!$K$2:$K$37000,"68*")+SUMIFS('Accounting data'!$G$2:$G$37000,'Accounting data'!$H$2:$H$37000,"13*",'Accounting data'!$I$2:$I$37000,"7*",'Accounting data'!$J$2:$J$37000,"2*",'Accounting data'!$K$2:$K$37000,"68*")</f>
        <v>0</v>
      </c>
    </row>
    <row r="1513" spans="1:5" x14ac:dyDescent="0.25">
      <c r="A1513" s="521" t="s">
        <v>1007</v>
      </c>
      <c r="B1513" s="523">
        <v>800</v>
      </c>
      <c r="C1513" s="521">
        <v>2000</v>
      </c>
      <c r="D1513" s="521">
        <v>6800</v>
      </c>
      <c r="E1513" s="522">
        <f>SUMIFS('Accounting data'!$G$2:$G$37000,'Accounting data'!$H$2:$H$37000,"11*",'Accounting data'!$I$2:$I$37000,"8*",'Accounting data'!$J$2:$J$37000,"2*",'Accounting data'!$K$2:$K$37000,"68*")+SUMIFS('Accounting data'!$G$2:$G$37000,'Accounting data'!$H$2:$H$37000,"12*",'Accounting data'!$I$2:$I$37000,"8*",'Accounting data'!$J$2:$J$37000,"2*",'Accounting data'!$K$2:$K$37000,"68*")+SUMIFS('Accounting data'!$G$2:$G$37000,'Accounting data'!$H$2:$H$37000,"13*",'Accounting data'!$I$2:$I$37000,"8*",'Accounting data'!$J$2:$J$37000,"2*",'Accounting data'!$K$2:$K$37000,"68*")</f>
        <v>0</v>
      </c>
    </row>
    <row r="1514" spans="1:5" x14ac:dyDescent="0.25">
      <c r="A1514" s="521" t="s">
        <v>1007</v>
      </c>
      <c r="B1514" s="523">
        <v>900</v>
      </c>
      <c r="C1514" s="521">
        <v>2000</v>
      </c>
      <c r="D1514" s="521">
        <v>6800</v>
      </c>
      <c r="E1514" s="522">
        <f>SUMIFS('Accounting data'!$G$2:$G$37000,'Accounting data'!$H$2:$H$37000,"11*",'Accounting data'!$I$2:$I$37000,"9*",'Accounting data'!$J$2:$J$37000,"2*",'Accounting data'!$K$2:$K$37000,"68*")+SUMIFS('Accounting data'!$G$2:$G$37000,'Accounting data'!$H$2:$H$37000,"12*",'Accounting data'!$I$2:$I$37000,"9*",'Accounting data'!$J$2:$J$37000,"2*",'Accounting data'!$K$2:$K$37000,"68*")+SUMIFS('Accounting data'!$G$2:$G$37000,'Accounting data'!$H$2:$H$37000,"13*",'Accounting data'!$I$2:$I$37000,"9*",'Accounting data'!$J$2:$J$37000,"2*",'Accounting data'!$K$2:$K$37000,"68*")</f>
        <v>0</v>
      </c>
    </row>
    <row r="1515" spans="1:5" x14ac:dyDescent="0.25">
      <c r="A1515" s="521" t="s">
        <v>1007</v>
      </c>
      <c r="B1515" s="523">
        <v>700</v>
      </c>
      <c r="C1515" s="521">
        <v>3000</v>
      </c>
      <c r="D1515" s="521">
        <v>6800</v>
      </c>
      <c r="E1515" s="522">
        <f>SUMIFS('Accounting data'!$G$2:$G$37000,'Accounting data'!$H$2:$H$37000,"11*",'Accounting data'!$I$2:$I$37000,"7*",'Accounting data'!$J$2:$J$37000,"3*",'Accounting data'!$K$2:$K$37000,"68*")+SUMIFS('Accounting data'!$G$2:$G$37000,'Accounting data'!$H$2:$H$37000,"12*",'Accounting data'!$I$2:$I$37000,"7*",'Accounting data'!$J$2:$J$37000,"3*",'Accounting data'!$K$2:$K$37000,"68*")+SUMIFS('Accounting data'!$G$2:$G$37000,'Accounting data'!$H$2:$H$37000,"13*",'Accounting data'!$I$2:$I$37000,"7*",'Accounting data'!$J$2:$J$37000,"3*",'Accounting data'!$K$2:$K$37000,"68*")</f>
        <v>0</v>
      </c>
    </row>
    <row r="1516" spans="1:5" x14ac:dyDescent="0.25">
      <c r="A1516" s="521" t="s">
        <v>1007</v>
      </c>
      <c r="B1516" s="523">
        <v>800</v>
      </c>
      <c r="C1516" s="521">
        <v>3000</v>
      </c>
      <c r="D1516" s="521">
        <v>6800</v>
      </c>
      <c r="E1516" s="522">
        <f>SUMIFS('Accounting data'!$G$2:$G$37000,'Accounting data'!$H$2:$H$37000,"11*",'Accounting data'!$I$2:$I$37000,"8*",'Accounting data'!$J$2:$J$37000,"3*",'Accounting data'!$K$2:$K$37000,"68*")+SUMIFS('Accounting data'!$G$2:$G$37000,'Accounting data'!$H$2:$H$37000,"12*",'Accounting data'!$I$2:$I$37000,"8*",'Accounting data'!$J$2:$J$37000,"3*",'Accounting data'!$K$2:$K$37000,"68*")+SUMIFS('Accounting data'!$G$2:$G$37000,'Accounting data'!$H$2:$H$37000,"13*",'Accounting data'!$I$2:$I$37000,"8*",'Accounting data'!$J$2:$J$37000,"3*",'Accounting data'!$K$2:$K$37000,"68*")</f>
        <v>0</v>
      </c>
    </row>
    <row r="1517" spans="1:5" x14ac:dyDescent="0.25">
      <c r="A1517" s="521" t="s">
        <v>1007</v>
      </c>
      <c r="B1517" s="523">
        <v>900</v>
      </c>
      <c r="C1517" s="521">
        <v>3000</v>
      </c>
      <c r="D1517" s="521">
        <v>6800</v>
      </c>
      <c r="E1517" s="522">
        <f>SUMIFS('Accounting data'!$G$2:$G$37000,'Accounting data'!$H$2:$H$37000,"11*",'Accounting data'!$I$2:$I$37000,"9*",'Accounting data'!$J$2:$J$37000,"3*",'Accounting data'!$K$2:$K$37000,"68*")+SUMIFS('Accounting data'!$G$2:$G$37000,'Accounting data'!$H$2:$H$37000,"12*",'Accounting data'!$I$2:$I$37000,"9*",'Accounting data'!$J$2:$J$37000,"3*",'Accounting data'!$K$2:$K$37000,"68*")+SUMIFS('Accounting data'!$G$2:$G$37000,'Accounting data'!$H$2:$H$37000,"13*",'Accounting data'!$I$2:$I$37000,"9*",'Accounting data'!$J$2:$J$37000,"3*",'Accounting data'!$K$2:$K$37000,"68*")</f>
        <v>0</v>
      </c>
    </row>
    <row r="1518" spans="1:5" x14ac:dyDescent="0.25">
      <c r="A1518" s="524" t="s">
        <v>1118</v>
      </c>
      <c r="B1518" s="524"/>
      <c r="C1518" s="524"/>
      <c r="D1518" s="524"/>
      <c r="E1518" s="534">
        <f>(E1506+E1507+E1508)-(E1509+E1510+E1511+E1512+E1513+E1514+E1515+E1516+E1517)</f>
        <v>0</v>
      </c>
    </row>
    <row r="1519" spans="1:5" x14ac:dyDescent="0.25">
      <c r="A1519" s="521" t="s">
        <v>991</v>
      </c>
      <c r="B1519" s="521" t="s">
        <v>991</v>
      </c>
      <c r="C1519" s="521">
        <v>4000</v>
      </c>
      <c r="D1519" s="521">
        <v>6800</v>
      </c>
      <c r="E1519" s="522">
        <f>SUMIFS('Accounting data'!G$2:G$37000,'Accounting data'!J$2:J$37000,"4*",'Accounting data'!K$2:K$37000,"68*")</f>
        <v>0</v>
      </c>
    </row>
    <row r="1520" spans="1:5" x14ac:dyDescent="0.25">
      <c r="A1520" s="521" t="s">
        <v>992</v>
      </c>
      <c r="B1520" s="521" t="s">
        <v>991</v>
      </c>
      <c r="C1520" s="521">
        <v>4000</v>
      </c>
      <c r="D1520" s="521">
        <v>6800</v>
      </c>
      <c r="E1520" s="522">
        <f t="array" ref="E1520">SUMIFS('Accounting data'!$G$2:$G$37000,'Accounting data'!$H$2:$H$37000,"9999*",'Accounting data'!$J$2:$J$37000,"4*",'Accounting data'!$K$2:$K$37000,"68*")</f>
        <v>0</v>
      </c>
    </row>
    <row r="1521" spans="1:5" x14ac:dyDescent="0.25">
      <c r="A1521" s="521" t="s">
        <v>991</v>
      </c>
      <c r="B1521" s="521" t="s">
        <v>993</v>
      </c>
      <c r="C1521" s="521">
        <v>4000</v>
      </c>
      <c r="D1521" s="521">
        <v>6800</v>
      </c>
      <c r="E1521" s="522">
        <f t="array" ref="E1521">SUMIFS('Accounting data'!$G$2:$G$37000,'Accounting data'!$I$2:$I$37000,"7*",'Accounting data'!$J$2:$J$37000,"4*",'Accounting data'!$K$2:$K$37000,"68*")+SUMIFS('Accounting data'!$G$2:$G$37000,'Accounting data'!$I$2:$I$37000,"8*",'Accounting data'!$J$2:$J$37000,"4*",'Accounting data'!$K$2:$K$37000,"68*")+SUMIFS('Accounting data'!$G$2:$G$37000,'Accounting data'!$I$2:$I$37000,"9*",'Accounting data'!$J$2:$J$37000,"4*",'Accounting data'!$K$2:$K$37000,"68*")</f>
        <v>0</v>
      </c>
    </row>
    <row r="1522" spans="1:5" x14ac:dyDescent="0.25">
      <c r="A1522" s="523" t="s">
        <v>992</v>
      </c>
      <c r="B1522" s="521" t="s">
        <v>993</v>
      </c>
      <c r="C1522" s="521">
        <v>4000</v>
      </c>
      <c r="D1522" s="521">
        <v>6800</v>
      </c>
      <c r="E1522" s="522">
        <f t="array" ref="E1522">SUMIFS('Accounting data'!$G$2:$G$37000,'Accounting data'!$H$2:$H$37000,"9999*",'Accounting data'!$I$2:$I$37000,"7*",'Accounting data'!$J$2:$J$37000,"4*",'Accounting data'!$K$2:$K$37000,"68*")+SUMIFS('Accounting data'!$G$2:$G$37000,'Accounting data'!$H$2:$H$37000,"9999*",'Accounting data'!$I$2:$I$37000,"8*",'Accounting data'!$J$2:$J$37000,"4*",'Accounting data'!$K$2:$K$37000,"68*")+SUMIFS('Accounting data'!$G$2:$G$37000,'Accounting data'!$H$2:$H$37000,"9999*",'Accounting data'!$I$2:$I$37000,"9*",'Accounting data'!$J$2:$J$37000,"4*",'Accounting data'!$K$2:$K$37000,"68*")</f>
        <v>0</v>
      </c>
    </row>
    <row r="1523" spans="1:5" ht="14.4" x14ac:dyDescent="0.3">
      <c r="A1523" s="524" t="s">
        <v>1119</v>
      </c>
      <c r="B1523" s="524"/>
      <c r="C1523" s="524"/>
      <c r="D1523" s="524"/>
      <c r="E1523" s="525">
        <f>(E1519-E1520-E1521)+E1522</f>
        <v>0</v>
      </c>
    </row>
    <row r="1524" spans="1:5" x14ac:dyDescent="0.25">
      <c r="A1524" s="521" t="s">
        <v>991</v>
      </c>
      <c r="B1524" s="521" t="s">
        <v>991</v>
      </c>
      <c r="C1524" s="521">
        <v>1900</v>
      </c>
      <c r="D1524" s="521">
        <v>6100</v>
      </c>
      <c r="E1524" s="522">
        <f>SUMIFS('Accounting data'!$G$2:$G$37000,'Accounting data'!$J$2:$J$37000,"19*",'Accounting data'!$K$2:$K$37000,"61*")</f>
        <v>0</v>
      </c>
    </row>
    <row r="1525" spans="1:5" x14ac:dyDescent="0.25">
      <c r="A1525" s="521" t="s">
        <v>992</v>
      </c>
      <c r="B1525" s="521" t="s">
        <v>991</v>
      </c>
      <c r="C1525" s="521">
        <v>1900</v>
      </c>
      <c r="D1525" s="521">
        <v>6100</v>
      </c>
      <c r="E1525" s="522">
        <f>SUMIFS('Accounting data'!$G$2:$G$37000,'Accounting data'!$H$2:$H$37000,"9999*",'Accounting data'!$J$2:$J$37000,"19*",'Accounting data'!$K$2:$K$37000,"61*")</f>
        <v>0</v>
      </c>
    </row>
    <row r="1526" spans="1:5" x14ac:dyDescent="0.25">
      <c r="A1526" s="521" t="s">
        <v>991</v>
      </c>
      <c r="B1526" s="521" t="s">
        <v>993</v>
      </c>
      <c r="C1526" s="521">
        <v>1900</v>
      </c>
      <c r="D1526" s="521">
        <v>6100</v>
      </c>
      <c r="E1526" s="522">
        <f>SUMIFS('Accounting data'!$G$2:$G$37000,'Accounting data'!$I$2:$I$37000,"7*",'Accounting data'!$J$2:$J$37000,"19*",'Accounting data'!$K$2:$K$37000,"61*")+SUMIFS('Accounting data'!$G$2:$G$37000,'Accounting data'!$I$2:$I$37000,"8*",'Accounting data'!$J$2:$J$37000,"19*",'Accounting data'!$K$2:$K$37000,"61*")+SUMIFS('Accounting data'!$G$2:$G$37000,'Accounting data'!$I$2:$I$37000,"9*",'Accounting data'!$J$2:$J$37000,"19*",'Accounting data'!$K$2:$K$37000,"61*")</f>
        <v>0</v>
      </c>
    </row>
    <row r="1527" spans="1:5" x14ac:dyDescent="0.25">
      <c r="A1527" s="523" t="s">
        <v>992</v>
      </c>
      <c r="B1527" s="521" t="s">
        <v>993</v>
      </c>
      <c r="C1527" s="521">
        <v>1900</v>
      </c>
      <c r="D1527" s="521">
        <v>6100</v>
      </c>
      <c r="E1527" s="522">
        <f>SUMIFS('Accounting data'!$G$2:$G$37000,'Accounting data'!$H$2:$H$37000,"9999*",'Accounting data'!$I$2:$I$37000,"7*",'Accounting data'!$J$2:$J$37000,"19*",'Accounting data'!$K$2:$K$37000,"61*")+SUMIFS('Accounting data'!$G$2:$G$37000,'Accounting data'!$H$2:$H$37000,"9999*",'Accounting data'!$I$2:$I$37000,"8*",'Accounting data'!$J$2:$J$37000,"19*",'Accounting data'!$K$2:$K$37000,"61*")+SUMIFS('Accounting data'!$G$2:$G$37000,'Accounting data'!$H$2:$H$37000,"9999*",'Accounting data'!$I$2:$I$37000,"9*",'Accounting data'!$J$2:$J$37000,"19*",'Accounting data'!$K$2:$K$37000,"61*")</f>
        <v>0</v>
      </c>
    </row>
    <row r="1528" spans="1:5" x14ac:dyDescent="0.25">
      <c r="A1528" s="524" t="s">
        <v>1120</v>
      </c>
      <c r="B1528" s="524"/>
      <c r="C1528" s="524"/>
      <c r="D1528" s="524"/>
      <c r="E1528" s="534">
        <f>(E1524-E1525-E1526)+E1527</f>
        <v>0</v>
      </c>
    </row>
    <row r="1529" spans="1:5" x14ac:dyDescent="0.25">
      <c r="A1529" s="521" t="s">
        <v>1007</v>
      </c>
      <c r="B1529" s="521" t="s">
        <v>991</v>
      </c>
      <c r="C1529" s="521">
        <v>1900</v>
      </c>
      <c r="D1529" s="521">
        <v>6100</v>
      </c>
      <c r="E1529" s="522">
        <f t="array" ref="E1529">SUMIFS('Accounting data'!$G$2:$G$37000,'Accounting data'!$H$2:$H$37000,"11*",'Accounting data'!$J$2:$J$37000,"19*",'Accounting data'!$K$2:$K$37000,"61*")+SUMIFS('Accounting data'!$G$2:$G$37000,'Accounting data'!$H$2:$H$37000,"12*",'Accounting data'!$J$2:$J$37000,"19*",'Accounting data'!$K$2:$K$37000,"61*")+SUMIFS('Accounting data'!$G$2:$G$37000,'Accounting data'!$H$2:$H$37000,"13*",'Accounting data'!$J$2:$J$37000,"19*",'Accounting data'!$K$2:$K$37000,"61*")</f>
        <v>0</v>
      </c>
    </row>
    <row r="1530" spans="1:5" x14ac:dyDescent="0.25">
      <c r="A1530" s="521" t="s">
        <v>1007</v>
      </c>
      <c r="B1530" s="523">
        <v>700</v>
      </c>
      <c r="C1530" s="521">
        <v>1900</v>
      </c>
      <c r="D1530" s="521">
        <v>6100</v>
      </c>
      <c r="E1530" s="522">
        <f t="array" ref="E1530">SUMIFS('Accounting data'!$G$2:$G$37000,'Accounting data'!$H$2:$H$37000,"11*",'Accounting data'!$I$2:$I$37000,"7*",'Accounting data'!$J$2:$J$37000,"19*",'Accounting data'!$K$2:$K$37000,"61*")+SUMIFS('Accounting data'!$G$2:$G$37000,'Accounting data'!$H$2:$H$37000,"12*",'Accounting data'!$I$2:$I$37000,"7*",'Accounting data'!$J$2:$J$37000,"19*",'Accounting data'!$K$2:$K$37000,"61*")+SUMIFS('Accounting data'!$G$2:$G$37000,'Accounting data'!$H$2:$H$37000,"13*",'Accounting data'!$I$2:$I$37000,"7*",'Accounting data'!$J$2:$J$37000,"19*",'Accounting data'!$K$2:$K$37000,"61*")</f>
        <v>0</v>
      </c>
    </row>
    <row r="1531" spans="1:5" x14ac:dyDescent="0.25">
      <c r="A1531" s="521" t="s">
        <v>1007</v>
      </c>
      <c r="B1531" s="523">
        <v>800</v>
      </c>
      <c r="C1531" s="521">
        <v>1900</v>
      </c>
      <c r="D1531" s="521">
        <v>6100</v>
      </c>
      <c r="E1531" s="522">
        <f t="array" ref="E1531">SUMIFS('Accounting data'!$G$2:$G$37000,'Accounting data'!$H$2:$H$37000,"11*",'Accounting data'!$I$2:$I$37000,"8*",'Accounting data'!$J$2:$J$37000,"19*",'Accounting data'!$K$2:$K$37000,"61*")+SUMIFS('Accounting data'!$G$2:$G$37000,'Accounting data'!$H$2:$H$37000,"12*",'Accounting data'!$I$2:$I$37000,"8*",'Accounting data'!$J$2:$J$37000,"19*",'Accounting data'!$K$2:$K$37000,"61*")+SUMIFS('Accounting data'!$G$2:$G$37000,'Accounting data'!$H$2:$H$37000,"13*",'Accounting data'!$I$2:$I$37000,"8*",'Accounting data'!$J$2:$J$37000,"19*",'Accounting data'!$K$2:$K$37000,"61*")</f>
        <v>0</v>
      </c>
    </row>
    <row r="1532" spans="1:5" x14ac:dyDescent="0.25">
      <c r="A1532" s="521" t="s">
        <v>1007</v>
      </c>
      <c r="B1532" s="523">
        <v>900</v>
      </c>
      <c r="C1532" s="521">
        <v>1900</v>
      </c>
      <c r="D1532" s="521">
        <v>6100</v>
      </c>
      <c r="E1532" s="522">
        <f t="array" ref="E1532">SUMIFS('Accounting data'!$G$2:$G$37000,'Accounting data'!$H$2:$H$37000,"11*",'Accounting data'!$I$2:$I$37000,"9*",'Accounting data'!$J$2:$J$37000,"19*",'Accounting data'!$K$2:$K$37000,"61*")+SUMIFS('Accounting data'!$G$2:$G$37000,'Accounting data'!$H$2:$H$37000,"12*",'Accounting data'!$I$2:$I$37000,"9*",'Accounting data'!$J$2:$J$37000,"19*",'Accounting data'!$K$2:$K$37000,"61*")+SUMIFS('Accounting data'!$G$2:$G$37000,'Accounting data'!$H$2:$H$37000,"13*",'Accounting data'!$I$2:$I$37000,"9*",'Accounting data'!$J$2:$J$37000,"19*",'Accounting data'!$K$2:$K$37000,"61*")</f>
        <v>0</v>
      </c>
    </row>
    <row r="1533" spans="1:5" x14ac:dyDescent="0.25">
      <c r="A1533" s="524" t="s">
        <v>1121</v>
      </c>
      <c r="B1533" s="524"/>
      <c r="C1533" s="524"/>
      <c r="D1533" s="524"/>
      <c r="E1533" s="534">
        <f>E1529-(E1530+E1531+E1532)</f>
        <v>0</v>
      </c>
    </row>
    <row r="1534" spans="1:5" x14ac:dyDescent="0.25">
      <c r="A1534" s="527" t="s">
        <v>1122</v>
      </c>
      <c r="B1534" s="527"/>
      <c r="C1534" s="527"/>
      <c r="D1534" s="527"/>
      <c r="E1534" s="531">
        <f>E1528-E1533</f>
        <v>0</v>
      </c>
    </row>
    <row r="1535" spans="1:5" x14ac:dyDescent="0.25">
      <c r="A1535" s="535" t="s">
        <v>991</v>
      </c>
      <c r="B1535" s="535" t="s">
        <v>991</v>
      </c>
      <c r="C1535" s="535">
        <v>5000</v>
      </c>
      <c r="D1535" s="535">
        <v>6800</v>
      </c>
      <c r="E1535" s="536">
        <f>SUMIFS('Accounting data'!G$2:G$37000,'Accounting data'!J$2:J$37000,"5*",'Accounting data'!K$2:K$37000,"68*")</f>
        <v>182777</v>
      </c>
    </row>
    <row r="1536" spans="1:5" x14ac:dyDescent="0.25">
      <c r="A1536" s="535" t="s">
        <v>992</v>
      </c>
      <c r="B1536" s="535" t="s">
        <v>991</v>
      </c>
      <c r="C1536" s="535">
        <v>5000</v>
      </c>
      <c r="D1536" s="535">
        <v>6800</v>
      </c>
      <c r="E1536" s="536">
        <f>SUMIFS('Accounting data'!$G$2:$G$37000,'Accounting data'!$H$2:$H$37000,"9999*",'Accounting data'!$J$2:$J$37000,"5*",'Accounting data'!$K$2:$K$37000,"68*")</f>
        <v>0</v>
      </c>
    </row>
    <row r="1537" spans="1:5" x14ac:dyDescent="0.25">
      <c r="A1537" s="535" t="s">
        <v>991</v>
      </c>
      <c r="B1537" s="535" t="s">
        <v>993</v>
      </c>
      <c r="C1537" s="535">
        <v>5000</v>
      </c>
      <c r="D1537" s="535">
        <v>6800</v>
      </c>
      <c r="E1537" s="536">
        <f>SUMIFS('Accounting data'!$G$2:$G$37000,'Accounting data'!$I$2:$I$37000,"7*",'Accounting data'!$J$2:$J$37000,"5*",'Accounting data'!$K$2:$K$37000,"68*")+SUMIFS('Accounting data'!$G$2:$G$37000,'Accounting data'!$I$2:$I$37000,"8*",'Accounting data'!$J$2:$J$37000,"5*",'Accounting data'!$K$2:$K$37000,"68*")+SUMIFS('Accounting data'!$G$2:$G$37000,'Accounting data'!$I$2:$I$37000,"9*",'Accounting data'!$J$2:$J$37000,"5*",'Accounting data'!$K$2:$K$37000,"68*")</f>
        <v>0</v>
      </c>
    </row>
    <row r="1538" spans="1:5" x14ac:dyDescent="0.25">
      <c r="A1538" s="537" t="s">
        <v>992</v>
      </c>
      <c r="B1538" s="535" t="s">
        <v>993</v>
      </c>
      <c r="C1538" s="535">
        <v>5000</v>
      </c>
      <c r="D1538" s="535">
        <v>6800</v>
      </c>
      <c r="E1538" s="536">
        <f>SUMIFS('Accounting data'!$G$2:$G$37000,'Accounting data'!$H$2:$H$37000,"9999*",'Accounting data'!$I$2:$I$37000,"7*",'Accounting data'!$J$2:$J$37000,"5*",'Accounting data'!$K$2:$K$37000,"68*")+SUMIFS('Accounting data'!$G$2:$G$37000,'Accounting data'!$H$2:$H$37000,"9999*",'Accounting data'!$I$2:$I$37000,"8*",'Accounting data'!$J$2:$J$37000,"5*",'Accounting data'!$K$2:$K$37000,"68*")+SUMIFS('Accounting data'!$G$2:$G$37000,'Accounting data'!$H$2:$H$37000,"9999*",'Accounting data'!$I$2:$I$37000,"9*",'Accounting data'!$J$2:$J$37000,"5*",'Accounting data'!$K$2:$K$37000,"68*")</f>
        <v>0</v>
      </c>
    </row>
    <row r="1539" spans="1:5" ht="14.4" x14ac:dyDescent="0.3">
      <c r="A1539" s="538" t="s">
        <v>1123</v>
      </c>
      <c r="B1539" s="538"/>
      <c r="C1539" s="538"/>
      <c r="D1539" s="538"/>
      <c r="E1539" s="525">
        <f>(E1535-E1536-E1537)+E1538</f>
        <v>182777</v>
      </c>
    </row>
  </sheetData>
  <sheetProtection sheet="1" objects="1" scenarios="1"/>
  <autoFilter ref="A1:E1534" xr:uid="{00000000-0009-0000-0000-000012000000}"/>
  <printOptions horizontalCentered="1"/>
  <pageMargins left="0.7" right="0.7" top="0.75" bottom="0.75" header="0.3" footer="0.3"/>
  <pageSetup scale="27" fitToHeight="8" orientation="portrait" r:id="rId1"/>
  <headerFooter>
    <oddFooter>&amp;LRev. 8/25 Arizona Department of Education and Auditor General&amp;CFY 2025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EF4-8459-440D-AC21-22BDF4A2DA81}">
  <sheetPr>
    <pageSetUpPr fitToPage="1"/>
  </sheetPr>
  <dimension ref="A1:D141"/>
  <sheetViews>
    <sheetView showGridLines="0" topLeftCell="A51" workbookViewId="0">
      <selection activeCell="C52" sqref="C52"/>
    </sheetView>
  </sheetViews>
  <sheetFormatPr defaultColWidth="9.33203125" defaultRowHeight="13.2" x14ac:dyDescent="0.25"/>
  <cols>
    <col min="1" max="1" width="11.77734375" style="153" customWidth="1"/>
    <col min="2" max="2" width="25" style="153" customWidth="1"/>
    <col min="3" max="3" width="112.21875" style="153" customWidth="1"/>
    <col min="4" max="4" width="32.6640625" style="514" customWidth="1"/>
    <col min="5" max="5" width="9.33203125" style="153" customWidth="1"/>
    <col min="6" max="6" width="17.6640625" style="153" customWidth="1"/>
    <col min="7" max="10" width="9.33203125" style="153" customWidth="1"/>
    <col min="11" max="16384" width="9.33203125" style="153"/>
  </cols>
  <sheetData>
    <row r="1" spans="1:4" ht="24.75" customHeight="1" x14ac:dyDescent="0.25">
      <c r="A1" s="700" t="s">
        <v>724</v>
      </c>
      <c r="B1" s="700" t="s">
        <v>725</v>
      </c>
      <c r="C1" s="700" t="s">
        <v>726</v>
      </c>
      <c r="D1" s="700" t="s">
        <v>727</v>
      </c>
    </row>
    <row r="2" spans="1:4" ht="65.25" customHeight="1" x14ac:dyDescent="0.25">
      <c r="A2" s="999" t="s">
        <v>728</v>
      </c>
      <c r="B2" s="1000"/>
      <c r="C2" s="701" t="s">
        <v>729</v>
      </c>
      <c r="D2" s="702"/>
    </row>
    <row r="3" spans="1:4" ht="68.25" customHeight="1" x14ac:dyDescent="0.25">
      <c r="A3" s="1001"/>
      <c r="B3" s="1002"/>
      <c r="C3" s="703" t="s">
        <v>730</v>
      </c>
      <c r="D3" s="702"/>
    </row>
    <row r="4" spans="1:4" ht="73.5" customHeight="1" x14ac:dyDescent="0.25">
      <c r="A4" s="1001"/>
      <c r="B4" s="1002"/>
      <c r="C4" s="704" t="s">
        <v>1124</v>
      </c>
      <c r="D4" s="702"/>
    </row>
    <row r="5" spans="1:4" ht="216.75" customHeight="1" x14ac:dyDescent="0.25">
      <c r="A5" s="1001"/>
      <c r="B5" s="1002"/>
      <c r="C5" s="705" t="s">
        <v>1345</v>
      </c>
      <c r="D5" s="702"/>
    </row>
    <row r="6" spans="1:4" ht="85.5" customHeight="1" x14ac:dyDescent="0.25">
      <c r="A6" s="1003"/>
      <c r="B6" s="1004"/>
      <c r="C6" s="704" t="s">
        <v>731</v>
      </c>
      <c r="D6" s="702"/>
    </row>
    <row r="7" spans="1:4" ht="54.45" customHeight="1" x14ac:dyDescent="0.25">
      <c r="A7" s="509" t="s">
        <v>732</v>
      </c>
      <c r="B7" s="706" t="s">
        <v>733</v>
      </c>
      <c r="C7" s="704" t="s">
        <v>734</v>
      </c>
      <c r="D7" s="702"/>
    </row>
    <row r="8" spans="1:4" ht="93" customHeight="1" x14ac:dyDescent="0.25">
      <c r="A8" s="509" t="s">
        <v>732</v>
      </c>
      <c r="B8" s="707" t="s">
        <v>1287</v>
      </c>
      <c r="C8" s="686" t="s">
        <v>1296</v>
      </c>
      <c r="D8" s="708" t="s">
        <v>1297</v>
      </c>
    </row>
    <row r="9" spans="1:4" ht="187.5" customHeight="1" x14ac:dyDescent="0.25">
      <c r="A9" s="510" t="s">
        <v>735</v>
      </c>
      <c r="B9" s="706" t="s">
        <v>733</v>
      </c>
      <c r="C9" s="705" t="s">
        <v>1346</v>
      </c>
      <c r="D9" s="702"/>
    </row>
    <row r="10" spans="1:4" ht="190.05" customHeight="1" x14ac:dyDescent="0.25">
      <c r="A10" s="1005" t="s">
        <v>736</v>
      </c>
      <c r="B10" s="1007" t="s">
        <v>728</v>
      </c>
      <c r="C10" s="703" t="s">
        <v>737</v>
      </c>
      <c r="D10" s="702"/>
    </row>
    <row r="11" spans="1:4" ht="217.5" customHeight="1" x14ac:dyDescent="0.25">
      <c r="A11" s="1006"/>
      <c r="B11" s="1008"/>
      <c r="C11" s="709" t="s">
        <v>1288</v>
      </c>
      <c r="D11" s="702"/>
    </row>
    <row r="12" spans="1:4" ht="21" customHeight="1" x14ac:dyDescent="0.25">
      <c r="A12" s="511">
        <v>1</v>
      </c>
      <c r="B12" s="710" t="s">
        <v>728</v>
      </c>
      <c r="C12" s="704" t="s">
        <v>738</v>
      </c>
      <c r="D12" s="702"/>
    </row>
    <row r="13" spans="1:4" ht="54" customHeight="1" x14ac:dyDescent="0.25">
      <c r="A13" s="512">
        <v>1</v>
      </c>
      <c r="B13" s="710" t="s">
        <v>739</v>
      </c>
      <c r="C13" s="711" t="s">
        <v>1347</v>
      </c>
      <c r="D13" s="702"/>
    </row>
    <row r="14" spans="1:4" ht="122.25" customHeight="1" x14ac:dyDescent="0.25">
      <c r="A14" s="512">
        <v>1</v>
      </c>
      <c r="B14" s="712" t="s">
        <v>1348</v>
      </c>
      <c r="C14" s="713" t="s">
        <v>740</v>
      </c>
      <c r="D14" s="702"/>
    </row>
    <row r="15" spans="1:4" ht="69.75" customHeight="1" x14ac:dyDescent="0.25">
      <c r="A15" s="512">
        <v>1</v>
      </c>
      <c r="B15" s="712" t="s">
        <v>1349</v>
      </c>
      <c r="C15" s="714" t="s">
        <v>1350</v>
      </c>
      <c r="D15" s="702"/>
    </row>
    <row r="16" spans="1:4" ht="69.75" customHeight="1" x14ac:dyDescent="0.25">
      <c r="A16" s="512">
        <v>1</v>
      </c>
      <c r="B16" s="712" t="s">
        <v>1351</v>
      </c>
      <c r="C16" s="713" t="s">
        <v>741</v>
      </c>
      <c r="D16" s="702"/>
    </row>
    <row r="17" spans="1:4" ht="129" customHeight="1" x14ac:dyDescent="0.25">
      <c r="A17" s="511">
        <v>2</v>
      </c>
      <c r="B17" s="715" t="s">
        <v>742</v>
      </c>
      <c r="C17" s="713" t="s">
        <v>743</v>
      </c>
      <c r="D17" s="704"/>
    </row>
    <row r="18" spans="1:4" ht="54.75" customHeight="1" x14ac:dyDescent="0.25">
      <c r="A18" s="511">
        <v>2</v>
      </c>
      <c r="B18" s="715" t="s">
        <v>744</v>
      </c>
      <c r="C18" s="716" t="s">
        <v>1356</v>
      </c>
      <c r="D18" s="702"/>
    </row>
    <row r="19" spans="1:4" ht="84" customHeight="1" x14ac:dyDescent="0.25">
      <c r="A19" s="589">
        <v>3</v>
      </c>
      <c r="B19" s="715" t="s">
        <v>162</v>
      </c>
      <c r="C19" s="717" t="s">
        <v>745</v>
      </c>
      <c r="D19" s="718"/>
    </row>
    <row r="20" spans="1:4" ht="54" customHeight="1" x14ac:dyDescent="0.25">
      <c r="A20" s="589">
        <v>3</v>
      </c>
      <c r="B20" s="715" t="s">
        <v>746</v>
      </c>
      <c r="C20" s="717" t="s">
        <v>747</v>
      </c>
      <c r="D20" s="719"/>
    </row>
    <row r="21" spans="1:4" ht="42.75" customHeight="1" x14ac:dyDescent="0.25">
      <c r="A21" s="590">
        <v>3</v>
      </c>
      <c r="B21" s="715" t="s">
        <v>748</v>
      </c>
      <c r="C21" s="717" t="s">
        <v>749</v>
      </c>
      <c r="D21" s="719"/>
    </row>
    <row r="22" spans="1:4" ht="69.75" customHeight="1" x14ac:dyDescent="0.25">
      <c r="A22" s="644">
        <v>3</v>
      </c>
      <c r="B22" s="715" t="s">
        <v>750</v>
      </c>
      <c r="C22" s="717" t="s">
        <v>1144</v>
      </c>
      <c r="D22" s="718"/>
    </row>
    <row r="23" spans="1:4" ht="51" customHeight="1" x14ac:dyDescent="0.25">
      <c r="A23" s="644">
        <v>3</v>
      </c>
      <c r="B23" s="707" t="s">
        <v>838</v>
      </c>
      <c r="C23" s="687" t="s">
        <v>1352</v>
      </c>
      <c r="D23" s="720" t="s">
        <v>1383</v>
      </c>
    </row>
    <row r="24" spans="1:4" ht="124.5" customHeight="1" x14ac:dyDescent="0.25">
      <c r="A24" s="589">
        <v>4</v>
      </c>
      <c r="B24" s="715" t="s">
        <v>751</v>
      </c>
      <c r="C24" s="713" t="s">
        <v>752</v>
      </c>
      <c r="D24" s="721"/>
    </row>
    <row r="25" spans="1:4" ht="52.95" customHeight="1" x14ac:dyDescent="0.25">
      <c r="A25" s="644">
        <v>4</v>
      </c>
      <c r="B25" s="707" t="s">
        <v>838</v>
      </c>
      <c r="C25" s="687" t="s">
        <v>1353</v>
      </c>
      <c r="D25" s="708" t="s">
        <v>1384</v>
      </c>
    </row>
    <row r="26" spans="1:4" ht="58.95" customHeight="1" x14ac:dyDescent="0.25">
      <c r="A26" s="644">
        <v>5</v>
      </c>
      <c r="B26" s="707" t="s">
        <v>838</v>
      </c>
      <c r="C26" s="687" t="s">
        <v>1354</v>
      </c>
      <c r="D26" s="708" t="s">
        <v>1385</v>
      </c>
    </row>
    <row r="27" spans="1:4" ht="99.75" customHeight="1" x14ac:dyDescent="0.25">
      <c r="A27" s="589">
        <v>6</v>
      </c>
      <c r="B27" s="715" t="s">
        <v>753</v>
      </c>
      <c r="C27" s="722" t="s">
        <v>1355</v>
      </c>
      <c r="D27" s="702"/>
    </row>
    <row r="28" spans="1:4" ht="93.75" customHeight="1" x14ac:dyDescent="0.25">
      <c r="A28" s="589">
        <v>6</v>
      </c>
      <c r="B28" s="715" t="s">
        <v>754</v>
      </c>
      <c r="C28" s="714" t="s">
        <v>1376</v>
      </c>
      <c r="D28" s="702"/>
    </row>
    <row r="29" spans="1:4" ht="45.75" customHeight="1" x14ac:dyDescent="0.25">
      <c r="A29" s="589">
        <v>6</v>
      </c>
      <c r="B29" s="715" t="s">
        <v>755</v>
      </c>
      <c r="C29" s="714" t="s">
        <v>1357</v>
      </c>
      <c r="D29" s="702"/>
    </row>
    <row r="30" spans="1:4" ht="111" customHeight="1" x14ac:dyDescent="0.25">
      <c r="A30" s="589">
        <v>6</v>
      </c>
      <c r="B30" s="715" t="s">
        <v>756</v>
      </c>
      <c r="C30" s="714" t="s">
        <v>1377</v>
      </c>
      <c r="D30" s="702"/>
    </row>
    <row r="31" spans="1:4" ht="39.6" x14ac:dyDescent="0.25">
      <c r="A31" s="589">
        <v>6</v>
      </c>
      <c r="B31" s="715" t="s">
        <v>757</v>
      </c>
      <c r="C31" s="714" t="s">
        <v>1358</v>
      </c>
      <c r="D31" s="702"/>
    </row>
    <row r="32" spans="1:4" ht="173.25" customHeight="1" x14ac:dyDescent="0.25">
      <c r="A32" s="589">
        <v>6</v>
      </c>
      <c r="B32" s="715" t="s">
        <v>758</v>
      </c>
      <c r="C32" s="713" t="s">
        <v>759</v>
      </c>
      <c r="D32" s="702"/>
    </row>
    <row r="33" spans="1:4" ht="69.75" customHeight="1" x14ac:dyDescent="0.25">
      <c r="A33" s="589">
        <v>6</v>
      </c>
      <c r="B33" s="723" t="s">
        <v>760</v>
      </c>
      <c r="C33" s="713" t="s">
        <v>761</v>
      </c>
      <c r="D33" s="702"/>
    </row>
    <row r="34" spans="1:4" ht="53.25" customHeight="1" x14ac:dyDescent="0.25">
      <c r="A34" s="589">
        <v>6</v>
      </c>
      <c r="B34" s="724" t="s">
        <v>1257</v>
      </c>
      <c r="C34" s="725" t="s">
        <v>762</v>
      </c>
      <c r="D34" s="726"/>
    </row>
    <row r="35" spans="1:4" ht="77.25" customHeight="1" x14ac:dyDescent="0.25">
      <c r="A35" s="589">
        <v>6</v>
      </c>
      <c r="B35" s="715" t="s">
        <v>763</v>
      </c>
      <c r="C35" s="701" t="s">
        <v>764</v>
      </c>
      <c r="D35" s="702"/>
    </row>
    <row r="36" spans="1:4" ht="45.75" customHeight="1" x14ac:dyDescent="0.25">
      <c r="A36" s="589">
        <v>6</v>
      </c>
      <c r="B36" s="715" t="s">
        <v>765</v>
      </c>
      <c r="C36" s="713" t="s">
        <v>766</v>
      </c>
      <c r="D36" s="702"/>
    </row>
    <row r="37" spans="1:4" ht="47.25" customHeight="1" x14ac:dyDescent="0.25">
      <c r="A37" s="589">
        <v>6</v>
      </c>
      <c r="B37" s="715" t="s">
        <v>767</v>
      </c>
      <c r="C37" s="713" t="s">
        <v>768</v>
      </c>
      <c r="D37" s="702"/>
    </row>
    <row r="38" spans="1:4" ht="39.6" x14ac:dyDescent="0.25">
      <c r="A38" s="589">
        <v>6</v>
      </c>
      <c r="B38" s="715" t="s">
        <v>769</v>
      </c>
      <c r="C38" s="713" t="s">
        <v>770</v>
      </c>
      <c r="D38" s="702"/>
    </row>
    <row r="39" spans="1:4" ht="39.6" x14ac:dyDescent="0.25">
      <c r="A39" s="589">
        <v>6</v>
      </c>
      <c r="B39" s="715" t="s">
        <v>771</v>
      </c>
      <c r="C39" s="713" t="s">
        <v>772</v>
      </c>
      <c r="D39" s="702"/>
    </row>
    <row r="40" spans="1:4" s="156" customFormat="1" ht="39.6" x14ac:dyDescent="0.25">
      <c r="A40" s="589">
        <v>6</v>
      </c>
      <c r="B40" s="723" t="s">
        <v>773</v>
      </c>
      <c r="C40" s="713" t="s">
        <v>774</v>
      </c>
      <c r="D40" s="719"/>
    </row>
    <row r="41" spans="1:4" s="156" customFormat="1" ht="57.75" customHeight="1" x14ac:dyDescent="0.25">
      <c r="A41" s="589">
        <v>6</v>
      </c>
      <c r="B41" s="723" t="s">
        <v>775</v>
      </c>
      <c r="C41" s="714" t="s">
        <v>1359</v>
      </c>
      <c r="D41" s="727"/>
    </row>
    <row r="42" spans="1:4" s="156" customFormat="1" ht="30.75" customHeight="1" x14ac:dyDescent="0.25">
      <c r="A42" s="589">
        <v>7</v>
      </c>
      <c r="B42" s="715" t="s">
        <v>776</v>
      </c>
      <c r="C42" s="713" t="s">
        <v>777</v>
      </c>
      <c r="D42" s="719"/>
    </row>
    <row r="43" spans="1:4" ht="114.75" customHeight="1" x14ac:dyDescent="0.25">
      <c r="A43" s="589">
        <v>7</v>
      </c>
      <c r="B43" s="715" t="s">
        <v>778</v>
      </c>
      <c r="C43" s="701" t="s">
        <v>779</v>
      </c>
      <c r="D43" s="702"/>
    </row>
    <row r="44" spans="1:4" ht="42" customHeight="1" x14ac:dyDescent="0.25">
      <c r="A44" s="589">
        <v>7</v>
      </c>
      <c r="B44" s="715" t="s">
        <v>780</v>
      </c>
      <c r="C44" s="704" t="s">
        <v>781</v>
      </c>
      <c r="D44" s="702"/>
    </row>
    <row r="45" spans="1:4" ht="39.75" customHeight="1" x14ac:dyDescent="0.25">
      <c r="A45" s="589">
        <v>7</v>
      </c>
      <c r="B45" s="715" t="s">
        <v>782</v>
      </c>
      <c r="C45" s="713" t="s">
        <v>783</v>
      </c>
      <c r="D45" s="702"/>
    </row>
    <row r="46" spans="1:4" ht="54" customHeight="1" x14ac:dyDescent="0.25">
      <c r="A46" s="589">
        <v>8</v>
      </c>
      <c r="B46" s="715" t="s">
        <v>838</v>
      </c>
      <c r="C46" s="711" t="s">
        <v>1360</v>
      </c>
      <c r="D46" s="702"/>
    </row>
    <row r="47" spans="1:4" ht="114" customHeight="1" x14ac:dyDescent="0.25">
      <c r="A47" s="589">
        <v>8</v>
      </c>
      <c r="B47" s="715" t="s">
        <v>307</v>
      </c>
      <c r="C47" s="728" t="s">
        <v>1143</v>
      </c>
      <c r="D47" s="728"/>
    </row>
    <row r="48" spans="1:4" ht="114.75" customHeight="1" x14ac:dyDescent="0.25">
      <c r="A48" s="589">
        <v>8</v>
      </c>
      <c r="B48" s="715" t="s">
        <v>784</v>
      </c>
      <c r="C48" s="713" t="s">
        <v>785</v>
      </c>
      <c r="D48" s="729"/>
    </row>
    <row r="49" spans="1:4" ht="30" customHeight="1" x14ac:dyDescent="0.25">
      <c r="A49" s="589">
        <v>8</v>
      </c>
      <c r="B49" s="715" t="s">
        <v>1142</v>
      </c>
      <c r="C49" s="704" t="s">
        <v>786</v>
      </c>
      <c r="D49" s="702"/>
    </row>
    <row r="50" spans="1:4" ht="265.5" customHeight="1" x14ac:dyDescent="0.25">
      <c r="A50" s="589">
        <v>9</v>
      </c>
      <c r="B50" s="715" t="s">
        <v>728</v>
      </c>
      <c r="C50" s="714" t="s">
        <v>1361</v>
      </c>
      <c r="D50" s="702"/>
    </row>
    <row r="51" spans="1:4" ht="69" customHeight="1" x14ac:dyDescent="0.25">
      <c r="A51" s="589">
        <v>9</v>
      </c>
      <c r="B51" s="715" t="s">
        <v>159</v>
      </c>
      <c r="C51" s="704" t="s">
        <v>1149</v>
      </c>
      <c r="D51" s="702"/>
    </row>
    <row r="52" spans="1:4" ht="69.75" customHeight="1" x14ac:dyDescent="0.25">
      <c r="A52" s="589">
        <v>9</v>
      </c>
      <c r="B52" s="723" t="s">
        <v>389</v>
      </c>
      <c r="C52" s="701" t="s">
        <v>1150</v>
      </c>
      <c r="D52" s="702"/>
    </row>
    <row r="53" spans="1:4" ht="53.25" customHeight="1" x14ac:dyDescent="0.25">
      <c r="A53" s="589">
        <v>9</v>
      </c>
      <c r="B53" s="715" t="s">
        <v>398</v>
      </c>
      <c r="C53" s="730" t="s">
        <v>1151</v>
      </c>
      <c r="D53" s="702"/>
    </row>
    <row r="54" spans="1:4" ht="107.25" customHeight="1" x14ac:dyDescent="0.25">
      <c r="A54" s="588">
        <v>9</v>
      </c>
      <c r="B54" s="723" t="s">
        <v>787</v>
      </c>
      <c r="C54" s="731" t="s">
        <v>788</v>
      </c>
      <c r="D54" s="702"/>
    </row>
    <row r="55" spans="1:4" ht="18" customHeight="1" x14ac:dyDescent="0.25">
      <c r="A55" s="591"/>
      <c r="B55" s="732"/>
      <c r="C55" s="513" t="s">
        <v>789</v>
      </c>
      <c r="D55" s="702"/>
    </row>
    <row r="56" spans="1:4" ht="53.25" customHeight="1" x14ac:dyDescent="0.25">
      <c r="A56" s="591"/>
      <c r="B56" s="732"/>
      <c r="C56" s="731" t="s">
        <v>790</v>
      </c>
      <c r="D56" s="702"/>
    </row>
    <row r="57" spans="1:4" ht="21.75" customHeight="1" x14ac:dyDescent="0.25">
      <c r="A57" s="591"/>
      <c r="B57" s="732"/>
      <c r="C57" s="513" t="s">
        <v>791</v>
      </c>
      <c r="D57" s="702"/>
    </row>
    <row r="58" spans="1:4" ht="52.5" customHeight="1" x14ac:dyDescent="0.25">
      <c r="A58" s="591"/>
      <c r="B58" s="732"/>
      <c r="C58" s="731" t="s">
        <v>792</v>
      </c>
      <c r="D58" s="702"/>
    </row>
    <row r="59" spans="1:4" ht="19.5" customHeight="1" x14ac:dyDescent="0.25">
      <c r="A59" s="592"/>
      <c r="B59" s="732"/>
      <c r="C59" s="513" t="s">
        <v>793</v>
      </c>
      <c r="D59" s="702"/>
    </row>
    <row r="60" spans="1:4" ht="51" customHeight="1" x14ac:dyDescent="0.25">
      <c r="A60" s="592"/>
      <c r="B60" s="732"/>
      <c r="C60" s="731" t="s">
        <v>794</v>
      </c>
      <c r="D60" s="702"/>
    </row>
    <row r="61" spans="1:4" ht="19.5" customHeight="1" x14ac:dyDescent="0.25">
      <c r="A61" s="592"/>
      <c r="B61" s="732"/>
      <c r="C61" s="513" t="s">
        <v>795</v>
      </c>
      <c r="D61" s="702"/>
    </row>
    <row r="62" spans="1:4" ht="29.25" customHeight="1" x14ac:dyDescent="0.25">
      <c r="A62" s="592"/>
      <c r="B62" s="732"/>
      <c r="C62" s="731" t="s">
        <v>796</v>
      </c>
      <c r="D62" s="702"/>
    </row>
    <row r="63" spans="1:4" ht="19.5" customHeight="1" x14ac:dyDescent="0.25">
      <c r="A63" s="593"/>
      <c r="B63" s="732"/>
      <c r="C63" s="513" t="s">
        <v>797</v>
      </c>
      <c r="D63" s="702"/>
    </row>
    <row r="64" spans="1:4" ht="138.75" customHeight="1" x14ac:dyDescent="0.25">
      <c r="A64" s="589">
        <v>9</v>
      </c>
      <c r="B64" s="715" t="s">
        <v>798</v>
      </c>
      <c r="C64" s="701" t="s">
        <v>799</v>
      </c>
      <c r="D64" s="702"/>
    </row>
    <row r="65" spans="1:4" ht="171" customHeight="1" x14ac:dyDescent="0.25">
      <c r="A65" s="589">
        <v>9</v>
      </c>
      <c r="B65" s="706" t="s">
        <v>387</v>
      </c>
      <c r="C65" s="701" t="s">
        <v>800</v>
      </c>
      <c r="D65" s="702"/>
    </row>
    <row r="66" spans="1:4" ht="57" customHeight="1" x14ac:dyDescent="0.25">
      <c r="A66" s="589">
        <v>9</v>
      </c>
      <c r="B66" s="706" t="s">
        <v>801</v>
      </c>
      <c r="C66" s="701" t="s">
        <v>802</v>
      </c>
      <c r="D66" s="702"/>
    </row>
    <row r="67" spans="1:4" ht="213" customHeight="1" x14ac:dyDescent="0.25">
      <c r="A67" s="589">
        <v>9</v>
      </c>
      <c r="B67" s="715" t="s">
        <v>803</v>
      </c>
      <c r="C67" s="713" t="s">
        <v>804</v>
      </c>
      <c r="D67" s="733"/>
    </row>
    <row r="68" spans="1:4" ht="60" customHeight="1" x14ac:dyDescent="0.25">
      <c r="A68" s="589">
        <v>9</v>
      </c>
      <c r="B68" s="715" t="s">
        <v>415</v>
      </c>
      <c r="C68" s="734" t="s">
        <v>805</v>
      </c>
      <c r="D68" s="735"/>
    </row>
    <row r="69" spans="1:4" ht="57.75" customHeight="1" x14ac:dyDescent="0.25">
      <c r="A69" s="588">
        <v>10</v>
      </c>
      <c r="B69" s="715" t="s">
        <v>728</v>
      </c>
      <c r="C69" s="736" t="s">
        <v>806</v>
      </c>
      <c r="D69" s="728"/>
    </row>
    <row r="70" spans="1:4" ht="60" customHeight="1" x14ac:dyDescent="0.25">
      <c r="A70" s="588">
        <v>10</v>
      </c>
      <c r="B70" s="715" t="s">
        <v>420</v>
      </c>
      <c r="C70" s="734" t="s">
        <v>807</v>
      </c>
      <c r="D70" s="728"/>
    </row>
    <row r="71" spans="1:4" ht="60" customHeight="1" x14ac:dyDescent="0.25">
      <c r="A71" s="588">
        <v>10</v>
      </c>
      <c r="B71" s="715" t="s">
        <v>808</v>
      </c>
      <c r="C71" s="717" t="s">
        <v>809</v>
      </c>
      <c r="D71" s="735"/>
    </row>
    <row r="72" spans="1:4" ht="60" customHeight="1" x14ac:dyDescent="0.25">
      <c r="A72" s="588">
        <v>10</v>
      </c>
      <c r="B72" s="715" t="s">
        <v>810</v>
      </c>
      <c r="C72" s="717" t="s">
        <v>811</v>
      </c>
      <c r="D72" s="735"/>
    </row>
    <row r="73" spans="1:4" ht="67.5" customHeight="1" x14ac:dyDescent="0.25">
      <c r="A73" s="588">
        <v>10</v>
      </c>
      <c r="B73" s="715" t="s">
        <v>159</v>
      </c>
      <c r="C73" s="717" t="s">
        <v>812</v>
      </c>
      <c r="D73" s="735"/>
    </row>
    <row r="74" spans="1:4" ht="81.75" customHeight="1" x14ac:dyDescent="0.25">
      <c r="A74" s="588">
        <v>10</v>
      </c>
      <c r="B74" s="715" t="s">
        <v>813</v>
      </c>
      <c r="C74" s="717" t="s">
        <v>814</v>
      </c>
      <c r="D74" s="735"/>
    </row>
    <row r="75" spans="1:4" ht="60" customHeight="1" x14ac:dyDescent="0.25">
      <c r="A75" s="588">
        <v>10</v>
      </c>
      <c r="B75" s="715" t="s">
        <v>815</v>
      </c>
      <c r="C75" s="717" t="s">
        <v>816</v>
      </c>
      <c r="D75" s="735"/>
    </row>
    <row r="76" spans="1:4" ht="60" customHeight="1" x14ac:dyDescent="0.25">
      <c r="A76" s="1009">
        <v>10</v>
      </c>
      <c r="B76" s="1011" t="s">
        <v>458</v>
      </c>
      <c r="C76" s="737" t="s">
        <v>1153</v>
      </c>
      <c r="D76" s="738"/>
    </row>
    <row r="77" spans="1:4" ht="19.5" customHeight="1" x14ac:dyDescent="0.25">
      <c r="A77" s="1010"/>
      <c r="B77" s="1012"/>
      <c r="C77" s="610" t="s">
        <v>817</v>
      </c>
      <c r="D77" s="719"/>
    </row>
    <row r="78" spans="1:4" ht="44.25" customHeight="1" x14ac:dyDescent="0.25">
      <c r="A78" s="588">
        <v>10</v>
      </c>
      <c r="B78" s="715" t="s">
        <v>818</v>
      </c>
      <c r="C78" s="739" t="s">
        <v>819</v>
      </c>
      <c r="D78" s="740"/>
    </row>
    <row r="79" spans="1:4" ht="45.75" customHeight="1" x14ac:dyDescent="0.25">
      <c r="A79" s="588">
        <v>10</v>
      </c>
      <c r="B79" s="715" t="s">
        <v>820</v>
      </c>
      <c r="C79" s="717" t="s">
        <v>821</v>
      </c>
      <c r="D79" s="735"/>
    </row>
    <row r="80" spans="1:4" ht="46.5" customHeight="1" x14ac:dyDescent="0.25">
      <c r="A80" s="588">
        <v>10</v>
      </c>
      <c r="B80" s="715" t="s">
        <v>822</v>
      </c>
      <c r="C80" s="717" t="s">
        <v>823</v>
      </c>
      <c r="D80" s="735"/>
    </row>
    <row r="81" spans="1:4" ht="86.25" customHeight="1" x14ac:dyDescent="0.25">
      <c r="A81" s="588">
        <v>10</v>
      </c>
      <c r="B81" s="715" t="s">
        <v>824</v>
      </c>
      <c r="C81" s="717" t="s">
        <v>825</v>
      </c>
      <c r="D81" s="735"/>
    </row>
    <row r="82" spans="1:4" ht="26.4" x14ac:dyDescent="0.25">
      <c r="A82" s="588">
        <v>10</v>
      </c>
      <c r="B82" s="715" t="s">
        <v>826</v>
      </c>
      <c r="C82" s="717" t="s">
        <v>827</v>
      </c>
      <c r="D82" s="735"/>
    </row>
    <row r="83" spans="1:4" ht="328.5" customHeight="1" x14ac:dyDescent="0.25">
      <c r="A83" s="588">
        <v>10</v>
      </c>
      <c r="B83" s="715" t="s">
        <v>828</v>
      </c>
      <c r="C83" s="713" t="s">
        <v>829</v>
      </c>
      <c r="D83" s="735"/>
    </row>
    <row r="84" spans="1:4" ht="125.25" customHeight="1" x14ac:dyDescent="0.25">
      <c r="A84" s="588">
        <v>10</v>
      </c>
      <c r="B84" s="715" t="s">
        <v>830</v>
      </c>
      <c r="C84" s="714" t="s">
        <v>1362</v>
      </c>
      <c r="D84" s="735"/>
    </row>
    <row r="85" spans="1:4" ht="72" customHeight="1" x14ac:dyDescent="0.25">
      <c r="A85" s="588">
        <v>10</v>
      </c>
      <c r="B85" s="712" t="s">
        <v>1363</v>
      </c>
      <c r="C85" s="711" t="s">
        <v>1364</v>
      </c>
      <c r="D85" s="735"/>
    </row>
    <row r="86" spans="1:4" ht="69" customHeight="1" x14ac:dyDescent="0.25">
      <c r="A86" s="588">
        <v>10</v>
      </c>
      <c r="B86" s="712" t="s">
        <v>1365</v>
      </c>
      <c r="C86" s="713" t="s">
        <v>1366</v>
      </c>
      <c r="D86" s="735"/>
    </row>
    <row r="87" spans="1:4" ht="108.75" customHeight="1" x14ac:dyDescent="0.25">
      <c r="A87" s="588">
        <v>10</v>
      </c>
      <c r="B87" s="715" t="s">
        <v>831</v>
      </c>
      <c r="C87" s="713" t="s">
        <v>1152</v>
      </c>
      <c r="D87" s="735"/>
    </row>
    <row r="88" spans="1:4" ht="130.5" customHeight="1" x14ac:dyDescent="0.25">
      <c r="A88" s="637">
        <v>10</v>
      </c>
      <c r="B88" s="715" t="s">
        <v>832</v>
      </c>
      <c r="C88" s="713" t="s">
        <v>833</v>
      </c>
      <c r="D88" s="738"/>
    </row>
    <row r="89" spans="1:4" customFormat="1" ht="81" customHeight="1" x14ac:dyDescent="0.25">
      <c r="A89" s="741" t="s">
        <v>1214</v>
      </c>
      <c r="B89" s="742" t="s">
        <v>728</v>
      </c>
      <c r="C89" s="743" t="s">
        <v>1291</v>
      </c>
      <c r="D89" s="744" t="s">
        <v>1380</v>
      </c>
    </row>
    <row r="90" spans="1:4" customFormat="1" ht="36" customHeight="1" x14ac:dyDescent="0.25">
      <c r="A90" s="741" t="s">
        <v>1214</v>
      </c>
      <c r="B90" s="742" t="s">
        <v>1255</v>
      </c>
      <c r="C90" s="745" t="s">
        <v>1254</v>
      </c>
      <c r="D90" s="746" t="s">
        <v>1380</v>
      </c>
    </row>
    <row r="91" spans="1:4" customFormat="1" ht="57" customHeight="1" x14ac:dyDescent="0.25">
      <c r="A91" s="741" t="s">
        <v>1214</v>
      </c>
      <c r="B91" s="742" t="s">
        <v>1253</v>
      </c>
      <c r="C91" s="745" t="s">
        <v>1259</v>
      </c>
      <c r="D91" s="746" t="s">
        <v>1380</v>
      </c>
    </row>
    <row r="92" spans="1:4" customFormat="1" ht="37.950000000000003" customHeight="1" x14ac:dyDescent="0.25">
      <c r="A92" s="741" t="s">
        <v>1214</v>
      </c>
      <c r="B92" s="742" t="s">
        <v>1252</v>
      </c>
      <c r="C92" s="745" t="s">
        <v>1251</v>
      </c>
      <c r="D92" s="746" t="s">
        <v>1380</v>
      </c>
    </row>
    <row r="93" spans="1:4" customFormat="1" ht="87" customHeight="1" x14ac:dyDescent="0.25">
      <c r="A93" s="741" t="s">
        <v>1214</v>
      </c>
      <c r="B93" s="742" t="s">
        <v>1250</v>
      </c>
      <c r="C93" s="747" t="s">
        <v>1381</v>
      </c>
      <c r="D93" s="746" t="s">
        <v>1380</v>
      </c>
    </row>
    <row r="94" spans="1:4" customFormat="1" ht="46.5" customHeight="1" x14ac:dyDescent="0.25">
      <c r="A94" s="741" t="s">
        <v>1214</v>
      </c>
      <c r="B94" s="742" t="s">
        <v>1249</v>
      </c>
      <c r="C94" s="745" t="s">
        <v>1260</v>
      </c>
      <c r="D94" s="746" t="s">
        <v>1380</v>
      </c>
    </row>
    <row r="95" spans="1:4" customFormat="1" ht="36" customHeight="1" x14ac:dyDescent="0.25">
      <c r="A95" s="741" t="s">
        <v>1214</v>
      </c>
      <c r="B95" s="742" t="s">
        <v>1248</v>
      </c>
      <c r="C95" s="748" t="s">
        <v>1261</v>
      </c>
      <c r="D95" s="746" t="s">
        <v>1380</v>
      </c>
    </row>
    <row r="96" spans="1:4" customFormat="1" ht="33.450000000000003" customHeight="1" x14ac:dyDescent="0.25">
      <c r="A96" s="741" t="s">
        <v>1214</v>
      </c>
      <c r="B96" s="742" t="s">
        <v>1247</v>
      </c>
      <c r="C96" s="745" t="s">
        <v>1246</v>
      </c>
      <c r="D96" s="746" t="s">
        <v>1380</v>
      </c>
    </row>
    <row r="97" spans="1:4" customFormat="1" ht="35.25" customHeight="1" x14ac:dyDescent="0.25">
      <c r="A97" s="741" t="s">
        <v>1214</v>
      </c>
      <c r="B97" s="742" t="s">
        <v>1245</v>
      </c>
      <c r="C97" s="745" t="s">
        <v>1244</v>
      </c>
      <c r="D97" s="746" t="s">
        <v>1380</v>
      </c>
    </row>
    <row r="98" spans="1:4" customFormat="1" ht="53.25" customHeight="1" x14ac:dyDescent="0.25">
      <c r="A98" s="741" t="s">
        <v>1214</v>
      </c>
      <c r="B98" s="742" t="s">
        <v>1243</v>
      </c>
      <c r="C98" s="745" t="s">
        <v>1262</v>
      </c>
      <c r="D98" s="746" t="s">
        <v>1380</v>
      </c>
    </row>
    <row r="99" spans="1:4" customFormat="1" ht="35.25" customHeight="1" x14ac:dyDescent="0.25">
      <c r="A99" s="741" t="s">
        <v>1214</v>
      </c>
      <c r="B99" s="742" t="s">
        <v>1242</v>
      </c>
      <c r="C99" s="745" t="s">
        <v>1263</v>
      </c>
      <c r="D99" s="746" t="s">
        <v>1380</v>
      </c>
    </row>
    <row r="100" spans="1:4" customFormat="1" ht="42.45" customHeight="1" x14ac:dyDescent="0.25">
      <c r="A100" s="741" t="s">
        <v>1214</v>
      </c>
      <c r="B100" s="742" t="s">
        <v>1241</v>
      </c>
      <c r="C100" s="749" t="s">
        <v>1240</v>
      </c>
      <c r="D100" s="746" t="s">
        <v>1380</v>
      </c>
    </row>
    <row r="101" spans="1:4" customFormat="1" ht="33.450000000000003" customHeight="1" x14ac:dyDescent="0.25">
      <c r="A101" s="741" t="s">
        <v>1214</v>
      </c>
      <c r="B101" s="742" t="s">
        <v>1239</v>
      </c>
      <c r="C101" s="745" t="s">
        <v>1264</v>
      </c>
      <c r="D101" s="746" t="s">
        <v>1380</v>
      </c>
    </row>
    <row r="102" spans="1:4" customFormat="1" ht="40.950000000000003" customHeight="1" x14ac:dyDescent="0.25">
      <c r="A102" s="741" t="s">
        <v>1214</v>
      </c>
      <c r="B102" s="742" t="s">
        <v>1238</v>
      </c>
      <c r="C102" s="745" t="s">
        <v>1265</v>
      </c>
      <c r="D102" s="746" t="s">
        <v>1380</v>
      </c>
    </row>
    <row r="103" spans="1:4" customFormat="1" ht="75.45" customHeight="1" x14ac:dyDescent="0.25">
      <c r="A103" s="995" t="s">
        <v>1214</v>
      </c>
      <c r="B103" s="997" t="s">
        <v>1237</v>
      </c>
      <c r="C103" s="750" t="s">
        <v>1266</v>
      </c>
      <c r="D103" s="751" t="s">
        <v>1380</v>
      </c>
    </row>
    <row r="104" spans="1:4" customFormat="1" ht="15.45" customHeight="1" x14ac:dyDescent="0.25">
      <c r="A104" s="996"/>
      <c r="B104" s="998"/>
      <c r="C104" s="752" t="s">
        <v>1236</v>
      </c>
      <c r="D104" s="753"/>
    </row>
    <row r="105" spans="1:4" customFormat="1" ht="31.95" customHeight="1" x14ac:dyDescent="0.25">
      <c r="A105" s="741" t="s">
        <v>1214</v>
      </c>
      <c r="B105" s="742" t="s">
        <v>1235</v>
      </c>
      <c r="C105" s="749" t="s">
        <v>1267</v>
      </c>
      <c r="D105" s="746" t="s">
        <v>1380</v>
      </c>
    </row>
    <row r="106" spans="1:4" customFormat="1" ht="39" customHeight="1" x14ac:dyDescent="0.25">
      <c r="A106" s="741" t="s">
        <v>1214</v>
      </c>
      <c r="B106" s="742" t="s">
        <v>1234</v>
      </c>
      <c r="C106" s="745" t="s">
        <v>1268</v>
      </c>
      <c r="D106" s="746" t="s">
        <v>1380</v>
      </c>
    </row>
    <row r="107" spans="1:4" customFormat="1" ht="45.45" customHeight="1" x14ac:dyDescent="0.25">
      <c r="A107" s="741" t="s">
        <v>1214</v>
      </c>
      <c r="B107" s="742" t="s">
        <v>1233</v>
      </c>
      <c r="C107" s="745" t="s">
        <v>1269</v>
      </c>
      <c r="D107" s="746" t="s">
        <v>1380</v>
      </c>
    </row>
    <row r="108" spans="1:4" customFormat="1" ht="57.45" customHeight="1" x14ac:dyDescent="0.25">
      <c r="A108" s="741" t="s">
        <v>1214</v>
      </c>
      <c r="B108" s="742" t="s">
        <v>1232</v>
      </c>
      <c r="C108" s="745" t="s">
        <v>1270</v>
      </c>
      <c r="D108" s="746" t="s">
        <v>1380</v>
      </c>
    </row>
    <row r="109" spans="1:4" customFormat="1" ht="43.95" customHeight="1" x14ac:dyDescent="0.25">
      <c r="A109" s="741" t="s">
        <v>1214</v>
      </c>
      <c r="B109" s="742" t="s">
        <v>1231</v>
      </c>
      <c r="C109" s="745" t="s">
        <v>1230</v>
      </c>
      <c r="D109" s="746" t="s">
        <v>1380</v>
      </c>
    </row>
    <row r="110" spans="1:4" customFormat="1" ht="30" customHeight="1" x14ac:dyDescent="0.25">
      <c r="A110" s="741" t="s">
        <v>1214</v>
      </c>
      <c r="B110" s="742" t="s">
        <v>1278</v>
      </c>
      <c r="C110" s="745" t="s">
        <v>1229</v>
      </c>
      <c r="D110" s="746" t="s">
        <v>1380</v>
      </c>
    </row>
    <row r="111" spans="1:4" customFormat="1" ht="39" customHeight="1" x14ac:dyDescent="0.25">
      <c r="A111" s="741" t="s">
        <v>1214</v>
      </c>
      <c r="B111" s="742" t="s">
        <v>1279</v>
      </c>
      <c r="C111" s="745" t="s">
        <v>1228</v>
      </c>
      <c r="D111" s="746" t="s">
        <v>1380</v>
      </c>
    </row>
    <row r="112" spans="1:4" customFormat="1" ht="35.25" customHeight="1" x14ac:dyDescent="0.25">
      <c r="A112" s="741" t="s">
        <v>1214</v>
      </c>
      <c r="B112" s="742" t="s">
        <v>1227</v>
      </c>
      <c r="C112" s="745" t="s">
        <v>1226</v>
      </c>
      <c r="D112" s="746" t="s">
        <v>1380</v>
      </c>
    </row>
    <row r="113" spans="1:4" customFormat="1" ht="39" customHeight="1" x14ac:dyDescent="0.25">
      <c r="A113" s="741" t="s">
        <v>1214</v>
      </c>
      <c r="B113" s="742" t="s">
        <v>1225</v>
      </c>
      <c r="C113" s="745" t="s">
        <v>1224</v>
      </c>
      <c r="D113" s="746" t="s">
        <v>1380</v>
      </c>
    </row>
    <row r="114" spans="1:4" customFormat="1" ht="33.75" customHeight="1" x14ac:dyDescent="0.25">
      <c r="A114" s="741" t="s">
        <v>1214</v>
      </c>
      <c r="B114" s="742" t="s">
        <v>94</v>
      </c>
      <c r="C114" s="745" t="s">
        <v>1223</v>
      </c>
      <c r="D114" s="746" t="s">
        <v>1380</v>
      </c>
    </row>
    <row r="115" spans="1:4" customFormat="1" ht="33.75" customHeight="1" x14ac:dyDescent="0.25">
      <c r="A115" s="741" t="s">
        <v>1214</v>
      </c>
      <c r="B115" s="742" t="s">
        <v>1196</v>
      </c>
      <c r="C115" s="745" t="s">
        <v>1222</v>
      </c>
      <c r="D115" s="746" t="s">
        <v>1380</v>
      </c>
    </row>
    <row r="116" spans="1:4" customFormat="1" ht="51" customHeight="1" x14ac:dyDescent="0.25">
      <c r="A116" s="741" t="s">
        <v>1214</v>
      </c>
      <c r="B116" s="742" t="s">
        <v>1195</v>
      </c>
      <c r="C116" s="745" t="s">
        <v>1221</v>
      </c>
      <c r="D116" s="746" t="s">
        <v>1380</v>
      </c>
    </row>
    <row r="117" spans="1:4" customFormat="1" ht="33" customHeight="1" x14ac:dyDescent="0.25">
      <c r="A117" s="741" t="s">
        <v>1214</v>
      </c>
      <c r="B117" s="742" t="s">
        <v>1220</v>
      </c>
      <c r="C117" s="745" t="s">
        <v>1219</v>
      </c>
      <c r="D117" s="746" t="s">
        <v>1380</v>
      </c>
    </row>
    <row r="118" spans="1:4" customFormat="1" ht="36.75" customHeight="1" x14ac:dyDescent="0.25">
      <c r="A118" s="741" t="s">
        <v>1214</v>
      </c>
      <c r="B118" s="742" t="s">
        <v>1193</v>
      </c>
      <c r="C118" s="745" t="s">
        <v>1218</v>
      </c>
      <c r="D118" s="746" t="s">
        <v>1380</v>
      </c>
    </row>
    <row r="119" spans="1:4" customFormat="1" ht="34.950000000000003" customHeight="1" x14ac:dyDescent="0.25">
      <c r="A119" s="741" t="s">
        <v>1214</v>
      </c>
      <c r="B119" s="742" t="s">
        <v>1277</v>
      </c>
      <c r="C119" s="745" t="s">
        <v>1217</v>
      </c>
      <c r="D119" s="746" t="s">
        <v>1380</v>
      </c>
    </row>
    <row r="120" spans="1:4" customFormat="1" ht="31.5" customHeight="1" x14ac:dyDescent="0.25">
      <c r="A120" s="741" t="s">
        <v>1214</v>
      </c>
      <c r="B120" s="742" t="s">
        <v>1276</v>
      </c>
      <c r="C120" s="745" t="s">
        <v>1216</v>
      </c>
      <c r="D120" s="746" t="s">
        <v>1380</v>
      </c>
    </row>
    <row r="121" spans="1:4" customFormat="1" ht="43.5" customHeight="1" x14ac:dyDescent="0.25">
      <c r="A121" s="741" t="s">
        <v>1214</v>
      </c>
      <c r="B121" s="742" t="s">
        <v>1275</v>
      </c>
      <c r="C121" s="745" t="s">
        <v>1271</v>
      </c>
      <c r="D121" s="746" t="s">
        <v>1380</v>
      </c>
    </row>
    <row r="122" spans="1:4" customFormat="1" ht="32.549999999999997" customHeight="1" x14ac:dyDescent="0.25">
      <c r="A122" s="741" t="s">
        <v>1214</v>
      </c>
      <c r="B122" s="742" t="s">
        <v>1274</v>
      </c>
      <c r="C122" s="745" t="s">
        <v>1371</v>
      </c>
      <c r="D122" s="746" t="s">
        <v>1380</v>
      </c>
    </row>
    <row r="123" spans="1:4" customFormat="1" ht="39.6" x14ac:dyDescent="0.25">
      <c r="A123" s="741" t="s">
        <v>1214</v>
      </c>
      <c r="B123" s="742" t="s">
        <v>1273</v>
      </c>
      <c r="C123" s="745" t="s">
        <v>1215</v>
      </c>
      <c r="D123" s="746" t="s">
        <v>1380</v>
      </c>
    </row>
    <row r="124" spans="1:4" ht="81.75" customHeight="1" x14ac:dyDescent="0.25">
      <c r="A124" s="588" t="s">
        <v>834</v>
      </c>
      <c r="B124" s="754" t="s">
        <v>728</v>
      </c>
      <c r="C124" s="755" t="s">
        <v>835</v>
      </c>
      <c r="D124" s="728"/>
    </row>
    <row r="125" spans="1:4" s="8" customFormat="1" ht="29.25" customHeight="1" x14ac:dyDescent="0.25">
      <c r="A125" s="588" t="s">
        <v>834</v>
      </c>
      <c r="B125" s="754" t="s">
        <v>836</v>
      </c>
      <c r="C125" s="756" t="s">
        <v>1368</v>
      </c>
      <c r="D125" s="719"/>
    </row>
    <row r="126" spans="1:4" ht="81" customHeight="1" x14ac:dyDescent="0.25">
      <c r="A126" s="588" t="s">
        <v>834</v>
      </c>
      <c r="B126" s="715" t="s">
        <v>837</v>
      </c>
      <c r="C126" s="757" t="s">
        <v>1369</v>
      </c>
      <c r="D126" s="728"/>
    </row>
    <row r="127" spans="1:4" ht="49.5" customHeight="1" x14ac:dyDescent="0.25">
      <c r="A127" s="588" t="s">
        <v>834</v>
      </c>
      <c r="B127" s="715" t="s">
        <v>838</v>
      </c>
      <c r="C127" s="711" t="s">
        <v>1370</v>
      </c>
      <c r="D127" s="735"/>
    </row>
    <row r="128" spans="1:4" ht="79.5" customHeight="1" x14ac:dyDescent="0.25">
      <c r="A128" s="758" t="s">
        <v>839</v>
      </c>
      <c r="B128" s="754" t="s">
        <v>840</v>
      </c>
      <c r="C128" s="736" t="s">
        <v>1382</v>
      </c>
      <c r="D128" s="759"/>
    </row>
    <row r="129" spans="1:4" ht="39.6" x14ac:dyDescent="0.25">
      <c r="A129" s="758" t="s">
        <v>839</v>
      </c>
      <c r="B129" s="754" t="s">
        <v>841</v>
      </c>
      <c r="C129" s="757" t="s">
        <v>1372</v>
      </c>
      <c r="D129" s="759"/>
    </row>
    <row r="130" spans="1:4" ht="33.75" customHeight="1" x14ac:dyDescent="0.25">
      <c r="A130" s="758" t="s">
        <v>839</v>
      </c>
      <c r="B130" s="754" t="s">
        <v>842</v>
      </c>
      <c r="C130" s="734" t="s">
        <v>1138</v>
      </c>
      <c r="D130" s="759"/>
    </row>
    <row r="131" spans="1:4" ht="55.5" customHeight="1" x14ac:dyDescent="0.25">
      <c r="A131" s="758" t="s">
        <v>839</v>
      </c>
      <c r="B131" s="754" t="s">
        <v>843</v>
      </c>
      <c r="C131" s="734" t="s">
        <v>844</v>
      </c>
      <c r="D131" s="759"/>
    </row>
    <row r="132" spans="1:4" ht="39.6" x14ac:dyDescent="0.25">
      <c r="A132" s="758" t="s">
        <v>839</v>
      </c>
      <c r="B132" s="754" t="s">
        <v>845</v>
      </c>
      <c r="C132" s="734" t="s">
        <v>846</v>
      </c>
      <c r="D132" s="759"/>
    </row>
    <row r="133" spans="1:4" ht="52.8" x14ac:dyDescent="0.25">
      <c r="A133" s="758" t="s">
        <v>839</v>
      </c>
      <c r="B133" s="754" t="s">
        <v>847</v>
      </c>
      <c r="C133" s="757" t="s">
        <v>1373</v>
      </c>
      <c r="D133" s="759"/>
    </row>
    <row r="134" spans="1:4" ht="54" customHeight="1" x14ac:dyDescent="0.25">
      <c r="A134" s="758" t="s">
        <v>839</v>
      </c>
      <c r="B134" s="715" t="s">
        <v>1139</v>
      </c>
      <c r="C134" s="757" t="s">
        <v>1374</v>
      </c>
      <c r="D134" s="759"/>
    </row>
    <row r="135" spans="1:4" ht="26.4" x14ac:dyDescent="0.35">
      <c r="A135" s="758" t="s">
        <v>839</v>
      </c>
      <c r="B135" s="754" t="s">
        <v>848</v>
      </c>
      <c r="C135" s="760" t="s">
        <v>849</v>
      </c>
      <c r="D135" s="761"/>
    </row>
    <row r="136" spans="1:4" ht="39.6" x14ac:dyDescent="0.35">
      <c r="A136" s="758" t="s">
        <v>839</v>
      </c>
      <c r="B136" s="754" t="s">
        <v>850</v>
      </c>
      <c r="C136" s="760" t="s">
        <v>851</v>
      </c>
      <c r="D136" s="761"/>
    </row>
    <row r="137" spans="1:4" ht="39.6" x14ac:dyDescent="0.35">
      <c r="A137" s="758" t="s">
        <v>839</v>
      </c>
      <c r="B137" s="754" t="s">
        <v>852</v>
      </c>
      <c r="C137" s="760" t="s">
        <v>853</v>
      </c>
      <c r="D137" s="761"/>
    </row>
    <row r="138" spans="1:4" ht="56.25" customHeight="1" x14ac:dyDescent="0.35">
      <c r="A138" s="758" t="s">
        <v>839</v>
      </c>
      <c r="B138" s="762" t="s">
        <v>854</v>
      </c>
      <c r="C138" s="760" t="s">
        <v>855</v>
      </c>
      <c r="D138" s="763"/>
    </row>
    <row r="139" spans="1:4" ht="26.4" x14ac:dyDescent="0.25">
      <c r="A139" s="758" t="s">
        <v>839</v>
      </c>
      <c r="B139" s="715" t="s">
        <v>856</v>
      </c>
      <c r="C139" s="734" t="s">
        <v>1140</v>
      </c>
      <c r="D139" s="764"/>
    </row>
    <row r="140" spans="1:4" ht="108" customHeight="1" x14ac:dyDescent="0.25">
      <c r="A140" s="758" t="s">
        <v>839</v>
      </c>
      <c r="B140" s="715" t="s">
        <v>857</v>
      </c>
      <c r="C140" s="765" t="s">
        <v>1375</v>
      </c>
      <c r="D140" s="766"/>
    </row>
    <row r="141" spans="1:4" ht="79.2" x14ac:dyDescent="0.25">
      <c r="A141" s="758" t="s">
        <v>839</v>
      </c>
      <c r="B141" s="715" t="s">
        <v>858</v>
      </c>
      <c r="C141" s="728" t="s">
        <v>1141</v>
      </c>
      <c r="D141" s="766"/>
    </row>
  </sheetData>
  <sheetProtection sheet="1" formatCells="0" formatColumns="0" formatRows="0" sort="0" autoFilter="0"/>
  <autoFilter ref="A1:D141" xr:uid="{00000000-0009-0000-0000-000010000000}"/>
  <mergeCells count="7">
    <mergeCell ref="A103:A104"/>
    <mergeCell ref="B103:B104"/>
    <mergeCell ref="A2:B6"/>
    <mergeCell ref="A10:A11"/>
    <mergeCell ref="B10:B11"/>
    <mergeCell ref="A76:A77"/>
    <mergeCell ref="B76:B77"/>
  </mergeCells>
  <hyperlinks>
    <hyperlink ref="A12" location="'Page 1'!A1" display="'Page 1'!A1" xr:uid="{00000000-0004-0000-1000-000000000000}"/>
    <hyperlink ref="A17" location="'Page 2'!A1" display="'Page 2'!A1" xr:uid="{00000000-0004-0000-1000-000001000000}"/>
    <hyperlink ref="A18" location="'Page 2'!A1" display="'Page 2'!A1" xr:uid="{00000000-0004-0000-1000-000002000000}"/>
    <hyperlink ref="A2:B2" location="'Cover Page'!A1" display="General" xr:uid="{00000000-0004-0000-1000-000003000000}"/>
    <hyperlink ref="A7" location="'Cover Page'!A1" display="Cover" xr:uid="{00000000-0004-0000-1000-000004000000}"/>
    <hyperlink ref="A14" location="'Page 1'!A1" display="'Page 1'!A1" xr:uid="{00000000-0004-0000-1000-000005000000}"/>
    <hyperlink ref="A15" location="'Page 1'!A1" display="'Page 1'!A1" xr:uid="{00000000-0004-0000-1000-000006000000}"/>
    <hyperlink ref="A13" location="'Page 1'!A1" display="'Page 1'!A1" xr:uid="{00000000-0004-0000-1000-000007000000}"/>
    <hyperlink ref="A16" location="'Page 1'!A1" display="'Page 1'!A1" xr:uid="{00000000-0004-0000-1000-000008000000}"/>
    <hyperlink ref="A10" location="'Accounting Data'!A1" display="Accounting data tab" xr:uid="{00000000-0004-0000-1000-000009000000}"/>
    <hyperlink ref="A9" location="'School listing'!A1" display="School listing tab" xr:uid="{00000000-0004-0000-1000-00000A000000}"/>
    <hyperlink ref="C55" r:id="rId1" xr:uid="{00000000-0004-0000-1000-00000B000000}"/>
    <hyperlink ref="C57" r:id="rId2" xr:uid="{00000000-0004-0000-1000-00000C000000}"/>
    <hyperlink ref="C59" r:id="rId3" display="https://www.azed.gov/titlei/sample-page/rural-low-income-schools-rlis/" xr:uid="{00000000-0004-0000-1000-00000D000000}"/>
    <hyperlink ref="C61" r:id="rId4" xr:uid="{00000000-0004-0000-1000-00000E000000}"/>
    <hyperlink ref="C63" r:id="rId5" xr:uid="{00000000-0004-0000-1000-00000F000000}"/>
    <hyperlink ref="A19" location="'Page 3'!A1" display="'Page 3'!A1" xr:uid="{00000000-0004-0000-1000-000010000000}"/>
    <hyperlink ref="A21" location="'Page 3'!A1" display="'Page 3'!A1" xr:uid="{00000000-0004-0000-1000-000011000000}"/>
    <hyperlink ref="A20" location="'Page 3'!A1" display="'Page 3'!A1" xr:uid="{00000000-0004-0000-1000-000012000000}"/>
    <hyperlink ref="A24" location="'Page 4'!A1" display="'Page 4'!A1" xr:uid="{00000000-0004-0000-1000-000013000000}"/>
    <hyperlink ref="A27" location="'Page 6'!A1" display="'Page 6'!A1" xr:uid="{00000000-0004-0000-1000-000014000000}"/>
    <hyperlink ref="A28" location="'Page 6'!A1" display="'Page 6'!A1" xr:uid="{00000000-0004-0000-1000-000015000000}"/>
    <hyperlink ref="A29" location="'Page 6'!A1" display="'Page 6'!A1" xr:uid="{00000000-0004-0000-1000-000016000000}"/>
    <hyperlink ref="A30" location="'Page 6'!A1" display="'Page 6'!A1" xr:uid="{00000000-0004-0000-1000-000017000000}"/>
    <hyperlink ref="A31" location="'Page 6'!A1" display="'Page 6'!A1" xr:uid="{00000000-0004-0000-1000-000018000000}"/>
    <hyperlink ref="A32" location="'Page 6'!A1" display="'Page 6'!A1" xr:uid="{00000000-0004-0000-1000-000019000000}"/>
    <hyperlink ref="A33" location="'Page 6'!A1" display="'Page 6'!A1" xr:uid="{00000000-0004-0000-1000-00001A000000}"/>
    <hyperlink ref="A35" location="'Page 6'!A1" display="'Page 6'!A1" xr:uid="{00000000-0004-0000-1000-00001C000000}"/>
    <hyperlink ref="A36" location="'Page 6'!A1" display="'Page 6'!A1" xr:uid="{00000000-0004-0000-1000-00001D000000}"/>
    <hyperlink ref="A37" location="'Page 6'!A1" display="'Page 6'!A1" xr:uid="{00000000-0004-0000-1000-00001E000000}"/>
    <hyperlink ref="A38" location="'Page 6'!A1" display="'Page 6'!A1" xr:uid="{00000000-0004-0000-1000-00001F000000}"/>
    <hyperlink ref="A39" location="'Page 6'!A1" display="'Page 6'!A1" xr:uid="{00000000-0004-0000-1000-000020000000}"/>
    <hyperlink ref="A40" location="'Page 6'!A1" display="'Page 6'!A1" xr:uid="{00000000-0004-0000-1000-000021000000}"/>
    <hyperlink ref="A41" location="'Page 6'!A1" display="'Page 6'!A1" xr:uid="{00000000-0004-0000-1000-000022000000}"/>
    <hyperlink ref="A42" location="'Page 7'!A1" display="'Page 7'!A1" xr:uid="{00000000-0004-0000-1000-000023000000}"/>
    <hyperlink ref="A43" location="'Page 7'!A1" display="'Page 7'!A1" xr:uid="{00000000-0004-0000-1000-000024000000}"/>
    <hyperlink ref="A44" location="'Page 7'!A1" display="'Page 7'!A1" xr:uid="{00000000-0004-0000-1000-000025000000}"/>
    <hyperlink ref="A45" location="'Page 7'!A1" display="'Page 7'!A1" xr:uid="{00000000-0004-0000-1000-000026000000}"/>
    <hyperlink ref="A47" location="'Page 8'!A1" display="'Page 8'!A1" xr:uid="{00000000-0004-0000-1000-000027000000}"/>
    <hyperlink ref="A48" location="'Page 8'!A1" display="'Page 8'!A1" xr:uid="{00000000-0004-0000-1000-000028000000}"/>
    <hyperlink ref="A49" location="'Page 8'!A1" display="'Page 8'!A1" xr:uid="{00000000-0004-0000-1000-000029000000}"/>
    <hyperlink ref="A50" location="'Page 9'!A1" display="'Page 9'!A1" xr:uid="{00000000-0004-0000-1000-00002A000000}"/>
    <hyperlink ref="A51" location="'Page 9'!A1" display="'Page 9'!A1" xr:uid="{00000000-0004-0000-1000-00002B000000}"/>
    <hyperlink ref="A52" location="'Page 9'!A1" display="'Page 9'!A1" xr:uid="{00000000-0004-0000-1000-00002C000000}"/>
    <hyperlink ref="A53" location="'Page 9'!A1" display="'Page 9'!A1" xr:uid="{00000000-0004-0000-1000-00002D000000}"/>
    <hyperlink ref="A54" location="'Page 9'!A1" display="'Page 9'!A1" xr:uid="{00000000-0004-0000-1000-00002E000000}"/>
    <hyperlink ref="A64" location="'Page 9'!A1" display="'Page 9'!A1" xr:uid="{00000000-0004-0000-1000-00002F000000}"/>
    <hyperlink ref="A65" location="'Page 9'!A1" display="'Page 9'!A1" xr:uid="{00000000-0004-0000-1000-000030000000}"/>
    <hyperlink ref="A66" location="'Page 9'!A1" display="'Page 9'!A1" xr:uid="{00000000-0004-0000-1000-000031000000}"/>
    <hyperlink ref="A67" location="'Page 9'!A1" display="'Page 9'!A1" xr:uid="{00000000-0004-0000-1000-000032000000}"/>
    <hyperlink ref="A68" location="'Page 9'!A1" display="'Page 9'!A1" xr:uid="{00000000-0004-0000-1000-000033000000}"/>
    <hyperlink ref="A70" location="'Page 10'!A1" display="'Page 10'!A1" xr:uid="{00000000-0004-0000-1000-000035000000}"/>
    <hyperlink ref="A128" location="'Reserve Balance'!A1" display="Reserve Balance tab" xr:uid="{00000000-0004-0000-1000-000036000000}"/>
    <hyperlink ref="A129:A134" location="'Reserve Balance'!A1" display="Reserve Balance tab" xr:uid="{00000000-0004-0000-1000-000037000000}"/>
    <hyperlink ref="A139" location="'Reserve Balance'!A25" display="Reserve Balance tab" xr:uid="{00000000-0004-0000-1000-000038000000}"/>
    <hyperlink ref="A140:A141" location="'Reserve Balance'!A25" display="Reserve Balance tab" xr:uid="{00000000-0004-0000-1000-000039000000}"/>
    <hyperlink ref="A69" location="'Page 10'!A1" display="'Page 10'!A1" xr:uid="{00000000-0004-0000-1000-00003A000000}"/>
    <hyperlink ref="A71" location="'Page 10'!A1" display="'Page 10'!A1" xr:uid="{00000000-0004-0000-1000-00003B000000}"/>
    <hyperlink ref="C77" r:id="rId6" display="https://www.azauditor.gov/District_charter_ADE_COVID-19_spending_special_report_FY_2022" xr:uid="{00000000-0004-0000-1000-00003C000000}"/>
    <hyperlink ref="A72" location="'Page 10'!A1" display="'Page 10'!A1" xr:uid="{00000000-0004-0000-1000-00003D000000}"/>
    <hyperlink ref="A88" location="'Page 10'!A1" display="'Page 10'!A1" xr:uid="{00000000-0004-0000-1000-00003E000000}"/>
    <hyperlink ref="A73" location="'Page 10'!A1" display="'Page 10'!A1" xr:uid="{00000000-0004-0000-1000-00003F000000}"/>
    <hyperlink ref="A74" location="'Page 10'!A1" display="'Page 10'!A1" xr:uid="{00000000-0004-0000-1000-000040000000}"/>
    <hyperlink ref="A75" location="'Page 10'!A1" display="'Page 10'!A1" xr:uid="{00000000-0004-0000-1000-000041000000}"/>
    <hyperlink ref="A78" location="'Page 10'!A1" display="'Page 10'!A1" xr:uid="{00000000-0004-0000-1000-000042000000}"/>
    <hyperlink ref="A79" location="'Page 10'!A1" display="'Page 10'!A1" xr:uid="{00000000-0004-0000-1000-000043000000}"/>
    <hyperlink ref="A80" location="'Page 10'!A1" display="'Page 10'!A1" xr:uid="{00000000-0004-0000-1000-000044000000}"/>
    <hyperlink ref="A81" location="'Page 10'!A1" display="'Page 10'!A1" xr:uid="{00000000-0004-0000-1000-000045000000}"/>
    <hyperlink ref="A82" location="'Page 10'!A1" display="'Page 10'!A1" xr:uid="{00000000-0004-0000-1000-000046000000}"/>
    <hyperlink ref="A83" location="'Page 10'!A1" display="'Page 10'!A1" xr:uid="{00000000-0004-0000-1000-000047000000}"/>
    <hyperlink ref="A84" location="'Page 10'!A1" display="'Page 10'!A1" xr:uid="{00000000-0004-0000-1000-000048000000}"/>
    <hyperlink ref="A85" location="'Page 10'!A1" display="'Page 10'!A1" xr:uid="{00000000-0004-0000-1000-000049000000}"/>
    <hyperlink ref="A86" location="'Page 10'!A1" display="'Page 10'!A1" xr:uid="{00000000-0004-0000-1000-00004A000000}"/>
    <hyperlink ref="A87" location="'Page 10'!A1" display="'Page 10'!A1" xr:uid="{00000000-0004-0000-1000-00004B000000}"/>
    <hyperlink ref="A124" location="Summary!A1" display="Summary" xr:uid="{00000000-0004-0000-1000-00004C000000}"/>
    <hyperlink ref="A125" location="Summary!A1" display="Summary" xr:uid="{00000000-0004-0000-1000-00004D000000}"/>
    <hyperlink ref="A126" location="Summary!A1" display="Summary" xr:uid="{00000000-0004-0000-1000-00004E000000}"/>
    <hyperlink ref="A127" location="Summary!A1" display="Summary" xr:uid="{00000000-0004-0000-1000-00004F000000}"/>
    <hyperlink ref="A46" location="'Page 8'!A1" display="'Page 8'!A1" xr:uid="{00000000-0004-0000-1000-000050000000}"/>
    <hyperlink ref="A76:A77" location="'Page 10'!A1" display="'Page 10'!A1" xr:uid="{00000000-0004-0000-1000-000051000000}"/>
    <hyperlink ref="A135" location="'Reserve Balance'!A1" display="Reserve Balance tab" xr:uid="{00000000-0004-0000-1000-000052000000}"/>
    <hyperlink ref="A136" location="'Reserve Balance'!A1" display="Reserve Balance tab" xr:uid="{00000000-0004-0000-1000-000053000000}"/>
    <hyperlink ref="A137" location="'Reserve Balance'!A1" display="Reserve Balance tab" xr:uid="{00000000-0004-0000-1000-000054000000}"/>
    <hyperlink ref="A138" location="'Reserve Balance'!A1" display="Reserve Balance tab" xr:uid="{00000000-0004-0000-1000-000055000000}"/>
    <hyperlink ref="C104" r:id="rId7" xr:uid="{6AAE447B-B858-48A9-8B59-893E4F37DD16}"/>
    <hyperlink ref="A22" location="'Page 3'!A1" display="'Page 3'!A1" xr:uid="{00000000-0004-0000-1000-000034000000}"/>
    <hyperlink ref="A23" location="'Page 3'!A1" display="'Page 3'!A1" xr:uid="{4447963D-6699-41B0-AA5D-8932FE4FF491}"/>
    <hyperlink ref="A26" location="'Page 5'!A1" display="'Page 5'!A1" xr:uid="{9D89D276-0153-4D96-9A77-255222C9D27F}"/>
    <hyperlink ref="A25" location="'Page 4'!A1" display="'Page 4'!A1" xr:uid="{DF5BA6B8-9F54-4383-8DCB-401E7C5C20A9}"/>
    <hyperlink ref="A34" location="'Page 6'!A1" display="'Page 6'!A1" xr:uid="{E915AF1B-9A7F-4983-A69F-96BCB4BC8CE5}"/>
    <hyperlink ref="A89" location="'Food Service'!A1" display="Food Service AFR" xr:uid="{8390BA56-B6BF-494A-B577-6913D87274B7}"/>
    <hyperlink ref="A103" location="'Food Service'!A1" display="Food Service AFR" xr:uid="{FB7E21CA-D34C-40B5-8D16-2C896E314480}"/>
    <hyperlink ref="A105" location="'Food Service'!A1" display="Food Service AFR" xr:uid="{349AB38C-3DA8-4EC8-B395-149189F1BD41}"/>
    <hyperlink ref="A90:A102" location="'Food Service'!A1" display="Food Service AFR" xr:uid="{8557EF55-A031-4FFB-BFB1-0E34F067C231}"/>
    <hyperlink ref="A106:A123" location="'Food Service'!A1" display="Food Service AFR" xr:uid="{500B1D2D-CACD-42DF-9AF7-15D1880921D5}"/>
    <hyperlink ref="A8" location="'Cover Page'!A1" display="Cover" xr:uid="{FBB7D534-D50B-4DF8-8617-E610D20C052A}"/>
  </hyperlinks>
  <printOptions horizontalCentered="1"/>
  <pageMargins left="0.7" right="0.7" top="0.75" bottom="0.75" header="0.3" footer="0.3"/>
  <pageSetup scale="55" fitToHeight="8" orientation="portrait" r:id="rId8"/>
  <headerFooter>
    <oddFooter>&amp;LRev. 8/25 Arizona Department of Education and Auditor General&amp;CFY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72CDD0-BFD7-4CF9-8D50-A11CFBB8E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4F38B-0799-4886-B61C-8DBB46B47F73}">
  <ds:schemaRefs>
    <ds:schemaRef ds:uri="http://schemas.microsoft.com/office/2006/metadata/properties"/>
    <ds:schemaRef ds:uri="http://www.w3.org/XML/1998/namespace"/>
    <ds:schemaRef ds:uri="ffcdc2e4-c8f2-4bf7-ab1d-ea300bde3fd8"/>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8385876d-3ffd-449d-b709-a8df02b96ae7"/>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205</vt:i4>
      </vt:variant>
    </vt:vector>
  </HeadingPairs>
  <TitlesOfParts>
    <vt:vector size="224" baseType="lpstr">
      <vt:lpstr>Cover Page</vt:lpstr>
      <vt:lpstr>Page 1</vt:lpstr>
      <vt:lpstr>Page 2</vt:lpstr>
      <vt:lpstr>Page 3</vt:lpstr>
      <vt:lpstr>Page 4</vt:lpstr>
      <vt:lpstr>Page 5</vt:lpstr>
      <vt:lpstr>Page 6</vt:lpstr>
      <vt:lpstr>Page 7</vt:lpstr>
      <vt:lpstr>Page 8</vt:lpstr>
      <vt:lpstr>Page 9</vt:lpstr>
      <vt:lpstr>Page 10</vt:lpstr>
      <vt:lpstr>Food Service</vt:lpstr>
      <vt:lpstr>Summary</vt:lpstr>
      <vt:lpstr>Reserve balance</vt:lpstr>
      <vt:lpstr>School listing</vt:lpstr>
      <vt:lpstr>Alerts</vt:lpstr>
      <vt:lpstr>Accounting data</vt:lpstr>
      <vt:lpstr>Calculations</vt:lpstr>
      <vt:lpstr>Instructions</vt:lpstr>
      <vt:lpstr>Account</vt:lpstr>
      <vt:lpstr>Accounting_Data_Tab</vt:lpstr>
      <vt:lpstr>ActualTotalFederalAndStateProjects</vt:lpstr>
      <vt:lpstr>ActualTotalInstImpExp</vt:lpstr>
      <vt:lpstr>AddlInstrImprProjEndBal</vt:lpstr>
      <vt:lpstr>AdjustedBeginningProjectBalance</vt:lpstr>
      <vt:lpstr>ALaCarte</vt:lpstr>
      <vt:lpstr>AllDisabilityClassifications</vt:lpstr>
      <vt:lpstr>ArizonaIndustryCredentialsIncentive</vt:lpstr>
      <vt:lpstr>AuditServices</vt:lpstr>
      <vt:lpstr>AverageTeacherSalary</vt:lpstr>
      <vt:lpstr>BegProjectBalances</vt:lpstr>
      <vt:lpstr>Breakfasts</vt:lpstr>
      <vt:lpstr>CapitalAcquisitions</vt:lpstr>
      <vt:lpstr>CapitalAcquisitionsLine5</vt:lpstr>
      <vt:lpstr>CashandInvestments</vt:lpstr>
      <vt:lpstr>CashBal</vt:lpstr>
      <vt:lpstr>CIP1072EndBal</vt:lpstr>
      <vt:lpstr>ClssrmSitepg3</vt:lpstr>
      <vt:lpstr>CSPEndBal</vt:lpstr>
      <vt:lpstr>CSPlines122615</vt:lpstr>
      <vt:lpstr>CSPlines4914</vt:lpstr>
      <vt:lpstr>CSPPropertyPayments</vt:lpstr>
      <vt:lpstr>CurrentExpensesByCategory</vt:lpstr>
      <vt:lpstr>CurrentExpensesbyCategoryLines7and8</vt:lpstr>
      <vt:lpstr>DebtService</vt:lpstr>
      <vt:lpstr>District_Name</vt:lpstr>
      <vt:lpstr>EXPENSES</vt:lpstr>
      <vt:lpstr>ExpensesPage2</vt:lpstr>
      <vt:lpstr>FederalAndStateProjectsAdjustedBeginningProjectBalance</vt:lpstr>
      <vt:lpstr>FederalAndStateProjectsPage2</vt:lpstr>
      <vt:lpstr>FederalAndStateProjectsPage9</vt:lpstr>
      <vt:lpstr>FederalAndStateProjectsPage9Line30</vt:lpstr>
      <vt:lpstr>Food_Service_1600</vt:lpstr>
      <vt:lpstr>FoodServiceGen</vt:lpstr>
      <vt:lpstr>FP11001130EndBal</vt:lpstr>
      <vt:lpstr>FP11401150EndBal</vt:lpstr>
      <vt:lpstr>FP1160EndBal</vt:lpstr>
      <vt:lpstr>FP11701180EndBal</vt:lpstr>
      <vt:lpstr>FP1190EndBal</vt:lpstr>
      <vt:lpstr>FP1200EndBal</vt:lpstr>
      <vt:lpstr>FP1210EndBal</vt:lpstr>
      <vt:lpstr>FP1220EndBal</vt:lpstr>
      <vt:lpstr>FP1230EndBal</vt:lpstr>
      <vt:lpstr>FP1240EndBal</vt:lpstr>
      <vt:lpstr>FP1250EndBal</vt:lpstr>
      <vt:lpstr>FP1260EndBal</vt:lpstr>
      <vt:lpstr>FP1280EndBal</vt:lpstr>
      <vt:lpstr>FP1290EndBal</vt:lpstr>
      <vt:lpstr>FP1300EndBal</vt:lpstr>
      <vt:lpstr>FP13101399EndBal</vt:lpstr>
      <vt:lpstr>FP13XXImpactAidEndBal</vt:lpstr>
      <vt:lpstr>FullTimeEquivalentTeachers</vt:lpstr>
      <vt:lpstr>GeneralInstructions</vt:lpstr>
      <vt:lpstr>GeneralPage1</vt:lpstr>
      <vt:lpstr>GeneralPage10</vt:lpstr>
      <vt:lpstr>ImpactAidandOtherFederalProjects</vt:lpstr>
      <vt:lpstr>InvestmentInCapitalAssets</vt:lpstr>
      <vt:lpstr>InvestmentInCapitalAssetsLine5</vt:lpstr>
      <vt:lpstr>LongandShortTermDebt</vt:lpstr>
      <vt:lpstr>LunchesSuppers</vt:lpstr>
      <vt:lpstr>NameCountyCTDSNumber</vt:lpstr>
      <vt:lpstr>Page10DebtServiceDetail</vt:lpstr>
      <vt:lpstr>Page10FY20to23Exp</vt:lpstr>
      <vt:lpstr>Page10FY24Exp</vt:lpstr>
      <vt:lpstr>Page10General</vt:lpstr>
      <vt:lpstr>Page10OtherLine</vt:lpstr>
      <vt:lpstr>Page10PPP</vt:lpstr>
      <vt:lpstr>Page10projects</vt:lpstr>
      <vt:lpstr>Page10ProjectsLine1</vt:lpstr>
      <vt:lpstr>Page10ProjectsLine2</vt:lpstr>
      <vt:lpstr>Page10ProjectsLine3</vt:lpstr>
      <vt:lpstr>Page10ProjectsLine4</vt:lpstr>
      <vt:lpstr>Page10ProjectsLine5</vt:lpstr>
      <vt:lpstr>Page10ProjectsLine6</vt:lpstr>
      <vt:lpstr>Page10PropertyDisbursement</vt:lpstr>
      <vt:lpstr>Page10PropertyDisbursementDetail</vt:lpstr>
      <vt:lpstr>Page10Remaining</vt:lpstr>
      <vt:lpstr>Page10TechDetail</vt:lpstr>
      <vt:lpstr>Page10TechDetailLine7</vt:lpstr>
      <vt:lpstr>Page10TotalAward</vt:lpstr>
      <vt:lpstr>Page3AdjBeginProjBal</vt:lpstr>
      <vt:lpstr>Page4AdjBeginProjBal</vt:lpstr>
      <vt:lpstr>Page5AdjBeginProjBal</vt:lpstr>
      <vt:lpstr>'Accounting data'!Print_Area</vt:lpstr>
      <vt:lpstr>Alerts!Print_Area</vt:lpstr>
      <vt:lpstr>'Cover Page'!Print_Area</vt:lpstr>
      <vt:lpstr>'Food Service'!Print_Area</vt:lpstr>
      <vt:lpstr>Instructions!Print_Area</vt:lpstr>
      <vt:lpstr>'Page 1'!Print_Area</vt:lpstr>
      <vt:lpstr>'Page 10'!Print_Area</vt:lpstr>
      <vt:lpstr>'Page 2'!Print_Area</vt:lpstr>
      <vt:lpstr>'Page 3'!Print_Area</vt:lpstr>
      <vt:lpstr>'Page 4'!Print_Area</vt:lpstr>
      <vt:lpstr>'Page 6'!Print_Area</vt:lpstr>
      <vt:lpstr>'Page 7'!Print_Area</vt:lpstr>
      <vt:lpstr>'Page 8'!Print_Area</vt:lpstr>
      <vt:lpstr>'Page 9'!Print_Area</vt:lpstr>
      <vt:lpstr>'Reserve balance'!Print_Area</vt:lpstr>
      <vt:lpstr>Summary!Print_Area</vt:lpstr>
      <vt:lpstr>PriorYearSalary</vt:lpstr>
      <vt:lpstr>PropertyDisbursements</vt:lpstr>
      <vt:lpstr>PropertyDisbursementsByType</vt:lpstr>
      <vt:lpstr>ReserveBalSecA</vt:lpstr>
      <vt:lpstr>ReserveBalSecAl1</vt:lpstr>
      <vt:lpstr>ReserveBalSecAl2</vt:lpstr>
      <vt:lpstr>ReserveBalSecAl3</vt:lpstr>
      <vt:lpstr>ReserveBalSecAl3a</vt:lpstr>
      <vt:lpstr>ReserveBalSecAl3b</vt:lpstr>
      <vt:lpstr>ReserveBalSecAl3c</vt:lpstr>
      <vt:lpstr>ReserveBalSecAl3d</vt:lpstr>
      <vt:lpstr>ReserveBalSecAl3e</vt:lpstr>
      <vt:lpstr>ReserveBalSecAl3f</vt:lpstr>
      <vt:lpstr>ReserveBalSecAl3g</vt:lpstr>
      <vt:lpstr>ReserveBalSecB</vt:lpstr>
      <vt:lpstr>ReserveBalSecBl4</vt:lpstr>
      <vt:lpstr>ReserveBalSecBl5</vt:lpstr>
      <vt:lpstr>Restricted3200</vt:lpstr>
      <vt:lpstr>Revenue_From_Selected_Federal_Sources</vt:lpstr>
      <vt:lpstr>REVENUES</vt:lpstr>
      <vt:lpstr>School_Listing_Tab</vt:lpstr>
      <vt:lpstr>SchoolwideEndBal</vt:lpstr>
      <vt:lpstr>Section_C_Transportation</vt:lpstr>
      <vt:lpstr>SectionA</vt:lpstr>
      <vt:lpstr>SectionB</vt:lpstr>
      <vt:lpstr>SectionC</vt:lpstr>
      <vt:lpstr>SectionD</vt:lpstr>
      <vt:lpstr>SectionE</vt:lpstr>
      <vt:lpstr>SectionF</vt:lpstr>
      <vt:lpstr>SectionG</vt:lpstr>
      <vt:lpstr>SEIP1071EndBal</vt:lpstr>
      <vt:lpstr>Snacks</vt:lpstr>
      <vt:lpstr>SP1000ClassSiteProj</vt:lpstr>
      <vt:lpstr>SP1000CompInstrProj</vt:lpstr>
      <vt:lpstr>SP1000FedStProj</vt:lpstr>
      <vt:lpstr>SP1000InstrImpProj</vt:lpstr>
      <vt:lpstr>SP1000P100F1000</vt:lpstr>
      <vt:lpstr>SP1000P100F2100</vt:lpstr>
      <vt:lpstr>SP1000P100F2200</vt:lpstr>
      <vt:lpstr>SP1000P100F2300</vt:lpstr>
      <vt:lpstr>SP1000P100F2400</vt:lpstr>
      <vt:lpstr>SP1000P100F2500</vt:lpstr>
      <vt:lpstr>SP1000P100F2600</vt:lpstr>
      <vt:lpstr>SP1000P100F2900</vt:lpstr>
      <vt:lpstr>SP1000P100F3000</vt:lpstr>
      <vt:lpstr>SP1000P100F4000</vt:lpstr>
      <vt:lpstr>SP1000P100F5000</vt:lpstr>
      <vt:lpstr>SP1000P200F1000</vt:lpstr>
      <vt:lpstr>SP1000P200F2100</vt:lpstr>
      <vt:lpstr>SP1000P200F2200</vt:lpstr>
      <vt:lpstr>SP1000P200F2300</vt:lpstr>
      <vt:lpstr>SP1000P200F2400</vt:lpstr>
      <vt:lpstr>SP1000P200F2500</vt:lpstr>
      <vt:lpstr>SP1000P200F2600</vt:lpstr>
      <vt:lpstr>SP1000P200F2900</vt:lpstr>
      <vt:lpstr>SP1000P200F3000</vt:lpstr>
      <vt:lpstr>SP1000P200F4000</vt:lpstr>
      <vt:lpstr>SP1000P200F5000</vt:lpstr>
      <vt:lpstr>SP1000P400</vt:lpstr>
      <vt:lpstr>SP1000P530</vt:lpstr>
      <vt:lpstr>SP1000P540</vt:lpstr>
      <vt:lpstr>SP1000P550</vt:lpstr>
      <vt:lpstr>SP1000P610</vt:lpstr>
      <vt:lpstr>SP1000P620</vt:lpstr>
      <vt:lpstr>SP1000P630700800900</vt:lpstr>
      <vt:lpstr>SP1000StruEngImmProj</vt:lpstr>
      <vt:lpstr>SpecialEdProgramsByType</vt:lpstr>
      <vt:lpstr>StP1400EndBal</vt:lpstr>
      <vt:lpstr>StP1410EndBal</vt:lpstr>
      <vt:lpstr>StP1420EndBal</vt:lpstr>
      <vt:lpstr>StP1425EndBal</vt:lpstr>
      <vt:lpstr>StP1430EndBal</vt:lpstr>
      <vt:lpstr>StP1435EndBal</vt:lpstr>
      <vt:lpstr>StP1450EndBal</vt:lpstr>
      <vt:lpstr>StP1456EndBal</vt:lpstr>
      <vt:lpstr>StP1460EndBal</vt:lpstr>
      <vt:lpstr>StP1465EndBal</vt:lpstr>
      <vt:lpstr>StP14701499EndBal</vt:lpstr>
      <vt:lpstr>StP14XXEndBal</vt:lpstr>
      <vt:lpstr>SumADM</vt:lpstr>
      <vt:lpstr>SumGen</vt:lpstr>
      <vt:lpstr>SupportServicesInstructionDetail</vt:lpstr>
      <vt:lpstr>TeacherSalaries</vt:lpstr>
      <vt:lpstr>TeacherSalariesLine1</vt:lpstr>
      <vt:lpstr>TeacherSalariesLine2</vt:lpstr>
      <vt:lpstr>TeacherSalariesLine3</vt:lpstr>
      <vt:lpstr>TeacherSalariesLine4</vt:lpstr>
      <vt:lpstr>TeacherSalariesLine5</vt:lpstr>
      <vt:lpstr>TechnologyDetail</vt:lpstr>
      <vt:lpstr>TotalActualGiftedExpenses</vt:lpstr>
      <vt:lpstr>TotalCIP6100</vt:lpstr>
      <vt:lpstr>TotalCIP6200</vt:lpstr>
      <vt:lpstr>TotalCIP630064006500</vt:lpstr>
      <vt:lpstr>TotalCIP6600</vt:lpstr>
      <vt:lpstr>TotalCIP6800</vt:lpstr>
      <vt:lpstr>TotalSEIP6100</vt:lpstr>
      <vt:lpstr>TotalSEIP6200</vt:lpstr>
      <vt:lpstr>TotalSEIP630064006500</vt:lpstr>
      <vt:lpstr>TotalSEIP6600</vt:lpstr>
      <vt:lpstr>TotalSEIP6800</vt:lpstr>
      <vt:lpstr>TotExpSchoolwide</vt:lpstr>
      <vt:lpstr>Unrestricted_Restricted_4100_4300</vt:lpstr>
      <vt:lpstr>Unrestricted_Restricted_4200_4500</vt:lpstr>
      <vt:lpstr>UtilitiesandEnergyServices</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AFR</dc:title>
  <dc:subject/>
  <dc:creator>AZ Auditor General</dc:creator>
  <cp:keywords/>
  <dc:description/>
  <cp:lastModifiedBy>Anne Ortiz</cp:lastModifiedBy>
  <cp:lastPrinted>2025-08-06T17:38:46Z</cp:lastPrinted>
  <dcterms:created xsi:type="dcterms:W3CDTF">1997-10-09T09:56:13Z</dcterms:created>
  <dcterms:modified xsi:type="dcterms:W3CDTF">2025-09-04T18:21:28Z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11</vt:lpwstr>
  </property>
  <property fmtid="{D5CDD505-2E9C-101B-9397-08002B2CF9AE}" pid="4" name="SchoolBySchool">
    <vt:lpwstr>0</vt:lpwstr>
  </property>
  <property fmtid="{D5CDD505-2E9C-101B-9397-08002B2CF9AE}" pid="5" name="Password">
    <vt:lpwstr>DBacks123</vt:lpwstr>
  </property>
  <property fmtid="{D5CDD505-2E9C-101B-9397-08002B2CF9AE}" pid="6" name="ContentTypeId">
    <vt:lpwstr>0x01010011E11B9217455B40B8FBB9893A94134E</vt:lpwstr>
  </property>
  <property fmtid="{D5CDD505-2E9C-101B-9397-08002B2CF9AE}" pid="7" name="MediaServiceImageTags">
    <vt:lpwstr/>
  </property>
  <property fmtid="{D5CDD505-2E9C-101B-9397-08002B2CF9AE}" pid="8" name="ADEGUID">
    <vt:lpwstr>2FA88DA1-0A61-4956-8BBE-A52B9F9C88BB</vt:lpwstr>
  </property>
</Properties>
</file>