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edgehs-my.sharepoint.com/personal/anneo_edgehighschool_org/Documents/anneo/My Documents/2026/AFR/"/>
    </mc:Choice>
  </mc:AlternateContent>
  <xr:revisionPtr revIDLastSave="0" documentId="8_{88C16868-E2BB-4C81-87DC-58EAB04B9265}" xr6:coauthVersionLast="47" xr6:coauthVersionMax="47" xr10:uidLastSave="{00000000-0000-0000-0000-000000000000}"/>
  <workbookProtection workbookAlgorithmName="SHA-512" workbookHashValue="Z27sMSK689b2J/ZL3bx0abO1VbxqRjup8FXNqOzF2DiDV7ZNUgsR+QbkK953PlZyhbsFPPcGHSaNaUDefWa0fg==" workbookSaltValue="XosFRPBKIPdQHRe6I8rjag==" workbookSpinCount="100000" lockStructure="1"/>
  <bookViews>
    <workbookView xWindow="-108" yWindow="-108" windowWidth="23256" windowHeight="12456" tabRatio="884" activeTab="6" xr2:uid="{4DAE2DD1-B27C-415E-BB72-A2BE14A60BF2}"/>
  </bookViews>
  <sheets>
    <sheet name="Cover Page" sheetId="2" r:id="rId1"/>
    <sheet name="Page 1" sheetId="8" r:id="rId2"/>
    <sheet name="Page 2" sheetId="7" r:id="rId3"/>
    <sheet name="Page 3" sheetId="22" r:id="rId4"/>
    <sheet name="Page 4" sheetId="12" r:id="rId5"/>
    <sheet name="Page 5" sheetId="14" r:id="rId6"/>
    <sheet name="Page 6" sheetId="6" r:id="rId7"/>
    <sheet name="Page 7" sheetId="5" r:id="rId8"/>
    <sheet name="Page 8" sheetId="4" r:id="rId9"/>
    <sheet name="Page 9" sheetId="15" r:id="rId10"/>
    <sheet name="Page 10" sheetId="23" r:id="rId11"/>
    <sheet name="Food Service" sheetId="26" r:id="rId12"/>
    <sheet name="Summary" sheetId="24" r:id="rId13"/>
    <sheet name="Reserve balance" sheetId="25" r:id="rId14"/>
    <sheet name="School listing" sheetId="20" r:id="rId15"/>
    <sheet name="Accounting data" sheetId="21" r:id="rId16"/>
    <sheet name="Calculations" sheetId="18" r:id="rId17"/>
  </sheets>
  <definedNames>
    <definedName name="_xlnm._FilterDatabase" localSheetId="15" hidden="1">'Accounting data'!$A$1:$L$4340</definedName>
    <definedName name="_xlnm._FilterDatabase" localSheetId="16" hidden="1">Calculations!$A$1:$E$1527</definedName>
    <definedName name="_Order1" hidden="1">255</definedName>
    <definedName name="Account">'Accounting data'!$A$1</definedName>
    <definedName name="ActualTotalFederalAndStateProjects">'Page 8'!$K$42</definedName>
    <definedName name="ActualTotalInstImpExp">'Page 4'!$I$11</definedName>
    <definedName name="AddlInstrImprProjEndBal">'Page 4'!$F$20</definedName>
    <definedName name="Allocation_to_Schools_2">"TextBox 1"</definedName>
    <definedName name="CashBal">'Page 6'!$F$6</definedName>
    <definedName name="CIP1072EndBal">'Page 5'!$P$48</definedName>
    <definedName name="CSPEndBal">'Page 3'!$F$31</definedName>
    <definedName name="District_Name">'School listing'!$A$1</definedName>
    <definedName name="FP11001130EndBal">'Page 8'!$N$6</definedName>
    <definedName name="FP11401150EndBal">'Page 8'!$N$7</definedName>
    <definedName name="FP1160EndBal">'Page 8'!$N$8</definedName>
    <definedName name="FP11701180EndBal">'Page 8'!$N$9</definedName>
    <definedName name="FP1190EndBal">'Page 8'!$N$10</definedName>
    <definedName name="FP1200EndBal">'Page 8'!$N$11</definedName>
    <definedName name="FP1210EndBal">'Page 8'!$N$12</definedName>
    <definedName name="FP1220EndBal">'Page 8'!$N$13</definedName>
    <definedName name="FP1230EndBal">'Page 8'!$N$14</definedName>
    <definedName name="FP1240EndBal">'Page 8'!$N$15</definedName>
    <definedName name="FP1250EndBal">'Page 8'!$N$16</definedName>
    <definedName name="FP1260EndBal">'Page 8'!$N$17</definedName>
    <definedName name="FP1280EndBal">'Page 8'!$N$18</definedName>
    <definedName name="FP1290EndBal">'Page 8'!$N$19</definedName>
    <definedName name="FP1300EndBal">'Page 8'!$N$20</definedName>
    <definedName name="FP13101399EndBal">'Page 8'!$N$22</definedName>
    <definedName name="FP13XXImpactAidEndBal">'Page 8'!$N$21</definedName>
    <definedName name="_xlnm.Print_Area" localSheetId="15">'Accounting data'!$A:$L</definedName>
    <definedName name="_xlnm.Print_Area" localSheetId="0">'Cover Page'!$A$1:$R$35</definedName>
    <definedName name="_xlnm.Print_Area" localSheetId="11">'Food Service'!$A$1:$P$44</definedName>
    <definedName name="_xlnm.Print_Area" localSheetId="1">'Page 1'!$A$1:$N$43</definedName>
    <definedName name="_xlnm.Print_Area" localSheetId="10">'Page 10'!$A$1:$P$46</definedName>
    <definedName name="_xlnm.Print_Area" localSheetId="2">'Page 2'!$A$1:$M$48</definedName>
    <definedName name="_xlnm.Print_Area" localSheetId="3">'Page 3'!$A$1:$L$31</definedName>
    <definedName name="_xlnm.Print_Area" localSheetId="4">'Page 4'!$A$1:$M$30</definedName>
    <definedName name="_xlnm.Print_Area" localSheetId="6">'Page 6'!$A$1:$U$42</definedName>
    <definedName name="_xlnm.Print_Area" localSheetId="7">'Page 7'!$A$1:$W$34</definedName>
    <definedName name="_xlnm.Print_Area" localSheetId="8">'Page 8'!$A$1:$O$42</definedName>
    <definedName name="_xlnm.Print_Area" localSheetId="9">'Page 9'!$A$1:$L$63</definedName>
    <definedName name="_xlnm.Print_Area" localSheetId="13">'Reserve balance'!$A$1:$M$46</definedName>
    <definedName name="_xlnm.Print_Area" localSheetId="12">Summary!$A$1:$V$24</definedName>
    <definedName name="PriorYearSalary">'Page 6'!$T$30</definedName>
    <definedName name="SchoolwideEndBal">Summary!$K$17</definedName>
    <definedName name="SEIP1071EndBal">'Page 5'!$P$26</definedName>
    <definedName name="SP1000ClassSiteProj">'Page 2'!$J$43</definedName>
    <definedName name="SP1000CompInstrProj">'Page 2'!$J$46</definedName>
    <definedName name="SP1000FedStProj">'Page 2'!$J$47</definedName>
    <definedName name="SP1000InstrImpProj">'Page 2'!$J$44</definedName>
    <definedName name="SP1000P100F1000">'Page 2'!$J$7</definedName>
    <definedName name="SP1000P100F2100">'Page 2'!$J$9</definedName>
    <definedName name="SP1000P100F2200">'Page 2'!$J$10</definedName>
    <definedName name="SP1000P100F2300">'Page 2'!$J$11</definedName>
    <definedName name="SP1000P100F2400">'Page 2'!$J$12</definedName>
    <definedName name="SP1000P100F2500">'Page 2'!$J$13</definedName>
    <definedName name="SP1000P100F2600">'Page 2'!$J$14</definedName>
    <definedName name="SP1000P100F2900">'Page 2'!$J$15</definedName>
    <definedName name="SP1000P100F3000">'Page 2'!$J$16</definedName>
    <definedName name="SP1000P100F4000">'Page 2'!$J$17</definedName>
    <definedName name="SP1000P100F5000">'Page 2'!$J$18</definedName>
    <definedName name="SP1000P200F1000">'Page 2'!$J$25</definedName>
    <definedName name="SP1000P200F2100">'Page 2'!$J$27</definedName>
    <definedName name="SP1000P200F2200">'Page 2'!$J$28</definedName>
    <definedName name="SP1000P200F2300">'Page 2'!$J$29</definedName>
    <definedName name="SP1000P200F2400">'Page 2'!$J$30</definedName>
    <definedName name="SP1000P200F2500">'Page 2'!$J$31</definedName>
    <definedName name="SP1000P200F2600">'Page 2'!$J$32</definedName>
    <definedName name="SP1000P200F2900">'Page 2'!$J$33</definedName>
    <definedName name="SP1000P200F3000">'Page 2'!$J$34</definedName>
    <definedName name="SP1000P200F4000">'Page 2'!$J$35</definedName>
    <definedName name="SP1000P200F5000">'Page 2'!$J$36</definedName>
    <definedName name="SP1000P400">'Page 2'!$J$38</definedName>
    <definedName name="SP1000P530">'Page 2'!$J$39</definedName>
    <definedName name="SP1000P540">'Page 2'!$J$40</definedName>
    <definedName name="SP1000P550">'Page 2'!$J$41</definedName>
    <definedName name="SP1000P610">'Page 2'!$J$19</definedName>
    <definedName name="SP1000P620">'Page 2'!$J$20</definedName>
    <definedName name="SP1000P630700800900">'Page 2'!$J$22</definedName>
    <definedName name="SP1000StruEngImmProj">'Page 2'!$J$45</definedName>
    <definedName name="StP1400EndBal">'Page 8'!$N$28</definedName>
    <definedName name="StP1410EndBal">'Page 8'!$N$29</definedName>
    <definedName name="StP1420EndBal">'Page 8'!$N$30</definedName>
    <definedName name="StP1425EndBal">'Page 8'!$N$31</definedName>
    <definedName name="StP1430EndBal">'Page 8'!$N$32</definedName>
    <definedName name="StP1435EndBal">'Page 8'!$N$33</definedName>
    <definedName name="StP1450EndBal">'Page 8'!$N$34</definedName>
    <definedName name="StP1456EndBal">'Page 8'!$N$35</definedName>
    <definedName name="StP1460EndBal">'Page 8'!$N$36</definedName>
    <definedName name="StP1465EndBal">'Page 8'!$N$37</definedName>
    <definedName name="StP14701499EndBal">'Page 8'!$N$39</definedName>
    <definedName name="StP14XXEndBal">'Page 8'!$N$38</definedName>
    <definedName name="TotalCIP6100">'Page 5'!$I$48</definedName>
    <definedName name="TotalCIP6200">'Page 5'!$J$48</definedName>
    <definedName name="TotalCIP630064006500">'Page 5'!$K$48</definedName>
    <definedName name="TotalCIP6600">'Page 5'!$L$48</definedName>
    <definedName name="TotalCIP6800">'Page 5'!$M$48</definedName>
    <definedName name="TotalSEIP6100">'Page 5'!$I$26</definedName>
    <definedName name="TotalSEIP6200">'Page 5'!$J$26</definedName>
    <definedName name="TotalSEIP630064006500">'Page 5'!$K$26</definedName>
    <definedName name="TotalSEIP6600">'Page 5'!$L$26</definedName>
    <definedName name="TotalSEIP6800">'Page 5'!$M$26</definedName>
    <definedName name="TotExpSchoolwide">'Page 2'!$J$42</definedName>
  </definedNames>
  <calcPr calcId="191029" fullPrecision="0"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 i="8" l="1"/>
  <c r="H1" i="8"/>
  <c r="M1" i="8"/>
  <c r="H5" i="8"/>
  <c r="H6" i="8"/>
  <c r="H7" i="8"/>
  <c r="H8" i="8"/>
  <c r="H9" i="8"/>
  <c r="J10" i="8"/>
  <c r="H11" i="8"/>
  <c r="H12" i="8"/>
  <c r="H13" i="8"/>
  <c r="H14" i="8"/>
  <c r="H15" i="8"/>
  <c r="H16" i="8"/>
  <c r="H17" i="8"/>
  <c r="H18" i="8"/>
  <c r="H19" i="8"/>
  <c r="H20" i="8"/>
  <c r="H23" i="8"/>
  <c r="H24" i="8"/>
  <c r="H25" i="8"/>
  <c r="H26" i="8" s="1"/>
  <c r="H28" i="8"/>
  <c r="H29" i="8"/>
  <c r="H30" i="8"/>
  <c r="H31" i="8"/>
  <c r="H32" i="8"/>
  <c r="H33" i="8" s="1"/>
  <c r="H35" i="8"/>
  <c r="H36" i="8"/>
  <c r="H37" i="8"/>
  <c r="H38" i="8"/>
  <c r="H39" i="8"/>
  <c r="H40" i="8"/>
  <c r="H41" i="8"/>
  <c r="B1" i="7"/>
  <c r="G1" i="7"/>
  <c r="L1" i="7"/>
  <c r="D7" i="7"/>
  <c r="E7" i="7"/>
  <c r="F7" i="7"/>
  <c r="G7" i="7"/>
  <c r="H7" i="7"/>
  <c r="D9" i="7"/>
  <c r="E9" i="7"/>
  <c r="F9" i="7"/>
  <c r="G9" i="7"/>
  <c r="H9" i="7"/>
  <c r="D10" i="7"/>
  <c r="E10" i="7"/>
  <c r="F10" i="7"/>
  <c r="G10" i="7"/>
  <c r="H10" i="7"/>
  <c r="D11" i="7"/>
  <c r="E11" i="7"/>
  <c r="F11" i="7"/>
  <c r="G11" i="7"/>
  <c r="H11" i="7"/>
  <c r="D12" i="7"/>
  <c r="E12" i="7"/>
  <c r="F12" i="7"/>
  <c r="G12" i="7"/>
  <c r="H12" i="7"/>
  <c r="D13" i="7"/>
  <c r="E13" i="7"/>
  <c r="F13" i="7"/>
  <c r="G13" i="7"/>
  <c r="H13" i="7"/>
  <c r="D14" i="7"/>
  <c r="E14" i="7"/>
  <c r="F14" i="7"/>
  <c r="G14" i="7"/>
  <c r="H14" i="7"/>
  <c r="D15" i="7"/>
  <c r="E15" i="7"/>
  <c r="F15" i="7"/>
  <c r="G15" i="7"/>
  <c r="H15" i="7"/>
  <c r="D16" i="7"/>
  <c r="E16" i="7"/>
  <c r="F16" i="7"/>
  <c r="G16" i="7"/>
  <c r="H16" i="7"/>
  <c r="D17" i="7"/>
  <c r="E17" i="7"/>
  <c r="F17" i="7"/>
  <c r="G17" i="7"/>
  <c r="H17" i="7"/>
  <c r="D18" i="7"/>
  <c r="E18" i="7"/>
  <c r="F18" i="7"/>
  <c r="G18" i="7"/>
  <c r="H18" i="7"/>
  <c r="D19" i="7"/>
  <c r="E19" i="7"/>
  <c r="F19" i="7"/>
  <c r="G19" i="7"/>
  <c r="H19" i="7"/>
  <c r="D20" i="7"/>
  <c r="E20" i="7"/>
  <c r="F20" i="7"/>
  <c r="G20" i="7"/>
  <c r="H20" i="7"/>
  <c r="D21" i="7"/>
  <c r="E21" i="7"/>
  <c r="F21" i="7"/>
  <c r="G21" i="7"/>
  <c r="H21" i="7"/>
  <c r="D22" i="7"/>
  <c r="E22" i="7"/>
  <c r="F22" i="7"/>
  <c r="G22" i="7"/>
  <c r="H22" i="7"/>
  <c r="I23" i="7"/>
  <c r="G11" i="24" s="1"/>
  <c r="K23" i="7"/>
  <c r="D25" i="7"/>
  <c r="E25" i="7"/>
  <c r="F25" i="7"/>
  <c r="G25" i="7"/>
  <c r="H25" i="7"/>
  <c r="D27" i="7"/>
  <c r="E27" i="7"/>
  <c r="F27" i="7"/>
  <c r="G27" i="7"/>
  <c r="H27" i="7"/>
  <c r="D28" i="7"/>
  <c r="E28" i="7"/>
  <c r="F28" i="7"/>
  <c r="G28" i="7"/>
  <c r="H28" i="7"/>
  <c r="D29" i="7"/>
  <c r="E29" i="7"/>
  <c r="F29" i="7"/>
  <c r="G29" i="7"/>
  <c r="H29" i="7"/>
  <c r="D30" i="7"/>
  <c r="E30" i="7"/>
  <c r="F30" i="7"/>
  <c r="G30" i="7"/>
  <c r="H30" i="7"/>
  <c r="D31" i="7"/>
  <c r="E31" i="7"/>
  <c r="F31" i="7"/>
  <c r="G31" i="7"/>
  <c r="H31" i="7"/>
  <c r="D32" i="7"/>
  <c r="E32" i="7"/>
  <c r="F32" i="7"/>
  <c r="G32" i="7"/>
  <c r="H32" i="7"/>
  <c r="D33" i="7"/>
  <c r="E33" i="7"/>
  <c r="F33" i="7"/>
  <c r="G33" i="7"/>
  <c r="H33" i="7"/>
  <c r="D34" i="7"/>
  <c r="E34" i="7"/>
  <c r="F34" i="7"/>
  <c r="G34" i="7"/>
  <c r="H34" i="7"/>
  <c r="D35" i="7"/>
  <c r="E35" i="7"/>
  <c r="F35" i="7"/>
  <c r="G35" i="7"/>
  <c r="H35" i="7"/>
  <c r="D36" i="7"/>
  <c r="E36" i="7"/>
  <c r="F36" i="7"/>
  <c r="G36" i="7"/>
  <c r="H36" i="7"/>
  <c r="I37" i="7"/>
  <c r="G12" i="24" s="1"/>
  <c r="K37" i="7"/>
  <c r="D38" i="7"/>
  <c r="E38" i="7"/>
  <c r="F38" i="7"/>
  <c r="G38" i="7"/>
  <c r="H38" i="7"/>
  <c r="D39" i="7"/>
  <c r="E39" i="7"/>
  <c r="F39" i="7"/>
  <c r="G39" i="7"/>
  <c r="H39" i="7"/>
  <c r="D40" i="7"/>
  <c r="E40" i="7"/>
  <c r="F40" i="7"/>
  <c r="G40" i="7"/>
  <c r="H40" i="7"/>
  <c r="D41" i="7"/>
  <c r="E41" i="7"/>
  <c r="F41" i="7"/>
  <c r="G41" i="7"/>
  <c r="H41" i="7"/>
  <c r="J44" i="7"/>
  <c r="L44" i="7" s="1"/>
  <c r="D1" i="22"/>
  <c r="G1" i="22"/>
  <c r="J1" i="22"/>
  <c r="F8" i="22"/>
  <c r="G8" i="22"/>
  <c r="H8" i="22"/>
  <c r="I8" i="22"/>
  <c r="F9" i="22"/>
  <c r="G9" i="22"/>
  <c r="H9" i="22"/>
  <c r="I9" i="22"/>
  <c r="F10" i="22"/>
  <c r="G10" i="22"/>
  <c r="H10" i="22"/>
  <c r="I10" i="22"/>
  <c r="H11" i="22"/>
  <c r="K11" i="22" s="1"/>
  <c r="F12" i="22"/>
  <c r="G12" i="22"/>
  <c r="H12" i="22"/>
  <c r="G18" i="22"/>
  <c r="H43" i="7" s="1"/>
  <c r="AA18" i="22"/>
  <c r="F26" i="22"/>
  <c r="F27" i="22"/>
  <c r="C1" i="12"/>
  <c r="H1" i="12"/>
  <c r="M1" i="12"/>
  <c r="I7" i="12"/>
  <c r="AA7" i="12"/>
  <c r="I8" i="12"/>
  <c r="I9" i="12"/>
  <c r="I10" i="12"/>
  <c r="F11" i="12"/>
  <c r="G11" i="12"/>
  <c r="H11" i="12"/>
  <c r="G19" i="24" s="1"/>
  <c r="F17" i="12"/>
  <c r="F18" i="12" s="1"/>
  <c r="G29" i="12"/>
  <c r="D1" i="14"/>
  <c r="K1" i="14"/>
  <c r="P1" i="14"/>
  <c r="H8" i="14"/>
  <c r="H9" i="14"/>
  <c r="I13" i="14"/>
  <c r="J13" i="14"/>
  <c r="K13" i="14"/>
  <c r="L13" i="14"/>
  <c r="M13" i="14"/>
  <c r="I15" i="14"/>
  <c r="J15" i="14"/>
  <c r="K15" i="14"/>
  <c r="L15" i="14"/>
  <c r="M15" i="14"/>
  <c r="I16" i="14"/>
  <c r="J16" i="14"/>
  <c r="K16" i="14"/>
  <c r="L16" i="14"/>
  <c r="M16" i="14"/>
  <c r="I17" i="14"/>
  <c r="J17" i="14"/>
  <c r="K17" i="14"/>
  <c r="L17" i="14"/>
  <c r="M17" i="14"/>
  <c r="I18" i="14"/>
  <c r="J18" i="14"/>
  <c r="K18" i="14"/>
  <c r="L18" i="14"/>
  <c r="M18" i="14"/>
  <c r="I19" i="14"/>
  <c r="J19" i="14"/>
  <c r="K19" i="14"/>
  <c r="L19" i="14"/>
  <c r="M19" i="14"/>
  <c r="I20" i="14"/>
  <c r="J20" i="14"/>
  <c r="K20" i="14"/>
  <c r="L20" i="14"/>
  <c r="M20" i="14"/>
  <c r="I21" i="14"/>
  <c r="J21" i="14"/>
  <c r="K21" i="14"/>
  <c r="L21" i="14"/>
  <c r="M21" i="14"/>
  <c r="N22" i="14"/>
  <c r="N26" i="14" s="1"/>
  <c r="G20" i="24" s="1"/>
  <c r="I25" i="14"/>
  <c r="J25" i="14"/>
  <c r="K25" i="14"/>
  <c r="L25" i="14"/>
  <c r="M25" i="14"/>
  <c r="H30" i="14"/>
  <c r="H31" i="14"/>
  <c r="I35" i="14"/>
  <c r="J35" i="14"/>
  <c r="K35" i="14"/>
  <c r="L35" i="14"/>
  <c r="M35" i="14"/>
  <c r="I37" i="14"/>
  <c r="J37" i="14"/>
  <c r="K37" i="14"/>
  <c r="L37" i="14"/>
  <c r="M37" i="14"/>
  <c r="I38" i="14"/>
  <c r="J38" i="14"/>
  <c r="K38" i="14"/>
  <c r="L38" i="14"/>
  <c r="M38" i="14"/>
  <c r="I39" i="14"/>
  <c r="J39" i="14"/>
  <c r="K39" i="14"/>
  <c r="L39" i="14"/>
  <c r="M39" i="14"/>
  <c r="I40" i="14"/>
  <c r="J40" i="14"/>
  <c r="K40" i="14"/>
  <c r="L40" i="14"/>
  <c r="M40" i="14"/>
  <c r="I41" i="14"/>
  <c r="J41" i="14"/>
  <c r="K41" i="14"/>
  <c r="L41" i="14"/>
  <c r="M41" i="14"/>
  <c r="I42" i="14"/>
  <c r="J42" i="14"/>
  <c r="K42" i="14"/>
  <c r="L42" i="14"/>
  <c r="M42" i="14"/>
  <c r="I43" i="14"/>
  <c r="J43" i="14"/>
  <c r="K43" i="14"/>
  <c r="L43" i="14"/>
  <c r="M43" i="14"/>
  <c r="N44" i="14"/>
  <c r="N48" i="14" s="1"/>
  <c r="G21" i="24" s="1"/>
  <c r="I47" i="14"/>
  <c r="J47" i="14"/>
  <c r="K47" i="14"/>
  <c r="L47" i="14"/>
  <c r="M47" i="14"/>
  <c r="C1" i="6"/>
  <c r="L1" i="6"/>
  <c r="U1" i="6"/>
  <c r="AA7" i="6"/>
  <c r="AA8" i="6"/>
  <c r="AA9" i="6"/>
  <c r="F11" i="6"/>
  <c r="G11" i="6"/>
  <c r="F20" i="6"/>
  <c r="G20" i="6"/>
  <c r="F29" i="6"/>
  <c r="T31" i="6"/>
  <c r="T32" i="6" s="1"/>
  <c r="G39" i="6"/>
  <c r="G41" i="6" s="1"/>
  <c r="D1" i="5"/>
  <c r="L1" i="5"/>
  <c r="V1" i="5"/>
  <c r="R8" i="5"/>
  <c r="AA8" i="5"/>
  <c r="R9" i="5"/>
  <c r="AA9" i="5"/>
  <c r="R10" i="5"/>
  <c r="E11" i="5"/>
  <c r="F11" i="5"/>
  <c r="G11" i="5"/>
  <c r="H11" i="5"/>
  <c r="I11" i="5"/>
  <c r="J11" i="5"/>
  <c r="K11" i="5"/>
  <c r="L11" i="5"/>
  <c r="M11" i="5"/>
  <c r="N11" i="5"/>
  <c r="O11" i="5"/>
  <c r="P11" i="5"/>
  <c r="Q11" i="5"/>
  <c r="AA11" i="5"/>
  <c r="D19" i="5"/>
  <c r="S23" i="5"/>
  <c r="T23" i="5"/>
  <c r="B1" i="4"/>
  <c r="H1" i="4"/>
  <c r="N1" i="4"/>
  <c r="G6" i="4"/>
  <c r="H6" i="4"/>
  <c r="K6" i="4"/>
  <c r="AC6" i="4"/>
  <c r="G7" i="4"/>
  <c r="H7" i="4"/>
  <c r="K7" i="4"/>
  <c r="AC7" i="4"/>
  <c r="G8" i="4"/>
  <c r="H8" i="4"/>
  <c r="K8" i="4"/>
  <c r="AC8" i="4"/>
  <c r="G9" i="4"/>
  <c r="H9" i="4"/>
  <c r="K9" i="4"/>
  <c r="AC9" i="4"/>
  <c r="G10" i="4"/>
  <c r="H10" i="4"/>
  <c r="K10" i="4"/>
  <c r="AC10" i="4"/>
  <c r="G11" i="4"/>
  <c r="H11" i="4"/>
  <c r="K11" i="4"/>
  <c r="G12" i="4"/>
  <c r="H12" i="4"/>
  <c r="K12" i="4"/>
  <c r="G13" i="4"/>
  <c r="H13" i="4"/>
  <c r="K13" i="4"/>
  <c r="G14" i="4"/>
  <c r="H14" i="4"/>
  <c r="K14" i="4"/>
  <c r="G15" i="4"/>
  <c r="H15" i="4"/>
  <c r="K15" i="4"/>
  <c r="G16" i="4"/>
  <c r="H16" i="4"/>
  <c r="K16" i="4"/>
  <c r="G17" i="4"/>
  <c r="H17" i="4"/>
  <c r="K17" i="4"/>
  <c r="G18" i="4"/>
  <c r="H18" i="4"/>
  <c r="K18" i="4"/>
  <c r="G19" i="4"/>
  <c r="H19" i="4"/>
  <c r="K19" i="4"/>
  <c r="G20" i="4"/>
  <c r="H20" i="4"/>
  <c r="K20" i="4"/>
  <c r="G21" i="4"/>
  <c r="H21" i="4"/>
  <c r="K21" i="4"/>
  <c r="G22" i="4"/>
  <c r="H22" i="4"/>
  <c r="K22" i="4"/>
  <c r="E23" i="4"/>
  <c r="F23" i="4" a="1"/>
  <c r="F23" i="4" s="1"/>
  <c r="I23" i="4"/>
  <c r="F22" i="24" s="1"/>
  <c r="J23" i="4"/>
  <c r="G22" i="24" s="1"/>
  <c r="L23" i="4"/>
  <c r="M23" i="4"/>
  <c r="I22" i="24" s="1"/>
  <c r="H25" i="4" a="1"/>
  <c r="H25" i="4" s="1"/>
  <c r="K25" i="4" a="1"/>
  <c r="K25" i="4" s="1"/>
  <c r="Q25" i="4" a="1"/>
  <c r="Q25" i="4" s="1"/>
  <c r="Z25" i="4" a="1"/>
  <c r="Z25" i="4" s="1"/>
  <c r="G28" i="4"/>
  <c r="K28" i="4"/>
  <c r="G29" i="4"/>
  <c r="K29" i="4"/>
  <c r="G30" i="4"/>
  <c r="K30" i="4"/>
  <c r="G31" i="4"/>
  <c r="K31" i="4"/>
  <c r="G32" i="4"/>
  <c r="K32" i="4"/>
  <c r="G33" i="4"/>
  <c r="K33" i="4"/>
  <c r="G34" i="4"/>
  <c r="K34" i="4"/>
  <c r="G35" i="4"/>
  <c r="K35" i="4"/>
  <c r="G36" i="4"/>
  <c r="K36" i="4"/>
  <c r="G37" i="4"/>
  <c r="K37" i="4"/>
  <c r="G38" i="4"/>
  <c r="K38" i="4"/>
  <c r="G39" i="4"/>
  <c r="K39" i="4"/>
  <c r="E40" i="4"/>
  <c r="F40" i="4" a="1"/>
  <c r="F40" i="4" s="1"/>
  <c r="I40" i="4"/>
  <c r="J40" i="4"/>
  <c r="L40" i="4"/>
  <c r="M40" i="4"/>
  <c r="I23" i="24" s="1"/>
  <c r="B1" i="15"/>
  <c r="F1" i="15"/>
  <c r="K1" i="15"/>
  <c r="AA11" i="15"/>
  <c r="AA12" i="15"/>
  <c r="AA13" i="15"/>
  <c r="K23" i="15"/>
  <c r="D33" i="15" a="1"/>
  <c r="D33" i="15" s="1"/>
  <c r="D34" i="15" a="1"/>
  <c r="D34" i="15" s="1"/>
  <c r="D35" i="15" a="1"/>
  <c r="D35" i="15" s="1"/>
  <c r="K39" i="15"/>
  <c r="B1" i="23"/>
  <c r="H1" i="23"/>
  <c r="L1" i="23"/>
  <c r="D10" i="23" a="1"/>
  <c r="D10" i="23" s="1"/>
  <c r="E10" i="23" a="1"/>
  <c r="E10" i="23" s="1"/>
  <c r="F10" i="23" a="1"/>
  <c r="F10" i="23" s="1"/>
  <c r="G10" i="23" a="1"/>
  <c r="G10" i="23" s="1"/>
  <c r="H10" i="23" a="1"/>
  <c r="H10" i="23" s="1"/>
  <c r="J10" i="23" a="1"/>
  <c r="J10" i="23" s="1"/>
  <c r="K10" i="23" a="1"/>
  <c r="K10" i="23" s="1"/>
  <c r="M10" i="23" a="1"/>
  <c r="M10" i="23" s="1"/>
  <c r="D11" i="23" a="1"/>
  <c r="D11" i="23" s="1"/>
  <c r="E11" i="23" a="1"/>
  <c r="E11" i="23" s="1"/>
  <c r="F11" i="23" a="1"/>
  <c r="F11" i="23" s="1"/>
  <c r="G11" i="23" a="1"/>
  <c r="G11" i="23" s="1"/>
  <c r="H11" i="23" a="1"/>
  <c r="H11" i="23" s="1"/>
  <c r="J11" i="23" a="1"/>
  <c r="J11" i="23" s="1"/>
  <c r="K11" i="23" a="1"/>
  <c r="K11" i="23" s="1"/>
  <c r="M11" i="23" a="1"/>
  <c r="M11" i="23" s="1"/>
  <c r="D12" i="23" a="1"/>
  <c r="D12" i="23" s="1"/>
  <c r="E12" i="23" a="1"/>
  <c r="E12" i="23" s="1"/>
  <c r="F12" i="23" a="1"/>
  <c r="F12" i="23" s="1"/>
  <c r="G12" i="23" a="1"/>
  <c r="G12" i="23" s="1"/>
  <c r="H12" i="23" a="1"/>
  <c r="H12" i="23" s="1"/>
  <c r="I12" i="23" a="1"/>
  <c r="I12" i="23" s="1"/>
  <c r="I19" i="23" s="1"/>
  <c r="J12" i="23" a="1"/>
  <c r="J12" i="23" s="1"/>
  <c r="K12" i="23" a="1"/>
  <c r="K12" i="23" s="1"/>
  <c r="AA12" i="23" a="1"/>
  <c r="AA12" i="23" s="1"/>
  <c r="M12" i="23" s="1" a="1"/>
  <c r="M12" i="23" s="1"/>
  <c r="D13" i="23" a="1"/>
  <c r="D13" i="23" s="1"/>
  <c r="E13" i="23" a="1"/>
  <c r="E13" i="23" s="1"/>
  <c r="F13" i="23" a="1"/>
  <c r="F13" i="23" s="1"/>
  <c r="G13" i="23" a="1"/>
  <c r="G13" i="23" s="1"/>
  <c r="H13" i="23" a="1"/>
  <c r="H13" i="23" s="1"/>
  <c r="J13" i="23" a="1"/>
  <c r="J13" i="23" s="1"/>
  <c r="K13" i="23" a="1"/>
  <c r="K13" i="23" s="1"/>
  <c r="M13" i="23" a="1"/>
  <c r="M13" i="23" s="1"/>
  <c r="D14" i="23" a="1"/>
  <c r="D14" i="23" s="1"/>
  <c r="E14" i="23" a="1"/>
  <c r="E14" i="23" s="1"/>
  <c r="F14" i="23" a="1"/>
  <c r="F14" i="23" s="1"/>
  <c r="G14" i="23" a="1"/>
  <c r="G14" i="23" s="1"/>
  <c r="H14" i="23" a="1"/>
  <c r="H14" i="23" s="1"/>
  <c r="J14" i="23" a="1"/>
  <c r="J14" i="23" s="1"/>
  <c r="K14" i="23" a="1"/>
  <c r="K14" i="23" s="1"/>
  <c r="M14" i="23" a="1"/>
  <c r="M14" i="23" s="1"/>
  <c r="D15" i="23" a="1"/>
  <c r="D15" i="23" s="1"/>
  <c r="E15" i="23" a="1"/>
  <c r="E15" i="23" s="1"/>
  <c r="F15" i="23" a="1"/>
  <c r="F15" i="23" s="1"/>
  <c r="G15" i="23" a="1"/>
  <c r="G15" i="23" s="1"/>
  <c r="H15" i="23" a="1"/>
  <c r="H15" i="23" s="1"/>
  <c r="J15" i="23" a="1"/>
  <c r="J15" i="23" s="1"/>
  <c r="K15" i="23" a="1"/>
  <c r="K15" i="23" s="1"/>
  <c r="M15" i="23" a="1"/>
  <c r="M15" i="23" s="1"/>
  <c r="D16" i="23" a="1"/>
  <c r="D16" i="23" s="1"/>
  <c r="E16" i="23" a="1"/>
  <c r="E16" i="23" s="1"/>
  <c r="F16" i="23" a="1"/>
  <c r="F16" i="23" s="1"/>
  <c r="G16" i="23" a="1"/>
  <c r="G16" i="23" s="1"/>
  <c r="H16" i="23" a="1"/>
  <c r="H16" i="23" s="1"/>
  <c r="J16" i="23" a="1"/>
  <c r="J16" i="23" s="1"/>
  <c r="K16" i="23" a="1"/>
  <c r="K16" i="23" s="1"/>
  <c r="M16" i="23" a="1"/>
  <c r="M16" i="23" s="1"/>
  <c r="D17" i="23" a="1"/>
  <c r="D17" i="23" s="1"/>
  <c r="E17" i="23" a="1"/>
  <c r="E17" i="23" s="1"/>
  <c r="F17" i="23" a="1"/>
  <c r="F17" i="23" s="1"/>
  <c r="G17" i="23" a="1"/>
  <c r="G17" i="23" s="1"/>
  <c r="H17" i="23" a="1"/>
  <c r="H17" i="23" s="1"/>
  <c r="J17" i="23" a="1"/>
  <c r="J17" i="23" s="1"/>
  <c r="K17" i="23" a="1"/>
  <c r="K17" i="23" s="1"/>
  <c r="M17" i="23" a="1"/>
  <c r="M17" i="23" s="1"/>
  <c r="L19" i="23"/>
  <c r="O22" i="23"/>
  <c r="E28" i="23"/>
  <c r="J31" i="23"/>
  <c r="L31" i="23"/>
  <c r="M31" i="23"/>
  <c r="N31" i="23"/>
  <c r="O31" i="23"/>
  <c r="P31" i="23"/>
  <c r="L32" i="23"/>
  <c r="M32" i="23"/>
  <c r="N32" i="23"/>
  <c r="O32" i="23"/>
  <c r="P32" i="23"/>
  <c r="G39" i="23"/>
  <c r="G40" i="23"/>
  <c r="N40" i="23"/>
  <c r="G42" i="23"/>
  <c r="D43" i="23"/>
  <c r="E43" i="23"/>
  <c r="F43" i="23"/>
  <c r="C1" i="26"/>
  <c r="I1" i="26"/>
  <c r="O1" i="26"/>
  <c r="O6" i="26"/>
  <c r="E7" i="26"/>
  <c r="H10" i="8" s="1"/>
  <c r="O7" i="26"/>
  <c r="O35" i="26"/>
  <c r="B1" i="24"/>
  <c r="F1" i="24"/>
  <c r="I1" i="24"/>
  <c r="N12" i="24"/>
  <c r="G13" i="24"/>
  <c r="G14" i="24"/>
  <c r="G15" i="24"/>
  <c r="G16" i="24"/>
  <c r="B18" i="24"/>
  <c r="G18" i="24"/>
  <c r="I18" i="24"/>
  <c r="J18" i="24"/>
  <c r="B19" i="24"/>
  <c r="B20" i="24"/>
  <c r="B21" i="24"/>
  <c r="J23" i="24"/>
  <c r="C1" i="25"/>
  <c r="H1" i="25"/>
  <c r="L1" i="25"/>
  <c r="C39" i="25"/>
  <c r="D39" i="25"/>
  <c r="N15" i="24" s="1"/>
  <c r="B1" i="20"/>
  <c r="B2" i="20"/>
  <c r="C7" i="20" s="1"/>
  <c r="B3" i="20"/>
  <c r="Y4" i="21"/>
  <c r="Y5" i="21"/>
  <c r="Y6" i="21"/>
  <c r="Y7" i="21"/>
  <c r="Y8" i="21"/>
  <c r="Y9" i="21"/>
  <c r="Y10" i="21"/>
  <c r="Y11" i="21"/>
  <c r="Y12" i="21"/>
  <c r="Y13" i="21"/>
  <c r="Y14" i="21"/>
  <c r="Y15" i="21"/>
  <c r="Y16" i="21"/>
  <c r="Y17" i="21"/>
  <c r="Y18" i="21"/>
  <c r="Y19" i="21"/>
  <c r="Y20" i="21"/>
  <c r="Y21" i="21"/>
  <c r="E2" i="18"/>
  <c r="E3" i="18"/>
  <c r="E4" i="18"/>
  <c r="E5" i="18"/>
  <c r="E9" i="18"/>
  <c r="E10" i="18"/>
  <c r="E11" i="18"/>
  <c r="E12" i="18"/>
  <c r="E16" i="18"/>
  <c r="E17" i="18"/>
  <c r="E18" i="18"/>
  <c r="E19" i="18"/>
  <c r="E23" i="18"/>
  <c r="E24" i="18"/>
  <c r="E25" i="18"/>
  <c r="E26" i="18"/>
  <c r="E30" i="18"/>
  <c r="E31" i="18"/>
  <c r="E32" i="18"/>
  <c r="E33" i="18"/>
  <c r="E37" i="18"/>
  <c r="E38" i="18"/>
  <c r="E39" i="18"/>
  <c r="E40" i="18"/>
  <c r="E44" i="18"/>
  <c r="E45" i="18"/>
  <c r="E46" i="18"/>
  <c r="E47" i="18"/>
  <c r="E51" i="18"/>
  <c r="E52" i="18"/>
  <c r="E53" i="18"/>
  <c r="E54" i="18"/>
  <c r="E58" i="18"/>
  <c r="E59" i="18"/>
  <c r="E60" i="18"/>
  <c r="E61" i="18"/>
  <c r="E65" i="18"/>
  <c r="E66" i="18"/>
  <c r="E67" i="18"/>
  <c r="E68" i="18"/>
  <c r="E79" i="18"/>
  <c r="E80" i="18"/>
  <c r="E81" i="18"/>
  <c r="E82" i="18"/>
  <c r="E86" i="18"/>
  <c r="E87" i="18"/>
  <c r="E88" i="18"/>
  <c r="E89" i="18"/>
  <c r="E94" i="18"/>
  <c r="E95" i="18"/>
  <c r="E96" i="18"/>
  <c r="E97" i="18"/>
  <c r="E98" i="18"/>
  <c r="E99" i="18"/>
  <c r="E100" i="18"/>
  <c r="E101" i="18"/>
  <c r="E102" i="18"/>
  <c r="E103" i="18"/>
  <c r="E104" i="18"/>
  <c r="E105" i="18"/>
  <c r="E107" i="18"/>
  <c r="E108" i="18"/>
  <c r="E109" i="18"/>
  <c r="E110" i="18"/>
  <c r="E114" i="18"/>
  <c r="E115" i="18"/>
  <c r="E116" i="18"/>
  <c r="E117" i="18"/>
  <c r="E121" i="18"/>
  <c r="E122" i="18"/>
  <c r="E123" i="18"/>
  <c r="E124" i="18"/>
  <c r="E128" i="18"/>
  <c r="E129" i="18"/>
  <c r="E130" i="18"/>
  <c r="E131" i="18"/>
  <c r="E135" i="18"/>
  <c r="E136" i="18"/>
  <c r="E137" i="18"/>
  <c r="E138" i="18"/>
  <c r="E142" i="18"/>
  <c r="E143" i="18"/>
  <c r="E144" i="18"/>
  <c r="E145" i="18"/>
  <c r="E149" i="18"/>
  <c r="E150" i="18"/>
  <c r="E151" i="18"/>
  <c r="E152" i="18"/>
  <c r="E156" i="18"/>
  <c r="E157" i="18"/>
  <c r="E158" i="18"/>
  <c r="E159" i="18"/>
  <c r="E163" i="18"/>
  <c r="E164" i="18"/>
  <c r="E165" i="18"/>
  <c r="E166" i="18"/>
  <c r="E170" i="18"/>
  <c r="E171" i="18"/>
  <c r="E172" i="18"/>
  <c r="E173" i="18"/>
  <c r="E184" i="18"/>
  <c r="E185" i="18"/>
  <c r="E186" i="18"/>
  <c r="E187" i="18"/>
  <c r="E191" i="18"/>
  <c r="E192" i="18"/>
  <c r="E193" i="18"/>
  <c r="E194" i="18"/>
  <c r="E199" i="18"/>
  <c r="E200" i="18"/>
  <c r="E201" i="18"/>
  <c r="E202" i="18"/>
  <c r="E203" i="18"/>
  <c r="E204" i="18"/>
  <c r="E205" i="18"/>
  <c r="E206" i="18"/>
  <c r="E207" i="18"/>
  <c r="E208" i="18"/>
  <c r="E209" i="18"/>
  <c r="E210" i="18"/>
  <c r="E212" i="18"/>
  <c r="E213" i="18"/>
  <c r="E214" i="18"/>
  <c r="E215" i="18"/>
  <c r="E216" i="18"/>
  <c r="E217" i="18"/>
  <c r="E218" i="18"/>
  <c r="E219" i="18"/>
  <c r="E239" i="18"/>
  <c r="E240" i="18"/>
  <c r="E241" i="18"/>
  <c r="E242" i="18"/>
  <c r="E243" i="18"/>
  <c r="E244" i="18"/>
  <c r="E245" i="18"/>
  <c r="E246" i="18"/>
  <c r="E266" i="18"/>
  <c r="E267" i="18"/>
  <c r="E268" i="18"/>
  <c r="E269" i="18"/>
  <c r="E270" i="18"/>
  <c r="E271" i="18"/>
  <c r="E272" i="18"/>
  <c r="E273" i="18"/>
  <c r="E293" i="18"/>
  <c r="E294" i="18"/>
  <c r="E295" i="18"/>
  <c r="E296" i="18"/>
  <c r="E297" i="18"/>
  <c r="E298" i="18"/>
  <c r="E299" i="18"/>
  <c r="E300" i="18"/>
  <c r="E320" i="18"/>
  <c r="E321" i="18"/>
  <c r="E322" i="18"/>
  <c r="E323" i="18"/>
  <c r="E324" i="18"/>
  <c r="E325" i="18"/>
  <c r="E326" i="18"/>
  <c r="E327" i="18"/>
  <c r="E347" i="18"/>
  <c r="E348" i="18"/>
  <c r="E349" i="18"/>
  <c r="E350" i="18"/>
  <c r="E351" i="18"/>
  <c r="E352" i="18"/>
  <c r="E353" i="18"/>
  <c r="E354" i="18"/>
  <c r="E374" i="18"/>
  <c r="E375" i="18"/>
  <c r="E376" i="18"/>
  <c r="E377" i="18"/>
  <c r="E378" i="18"/>
  <c r="E379" i="18"/>
  <c r="E380" i="18"/>
  <c r="E381" i="18"/>
  <c r="E401" i="18"/>
  <c r="E402" i="18"/>
  <c r="E403" i="18"/>
  <c r="E404" i="18"/>
  <c r="E405" i="18"/>
  <c r="E406" i="18"/>
  <c r="E407" i="18"/>
  <c r="E408" i="18"/>
  <c r="E428" i="18"/>
  <c r="E429" i="18"/>
  <c r="E430" i="18"/>
  <c r="E431" i="18"/>
  <c r="E432" i="18"/>
  <c r="E433" i="18"/>
  <c r="E434" i="18"/>
  <c r="E435" i="18"/>
  <c r="E455" i="18"/>
  <c r="E456" i="18"/>
  <c r="E457" i="18"/>
  <c r="E458" i="18"/>
  <c r="E459" i="18"/>
  <c r="E460" i="18"/>
  <c r="E461" i="18"/>
  <c r="E462" i="18"/>
  <c r="E509" i="18"/>
  <c r="E510" i="18"/>
  <c r="E511" i="18"/>
  <c r="E512" i="18"/>
  <c r="E513" i="18"/>
  <c r="E514" i="18"/>
  <c r="E515" i="18"/>
  <c r="E516" i="18"/>
  <c r="E536" i="18"/>
  <c r="E537" i="18"/>
  <c r="E538" i="18"/>
  <c r="E539" i="18"/>
  <c r="E540" i="18"/>
  <c r="E541" i="18"/>
  <c r="E542" i="18"/>
  <c r="E543" i="18"/>
  <c r="E564" i="18"/>
  <c r="E565" i="18"/>
  <c r="E566" i="18"/>
  <c r="E567" i="18"/>
  <c r="E568" i="18"/>
  <c r="E569" i="18"/>
  <c r="E570" i="18"/>
  <c r="E571" i="18"/>
  <c r="E572" i="18"/>
  <c r="E573" i="18"/>
  <c r="E574" i="18"/>
  <c r="E575" i="18"/>
  <c r="E577" i="18"/>
  <c r="E578" i="18"/>
  <c r="E579" i="18"/>
  <c r="E580" i="18"/>
  <c r="E581" i="18"/>
  <c r="E582" i="18"/>
  <c r="E583" i="18"/>
  <c r="E584" i="18"/>
  <c r="E585" i="18"/>
  <c r="E586" i="18"/>
  <c r="E587" i="18"/>
  <c r="E588" i="18"/>
  <c r="E590" i="18"/>
  <c r="E591" i="18"/>
  <c r="E592" i="18"/>
  <c r="E593" i="18"/>
  <c r="E594" i="18"/>
  <c r="E595" i="18"/>
  <c r="E596" i="18"/>
  <c r="E597" i="18"/>
  <c r="E598" i="18"/>
  <c r="E599" i="18"/>
  <c r="E600" i="18"/>
  <c r="E601" i="18"/>
  <c r="E630" i="18"/>
  <c r="E631" i="18"/>
  <c r="E632" i="18"/>
  <c r="E633" i="18"/>
  <c r="E637" i="18"/>
  <c r="E638" i="18"/>
  <c r="E639" i="18"/>
  <c r="E640" i="18"/>
  <c r="E644" i="18"/>
  <c r="E645" i="18"/>
  <c r="E646" i="18"/>
  <c r="E647" i="18"/>
  <c r="E651" i="18"/>
  <c r="E652" i="18"/>
  <c r="E653" i="18"/>
  <c r="E654" i="18"/>
  <c r="E658" i="18"/>
  <c r="E659" i="18"/>
  <c r="E660" i="18"/>
  <c r="E661" i="18"/>
  <c r="E665" i="18"/>
  <c r="E666" i="18"/>
  <c r="E667" i="18"/>
  <c r="E668" i="18"/>
  <c r="E672" i="18"/>
  <c r="E673" i="18"/>
  <c r="E674" i="18"/>
  <c r="E675" i="18"/>
  <c r="E679" i="18"/>
  <c r="E680" i="18"/>
  <c r="E681" i="18"/>
  <c r="E682" i="18"/>
  <c r="E686" i="18"/>
  <c r="E687" i="18"/>
  <c r="E688" i="18"/>
  <c r="E689" i="18"/>
  <c r="E693" i="18"/>
  <c r="E694" i="18"/>
  <c r="E695" i="18"/>
  <c r="E696" i="18"/>
  <c r="E707" i="18"/>
  <c r="E708" i="18"/>
  <c r="E709" i="18"/>
  <c r="E710" i="18"/>
  <c r="E714" i="18"/>
  <c r="E715" i="18"/>
  <c r="E716" i="18"/>
  <c r="E717" i="18"/>
  <c r="E722" i="18"/>
  <c r="E723" i="18"/>
  <c r="E724" i="18"/>
  <c r="E725" i="18"/>
  <c r="E726" i="18"/>
  <c r="E727" i="18"/>
  <c r="E728" i="18"/>
  <c r="E729" i="18"/>
  <c r="E730" i="18"/>
  <c r="E731" i="18"/>
  <c r="E732" i="18"/>
  <c r="E733" i="18"/>
  <c r="E735" i="18" a="1"/>
  <c r="E735" i="18" s="1"/>
  <c r="E736" i="18" a="1"/>
  <c r="E736" i="18" s="1"/>
  <c r="E737" i="18" a="1"/>
  <c r="E737" i="18" s="1"/>
  <c r="E738" i="18" a="1"/>
  <c r="E738" i="18" s="1"/>
  <c r="E739" i="18" a="1"/>
  <c r="E739" i="18" s="1"/>
  <c r="E740" i="18" a="1"/>
  <c r="E740" i="18" s="1"/>
  <c r="E742" i="18" a="1"/>
  <c r="E742" i="18" s="1"/>
  <c r="E743" i="18" a="1"/>
  <c r="E743" i="18" s="1"/>
  <c r="E745" i="18" a="1"/>
  <c r="E745" i="18" s="1"/>
  <c r="E746" i="18" a="1"/>
  <c r="E746" i="18" s="1"/>
  <c r="E748" i="18" a="1"/>
  <c r="E748" i="18" s="1"/>
  <c r="E749" i="18" a="1"/>
  <c r="E749" i="18" s="1"/>
  <c r="E938" i="18"/>
  <c r="E939" i="18"/>
  <c r="E940" i="18"/>
  <c r="E941" i="18"/>
  <c r="E945" i="18"/>
  <c r="E946" i="18"/>
  <c r="E947" i="18"/>
  <c r="E948" i="18"/>
  <c r="E952" i="18"/>
  <c r="E953" i="18"/>
  <c r="E954" i="18"/>
  <c r="E955" i="18"/>
  <c r="E959" i="18"/>
  <c r="E960" i="18"/>
  <c r="E961" i="18"/>
  <c r="E962" i="18"/>
  <c r="E966" i="18"/>
  <c r="E967" i="18"/>
  <c r="E968" i="18"/>
  <c r="E969" i="18"/>
  <c r="E973" i="18"/>
  <c r="E974" i="18"/>
  <c r="E975" i="18"/>
  <c r="E976" i="18"/>
  <c r="E980" i="18"/>
  <c r="E981" i="18"/>
  <c r="E982" i="18"/>
  <c r="E983" i="18"/>
  <c r="E987" i="18"/>
  <c r="E988" i="18"/>
  <c r="E989" i="18"/>
  <c r="E990" i="18"/>
  <c r="E994" i="18"/>
  <c r="E995" i="18"/>
  <c r="E996" i="18"/>
  <c r="E997" i="18"/>
  <c r="E1001" i="18"/>
  <c r="E1002" i="18"/>
  <c r="E1003" i="18"/>
  <c r="E1004" i="18"/>
  <c r="E1015" i="18"/>
  <c r="E1016" i="18"/>
  <c r="E1017" i="18"/>
  <c r="E1018" i="18"/>
  <c r="E1022" i="18"/>
  <c r="E1023" i="18"/>
  <c r="E1024" i="18"/>
  <c r="E1025" i="18"/>
  <c r="E1030" i="18"/>
  <c r="E1031" i="18"/>
  <c r="E1032" i="18"/>
  <c r="E1033" i="18"/>
  <c r="E1034" i="18"/>
  <c r="E1035" i="18"/>
  <c r="E1036" i="18"/>
  <c r="E1037" i="18"/>
  <c r="E1038" i="18"/>
  <c r="E1039" i="18"/>
  <c r="E1040" i="18"/>
  <c r="E1041" i="18"/>
  <c r="E1043" i="18"/>
  <c r="E1044" i="18"/>
  <c r="E1045" i="18"/>
  <c r="E1046" i="18"/>
  <c r="E1050" i="18"/>
  <c r="E1051" i="18"/>
  <c r="E1052" i="18"/>
  <c r="E1053" i="18"/>
  <c r="E1069" i="18"/>
  <c r="E1070" i="18"/>
  <c r="E1071" i="18"/>
  <c r="E1072" i="18"/>
  <c r="E1098" i="18"/>
  <c r="E1099" i="18"/>
  <c r="E1100" i="18"/>
  <c r="E1101" i="18"/>
  <c r="E1103" i="18"/>
  <c r="E1104" i="18"/>
  <c r="E1105" i="18"/>
  <c r="E1106" i="18"/>
  <c r="E1110" i="18"/>
  <c r="E1111" i="18"/>
  <c r="E1112" i="18"/>
  <c r="E1113" i="18"/>
  <c r="E1117" i="18"/>
  <c r="E1118" i="18"/>
  <c r="E1119" i="18"/>
  <c r="E1120" i="18"/>
  <c r="E1124" i="18"/>
  <c r="E1125" i="18"/>
  <c r="E1126" i="18"/>
  <c r="E1127" i="18"/>
  <c r="E1131" i="18"/>
  <c r="E1132" i="18"/>
  <c r="E1133" i="18"/>
  <c r="E1134" i="18"/>
  <c r="E1138" i="18"/>
  <c r="E1139" i="18"/>
  <c r="E1140" i="18"/>
  <c r="E1141" i="18"/>
  <c r="E1145" i="18"/>
  <c r="E1146" i="18"/>
  <c r="E1147" i="18"/>
  <c r="E1148" i="18"/>
  <c r="E1152" i="18"/>
  <c r="E1153" i="18"/>
  <c r="E1154" i="18"/>
  <c r="E1155" i="18"/>
  <c r="E1159" i="18"/>
  <c r="E1160" i="18"/>
  <c r="E1161" i="18"/>
  <c r="E1162" i="18"/>
  <c r="E1166" i="18"/>
  <c r="E1167" i="18"/>
  <c r="E1168" i="18"/>
  <c r="E1169" i="18"/>
  <c r="E1179" i="18"/>
  <c r="E1180" i="18"/>
  <c r="E1181" i="18"/>
  <c r="E1182" i="18"/>
  <c r="E1183" i="18"/>
  <c r="E1187" i="18"/>
  <c r="E1188" i="18"/>
  <c r="E1189" i="18"/>
  <c r="E1190" i="18"/>
  <c r="E1195" i="18"/>
  <c r="E1196" i="18"/>
  <c r="E1197" i="18"/>
  <c r="E1198" i="18"/>
  <c r="E1199" i="18"/>
  <c r="E1200" i="18"/>
  <c r="E1201" i="18"/>
  <c r="E1202" i="18"/>
  <c r="E1203" i="18"/>
  <c r="E1204" i="18"/>
  <c r="E1205" i="18"/>
  <c r="E1206" i="18"/>
  <c r="E1208" i="18"/>
  <c r="E1209" i="18"/>
  <c r="E1210" i="18"/>
  <c r="E1211" i="18"/>
  <c r="E1213" i="18"/>
  <c r="E1215" i="18"/>
  <c r="E1219" i="18"/>
  <c r="E1220" i="18"/>
  <c r="E1221" i="18"/>
  <c r="E1222" i="18"/>
  <c r="E1224" i="18"/>
  <c r="E1226" i="18"/>
  <c r="E1230" i="18"/>
  <c r="E1231" i="18"/>
  <c r="E1232" i="18"/>
  <c r="E1233" i="18"/>
  <c r="E1235" i="18"/>
  <c r="E1237" i="18"/>
  <c r="E1241" i="18"/>
  <c r="E1242" i="18"/>
  <c r="E1243" i="18"/>
  <c r="E1244" i="18"/>
  <c r="E1246" i="18"/>
  <c r="E1248" i="18"/>
  <c r="E1252" i="18"/>
  <c r="E1253" i="18"/>
  <c r="E1254" i="18"/>
  <c r="E1255" i="18"/>
  <c r="E1257" i="18"/>
  <c r="E1259" i="18"/>
  <c r="E1263" i="18"/>
  <c r="E1264" i="18"/>
  <c r="E1265" i="18"/>
  <c r="E1266" i="18"/>
  <c r="E1268" i="18"/>
  <c r="E1270" i="18"/>
  <c r="E1274" i="18"/>
  <c r="E1275" i="18"/>
  <c r="E1276" i="18"/>
  <c r="E1277" i="18"/>
  <c r="E1279" i="18"/>
  <c r="E1281" i="18"/>
  <c r="E1285" i="18"/>
  <c r="E1286" i="18"/>
  <c r="E1287" i="18"/>
  <c r="E1288" i="18"/>
  <c r="E1290" i="18"/>
  <c r="E1292" i="18"/>
  <c r="E1296" i="18"/>
  <c r="E1297" i="18"/>
  <c r="E1298" i="18"/>
  <c r="E1299" i="18"/>
  <c r="E1301" i="18"/>
  <c r="E1303" i="18"/>
  <c r="E1318" i="18"/>
  <c r="E1319" i="18"/>
  <c r="E1320" i="18"/>
  <c r="E1321" i="18"/>
  <c r="E1323" i="18"/>
  <c r="E1325" i="18"/>
  <c r="E1329" i="18"/>
  <c r="E1330" i="18"/>
  <c r="E1331" i="18"/>
  <c r="E1332" i="18"/>
  <c r="E1334" i="18"/>
  <c r="E1336" i="18"/>
  <c r="E1340" i="18"/>
  <c r="E1341" i="18"/>
  <c r="E1342" i="18"/>
  <c r="E1343" i="18"/>
  <c r="E1345" i="18"/>
  <c r="E1347" i="18"/>
  <c r="E1351" i="18"/>
  <c r="E1352" i="18"/>
  <c r="E1353" i="18"/>
  <c r="E1354" i="18"/>
  <c r="E1356" i="18"/>
  <c r="E1358" i="18"/>
  <c r="E1363" i="18"/>
  <c r="E1364" i="18"/>
  <c r="E1365" i="18"/>
  <c r="E1366" i="18"/>
  <c r="E1367" i="18"/>
  <c r="E1368" i="18"/>
  <c r="E1369" i="18"/>
  <c r="E1370" i="18"/>
  <c r="E1371" i="18"/>
  <c r="E1372" i="18"/>
  <c r="E1373" i="18"/>
  <c r="E1374" i="18"/>
  <c r="E1375" i="18"/>
  <c r="E1376" i="18"/>
  <c r="E1377" i="18"/>
  <c r="E1378" i="18"/>
  <c r="E1379" i="18"/>
  <c r="E1380" i="18"/>
  <c r="E1430" i="18"/>
  <c r="E1431" i="18" s="1"/>
  <c r="E1438" i="18"/>
  <c r="E1439" i="18"/>
  <c r="E1440" i="18"/>
  <c r="E1441" i="18"/>
  <c r="E1443" i="18" a="1"/>
  <c r="E1443" i="18" s="1"/>
  <c r="E1444" i="18" a="1"/>
  <c r="E1444" i="18" s="1"/>
  <c r="E1445" i="18" a="1"/>
  <c r="E1445" i="18" s="1"/>
  <c r="E1446" i="18" a="1"/>
  <c r="E1446" i="18" s="1"/>
  <c r="E1448" i="18" a="1"/>
  <c r="E1448" i="18" s="1"/>
  <c r="E1449" i="18" a="1"/>
  <c r="E1449" i="18" s="1"/>
  <c r="E1450" i="18" a="1"/>
  <c r="E1450" i="18" s="1"/>
  <c r="E1451" i="18" a="1"/>
  <c r="E1451" i="18" s="1"/>
  <c r="E1453" i="18" a="1"/>
  <c r="E1453" i="18" s="1"/>
  <c r="E1454" i="18" a="1"/>
  <c r="E1454" i="18" s="1"/>
  <c r="E1455" i="18" a="1"/>
  <c r="E1455" i="18" s="1"/>
  <c r="E1456" i="18" a="1"/>
  <c r="E1456" i="18" s="1"/>
  <c r="E1458" i="18" a="1"/>
  <c r="E1458" i="18" s="1"/>
  <c r="E1459" i="18" a="1"/>
  <c r="E1459" i="18" s="1"/>
  <c r="E1460" i="18" a="1"/>
  <c r="E1460" i="18" s="1"/>
  <c r="E1461" i="18" a="1"/>
  <c r="E1461" i="18" s="1"/>
  <c r="E1463" i="18" a="1"/>
  <c r="E1463" i="18" s="1"/>
  <c r="E1464" i="18" a="1"/>
  <c r="E1464" i="18" s="1"/>
  <c r="E1465" i="18" a="1"/>
  <c r="E1465" i="18" s="1"/>
  <c r="E1466" i="18" a="1"/>
  <c r="E1466" i="18" s="1"/>
  <c r="E1468" i="18" a="1"/>
  <c r="E1468" i="18" s="1"/>
  <c r="E1469" i="18" a="1"/>
  <c r="E1469" i="18" s="1"/>
  <c r="E1470" i="18" a="1"/>
  <c r="E1470" i="18" s="1"/>
  <c r="E1471" i="18" a="1"/>
  <c r="E1471" i="18" s="1"/>
  <c r="E1473" i="18" a="1"/>
  <c r="E1473" i="18" s="1"/>
  <c r="E1474" i="18" a="1"/>
  <c r="E1474" i="18" s="1"/>
  <c r="E1475" i="18" a="1"/>
  <c r="E1475" i="18" s="1"/>
  <c r="E1476" i="18" a="1"/>
  <c r="E1476" i="18" s="1"/>
  <c r="E1478" i="18" a="1"/>
  <c r="E1478" i="18" s="1"/>
  <c r="E1479" i="18" a="1"/>
  <c r="E1479" i="18" s="1"/>
  <c r="E1480" i="18" a="1"/>
  <c r="E1480" i="18" s="1"/>
  <c r="E1481" i="18" a="1"/>
  <c r="E1481" i="18" s="1"/>
  <c r="E1483" i="18" a="1"/>
  <c r="E1483" i="18" s="1"/>
  <c r="E1484" i="18" a="1"/>
  <c r="E1484" i="18" s="1"/>
  <c r="E1485" i="18" a="1"/>
  <c r="E1485" i="18" s="1"/>
  <c r="E1486" i="18" a="1"/>
  <c r="E1486" i="18" s="1"/>
  <c r="E1488" i="18" a="1"/>
  <c r="E1488" i="18" s="1"/>
  <c r="E1489" i="18" a="1"/>
  <c r="E1489" i="18" s="1"/>
  <c r="E1490" i="18" a="1"/>
  <c r="E1490" i="18" s="1"/>
  <c r="E1491" i="18" a="1"/>
  <c r="E1491" i="18" s="1"/>
  <c r="E1493" i="18" a="1"/>
  <c r="E1493" i="18" s="1"/>
  <c r="E1494" i="18" a="1"/>
  <c r="E1494" i="18" s="1"/>
  <c r="E1495" i="18" a="1"/>
  <c r="E1495" i="18" s="1"/>
  <c r="E1496" i="18" a="1"/>
  <c r="E1496" i="18" s="1"/>
  <c r="E1499" i="18"/>
  <c r="E1500" i="18"/>
  <c r="E1501" i="18"/>
  <c r="E1502" i="18"/>
  <c r="E1503" i="18"/>
  <c r="E1504" i="18"/>
  <c r="E1505" i="18"/>
  <c r="E1506" i="18"/>
  <c r="E1507" i="18"/>
  <c r="E1508" i="18"/>
  <c r="E1509" i="18"/>
  <c r="E1510" i="18"/>
  <c r="E1512" i="18"/>
  <c r="E1513" i="18" a="1"/>
  <c r="E1513" i="18" s="1"/>
  <c r="E1514" i="18" a="1"/>
  <c r="E1514" i="18" s="1"/>
  <c r="E1515" i="18" a="1"/>
  <c r="E1515" i="18" s="1"/>
  <c r="E1517" i="18"/>
  <c r="E1518" i="18"/>
  <c r="E1519" i="18"/>
  <c r="E1520" i="18"/>
  <c r="E1522" i="18" a="1"/>
  <c r="E1522" i="18" s="1"/>
  <c r="E1523" i="18" a="1"/>
  <c r="E1523" i="18" s="1"/>
  <c r="E1524" i="18" a="1"/>
  <c r="E1524" i="18" s="1"/>
  <c r="E1525" i="18" a="1"/>
  <c r="E1525" i="18" s="1"/>
  <c r="E1528" i="18"/>
  <c r="E1529" i="18"/>
  <c r="E1530" i="18"/>
  <c r="E1531" i="18"/>
  <c r="L42" i="4" l="1"/>
  <c r="I13" i="22"/>
  <c r="G43" i="7" s="1"/>
  <c r="J22" i="14"/>
  <c r="J26" i="14" s="1"/>
  <c r="E45" i="7" s="1"/>
  <c r="E972" i="18"/>
  <c r="H16" i="15" s="1"/>
  <c r="F13" i="22"/>
  <c r="D43" i="7" s="1"/>
  <c r="E636" i="18"/>
  <c r="G11" i="15" s="1"/>
  <c r="E958" i="18"/>
  <c r="H14" i="15" s="1"/>
  <c r="N30" i="4"/>
  <c r="E64" i="18"/>
  <c r="D19" i="15" s="1"/>
  <c r="J42" i="4"/>
  <c r="N29" i="4"/>
  <c r="N36" i="4"/>
  <c r="K12" i="22"/>
  <c r="E1442" i="18"/>
  <c r="D19" i="24"/>
  <c r="E535" i="18"/>
  <c r="F22" i="15" s="1"/>
  <c r="K42" i="7"/>
  <c r="K48" i="7" s="1"/>
  <c r="E1186" i="18"/>
  <c r="I22" i="15" s="1"/>
  <c r="E643" i="18"/>
  <c r="G13" i="15" s="1"/>
  <c r="I42" i="4"/>
  <c r="E1137" i="18"/>
  <c r="I16" i="15" s="1"/>
  <c r="M42" i="4"/>
  <c r="N6" i="4"/>
  <c r="E1306" i="18"/>
  <c r="AA14" i="15"/>
  <c r="G23" i="24"/>
  <c r="J19" i="7"/>
  <c r="L19" i="7" s="1"/>
  <c r="E197" i="18"/>
  <c r="E26" i="15" s="1"/>
  <c r="AA10" i="6"/>
  <c r="J31" i="7"/>
  <c r="L31" i="7" s="1"/>
  <c r="E713" i="18"/>
  <c r="G22" i="15" s="1"/>
  <c r="E1116" i="18"/>
  <c r="I13" i="15" s="1"/>
  <c r="J22" i="24"/>
  <c r="G43" i="23"/>
  <c r="O19" i="14"/>
  <c r="N34" i="4"/>
  <c r="N28" i="4"/>
  <c r="N15" i="4"/>
  <c r="N11" i="4"/>
  <c r="J44" i="14"/>
  <c r="J48" i="14" s="1"/>
  <c r="E46" i="7" s="1"/>
  <c r="J41" i="7"/>
  <c r="L41" i="7" s="1"/>
  <c r="J9" i="7"/>
  <c r="L8" i="7" s="1"/>
  <c r="AA20" i="8"/>
  <c r="E1109" i="18"/>
  <c r="I11" i="15" s="1"/>
  <c r="E141" i="18"/>
  <c r="E16" i="15" s="1"/>
  <c r="E36" i="18"/>
  <c r="D16" i="15" s="1"/>
  <c r="L10" i="8"/>
  <c r="N33" i="4"/>
  <c r="O21" i="14"/>
  <c r="H10" i="14"/>
  <c r="H26" i="14" s="1"/>
  <c r="D20" i="24" s="1"/>
  <c r="J16" i="7"/>
  <c r="L16" i="7" s="1"/>
  <c r="E750" i="18"/>
  <c r="E319" i="18"/>
  <c r="F15" i="15" s="1"/>
  <c r="E1028" i="18"/>
  <c r="H26" i="15" s="1"/>
  <c r="E22" i="18"/>
  <c r="D14" i="15" s="1"/>
  <c r="E562" i="18"/>
  <c r="F26" i="15" s="1"/>
  <c r="F23" i="24"/>
  <c r="E1172" i="18"/>
  <c r="I21" i="15" s="1"/>
  <c r="J28" i="7"/>
  <c r="L28" i="7" s="1"/>
  <c r="J38" i="7"/>
  <c r="L38" i="7" s="1"/>
  <c r="E692" i="18"/>
  <c r="G19" i="15" s="1"/>
  <c r="E427" i="18"/>
  <c r="F18" i="15" s="1"/>
  <c r="O35" i="14"/>
  <c r="E993" i="18"/>
  <c r="H18" i="15" s="1"/>
  <c r="E734" i="18"/>
  <c r="G24" i="15" s="1"/>
  <c r="O20" i="26"/>
  <c r="E589" i="18"/>
  <c r="G25" i="4"/>
  <c r="N25" i="4" s="1"/>
  <c r="I11" i="12"/>
  <c r="F19" i="12" s="1"/>
  <c r="F20" i="12" s="1"/>
  <c r="N10" i="4"/>
  <c r="N7" i="4"/>
  <c r="O47" i="14"/>
  <c r="E1193" i="18"/>
  <c r="I26" i="15" s="1"/>
  <c r="E1123" i="18"/>
  <c r="I14" i="15" s="1"/>
  <c r="E744" i="18"/>
  <c r="E720" i="18"/>
  <c r="G26" i="15" s="1"/>
  <c r="E176" i="18"/>
  <c r="E21" i="15" s="1"/>
  <c r="E155" i="18"/>
  <c r="E113" i="18"/>
  <c r="E11" i="15" s="1"/>
  <c r="E71" i="18"/>
  <c r="D21" i="15" s="1"/>
  <c r="N37" i="4"/>
  <c r="N17" i="4"/>
  <c r="K22" i="14"/>
  <c r="K26" i="14" s="1"/>
  <c r="F45" i="7" s="1"/>
  <c r="J20" i="7"/>
  <c r="L20" i="7" s="1"/>
  <c r="R11" i="5"/>
  <c r="E747" i="18"/>
  <c r="N18" i="4"/>
  <c r="E1350" i="18"/>
  <c r="E1144" i="18"/>
  <c r="E1007" i="18"/>
  <c r="H21" i="15" s="1"/>
  <c r="E671" i="18"/>
  <c r="K23" i="4"/>
  <c r="H22" i="24" s="1"/>
  <c r="O20" i="14"/>
  <c r="M44" i="14"/>
  <c r="M48" i="14" s="1"/>
  <c r="H46" i="7" s="1"/>
  <c r="E1054" i="18"/>
  <c r="E400" i="18"/>
  <c r="J35" i="7"/>
  <c r="L35" i="7" s="1"/>
  <c r="E1229" i="18"/>
  <c r="E986" i="18"/>
  <c r="O17" i="14"/>
  <c r="I22" i="14"/>
  <c r="I26" i="14" s="1"/>
  <c r="D45" i="7" s="1"/>
  <c r="E1130" i="18"/>
  <c r="I15" i="15" s="1"/>
  <c r="E965" i="18"/>
  <c r="H15" i="15" s="1"/>
  <c r="E265" i="18"/>
  <c r="F13" i="15" s="1"/>
  <c r="N38" i="4"/>
  <c r="N32" i="4"/>
  <c r="N13" i="4"/>
  <c r="O43" i="14"/>
  <c r="O18" i="14"/>
  <c r="M22" i="14"/>
  <c r="M26" i="14" s="1"/>
  <c r="H45" i="7" s="1"/>
  <c r="F37" i="7"/>
  <c r="J12" i="7"/>
  <c r="L12" i="7" s="1"/>
  <c r="E1000" i="18"/>
  <c r="H19" i="15" s="1"/>
  <c r="E944" i="18"/>
  <c r="H11" i="15" s="1"/>
  <c r="N15" i="23"/>
  <c r="N13" i="23"/>
  <c r="H13" i="22"/>
  <c r="F43" i="7" s="1"/>
  <c r="E37" i="7"/>
  <c r="E1516" i="18"/>
  <c r="E1251" i="18"/>
  <c r="E1482" i="18"/>
  <c r="E1339" i="18"/>
  <c r="E979" i="18"/>
  <c r="H17" i="15" s="1"/>
  <c r="E576" i="18"/>
  <c r="E169" i="18"/>
  <c r="E19" i="15" s="1"/>
  <c r="E148" i="18"/>
  <c r="E127" i="18"/>
  <c r="E14" i="15" s="1"/>
  <c r="E50" i="18"/>
  <c r="E29" i="18"/>
  <c r="D15" i="15" s="1"/>
  <c r="E8" i="18"/>
  <c r="D11" i="15" s="1"/>
  <c r="N31" i="4"/>
  <c r="N21" i="4"/>
  <c r="AC11" i="4"/>
  <c r="O14" i="14"/>
  <c r="K8" i="22"/>
  <c r="J40" i="7"/>
  <c r="H15" i="24" s="1"/>
  <c r="J30" i="7"/>
  <c r="L30" i="7" s="1"/>
  <c r="D37" i="7"/>
  <c r="J21" i="7"/>
  <c r="J11" i="7"/>
  <c r="L11" i="7" s="1"/>
  <c r="E454" i="18"/>
  <c r="F19" i="15" s="1"/>
  <c r="E1511" i="18"/>
  <c r="E1472" i="18"/>
  <c r="E1284" i="18"/>
  <c r="E1165" i="18"/>
  <c r="I19" i="15" s="1"/>
  <c r="E373" i="18"/>
  <c r="E190" i="18"/>
  <c r="E22" i="15" s="1"/>
  <c r="N16" i="4"/>
  <c r="O38" i="14"/>
  <c r="H32" i="14"/>
  <c r="H48" i="14" s="1"/>
  <c r="D21" i="24" s="1"/>
  <c r="L22" i="14"/>
  <c r="L26" i="14" s="1"/>
  <c r="G45" i="7" s="1"/>
  <c r="K10" i="22"/>
  <c r="J33" i="7"/>
  <c r="L33" i="7" s="1"/>
  <c r="J18" i="7"/>
  <c r="L18" i="7" s="1"/>
  <c r="J14" i="7"/>
  <c r="L14" i="7" s="1"/>
  <c r="E741" i="18"/>
  <c r="E92" i="18"/>
  <c r="D26" i="15" s="1"/>
  <c r="E211" i="18"/>
  <c r="E24" i="15" s="1"/>
  <c r="N20" i="4"/>
  <c r="N12" i="4"/>
  <c r="N9" i="4"/>
  <c r="AA12" i="5"/>
  <c r="O40" i="14"/>
  <c r="L44" i="14"/>
  <c r="L48" i="14" s="1"/>
  <c r="G46" i="7" s="1"/>
  <c r="H37" i="7"/>
  <c r="H23" i="7"/>
  <c r="E1273" i="18"/>
  <c r="E162" i="18"/>
  <c r="E18" i="15" s="1"/>
  <c r="E43" i="18"/>
  <c r="G40" i="4"/>
  <c r="D23" i="24" s="1"/>
  <c r="N35" i="4"/>
  <c r="N19" i="4"/>
  <c r="G23" i="4"/>
  <c r="K44" i="14"/>
  <c r="K48" i="14" s="1"/>
  <c r="F46" i="7" s="1"/>
  <c r="F28" i="22"/>
  <c r="F29" i="22" s="1"/>
  <c r="I42" i="7"/>
  <c r="I48" i="7" s="1"/>
  <c r="J32" i="7"/>
  <c r="L32" i="7" s="1"/>
  <c r="E1457" i="18"/>
  <c r="E1361" i="18"/>
  <c r="E1158" i="18"/>
  <c r="I18" i="15" s="1"/>
  <c r="E1021" i="18"/>
  <c r="H22" i="15" s="1"/>
  <c r="E481" i="18"/>
  <c r="F21" i="15" s="1"/>
  <c r="E1262" i="18"/>
  <c r="E1240" i="18"/>
  <c r="E1102" i="18"/>
  <c r="E1042" i="18"/>
  <c r="H24" i="15" s="1"/>
  <c r="E685" i="18"/>
  <c r="G18" i="15" s="1"/>
  <c r="E120" i="18"/>
  <c r="E13" i="15" s="1"/>
  <c r="E57" i="18"/>
  <c r="D18" i="15" s="1"/>
  <c r="K40" i="4"/>
  <c r="H23" i="24" s="1"/>
  <c r="N8" i="4"/>
  <c r="O42" i="14"/>
  <c r="K9" i="22"/>
  <c r="F23" i="7"/>
  <c r="E1295" i="18"/>
  <c r="E1497" i="18"/>
  <c r="E1207" i="18"/>
  <c r="I24" i="15" s="1"/>
  <c r="E1049" i="18"/>
  <c r="E238" i="18"/>
  <c r="F11" i="15" s="1"/>
  <c r="E42" i="4"/>
  <c r="O39" i="14"/>
  <c r="O25" i="14"/>
  <c r="G37" i="7"/>
  <c r="J13" i="7"/>
  <c r="L13" i="7" s="1"/>
  <c r="E602" i="18"/>
  <c r="E650" i="18"/>
  <c r="G14" i="15" s="1"/>
  <c r="E1526" i="18"/>
  <c r="E1381" i="18"/>
  <c r="E1218" i="18"/>
  <c r="E664" i="18"/>
  <c r="G16" i="15" s="1"/>
  <c r="E85" i="18"/>
  <c r="D22" i="15" s="1"/>
  <c r="E1521" i="18"/>
  <c r="E951" i="18"/>
  <c r="H13" i="15" s="1"/>
  <c r="N22" i="4"/>
  <c r="I44" i="14"/>
  <c r="I48" i="14" s="1"/>
  <c r="D46" i="7" s="1"/>
  <c r="O13" i="14"/>
  <c r="J27" i="7"/>
  <c r="L26" i="7" s="1"/>
  <c r="J22" i="7"/>
  <c r="J7" i="7"/>
  <c r="L6" i="7" s="1"/>
  <c r="N39" i="4"/>
  <c r="N14" i="4"/>
  <c r="O41" i="14"/>
  <c r="J34" i="7"/>
  <c r="L34" i="7" s="1"/>
  <c r="D23" i="7"/>
  <c r="G23" i="7"/>
  <c r="E1532" i="18"/>
  <c r="E1328" i="18"/>
  <c r="D36" i="15" s="1"/>
  <c r="E1151" i="18"/>
  <c r="E1075" i="18"/>
  <c r="E699" i="18"/>
  <c r="G21" i="15" s="1"/>
  <c r="E678" i="18"/>
  <c r="E657" i="18"/>
  <c r="G15" i="15" s="1"/>
  <c r="E346" i="18"/>
  <c r="F16" i="15" s="1"/>
  <c r="E292" i="18"/>
  <c r="F14" i="15" s="1"/>
  <c r="E134" i="18"/>
  <c r="E15" i="15" s="1"/>
  <c r="E106" i="18"/>
  <c r="D24" i="15" s="1"/>
  <c r="E15" i="18"/>
  <c r="D13" i="15" s="1"/>
  <c r="O16" i="14"/>
  <c r="J39" i="7"/>
  <c r="H14" i="24" s="1"/>
  <c r="J36" i="7"/>
  <c r="L36" i="7" s="1"/>
  <c r="J29" i="7"/>
  <c r="L29" i="7" s="1"/>
  <c r="J17" i="7"/>
  <c r="L17" i="7" s="1"/>
  <c r="J10" i="7"/>
  <c r="L10" i="7" s="1"/>
  <c r="N14" i="23"/>
  <c r="M18" i="23" a="1"/>
  <c r="M18" i="23" s="1"/>
  <c r="M19" i="23" s="1"/>
  <c r="J18" i="23" a="1"/>
  <c r="J18" i="23" s="1"/>
  <c r="J19" i="23" s="1"/>
  <c r="N12" i="23"/>
  <c r="E1492" i="18"/>
  <c r="N16" i="23"/>
  <c r="E1462" i="18"/>
  <c r="K18" i="23" a="1"/>
  <c r="K18" i="23" s="1"/>
  <c r="K19" i="23" s="1"/>
  <c r="E1452" i="18"/>
  <c r="N17" i="23"/>
  <c r="G18" i="23" a="1"/>
  <c r="G18" i="23" s="1"/>
  <c r="G19" i="23" s="1"/>
  <c r="H18" i="23" a="1"/>
  <c r="H18" i="23" s="1"/>
  <c r="H19" i="23" s="1"/>
  <c r="E1487" i="18"/>
  <c r="B23" i="24"/>
  <c r="F42" i="4"/>
  <c r="B22" i="24"/>
  <c r="E1467" i="18"/>
  <c r="E1477" i="18"/>
  <c r="E1447" i="18"/>
  <c r="N10" i="23"/>
  <c r="D18" i="23" a="1"/>
  <c r="D18" i="23" s="1"/>
  <c r="F18" i="23" a="1"/>
  <c r="F18" i="23" s="1"/>
  <c r="F19" i="23" s="1"/>
  <c r="E18" i="23" a="1"/>
  <c r="E18" i="23" s="1"/>
  <c r="E19" i="23" s="1"/>
  <c r="N11" i="23"/>
  <c r="J15" i="7"/>
  <c r="L15" i="7" s="1"/>
  <c r="E13" i="26"/>
  <c r="O37" i="14"/>
  <c r="G13" i="22"/>
  <c r="H21" i="8"/>
  <c r="H43" i="8" s="1"/>
  <c r="J25" i="7"/>
  <c r="E23" i="7"/>
  <c r="H23" i="4"/>
  <c r="D18" i="24" l="1"/>
  <c r="J16" i="15"/>
  <c r="H19" i="24"/>
  <c r="E1527" i="18"/>
  <c r="D17" i="15"/>
  <c r="D23" i="15" s="1"/>
  <c r="J15" i="15"/>
  <c r="G42" i="7"/>
  <c r="J18" i="15"/>
  <c r="E48" i="15"/>
  <c r="J46" i="7"/>
  <c r="L46" i="7" s="1"/>
  <c r="E50" i="15"/>
  <c r="J14" i="15"/>
  <c r="N23" i="4"/>
  <c r="J45" i="7"/>
  <c r="L45" i="7" s="1"/>
  <c r="E1194" i="18"/>
  <c r="I25" i="15" s="1"/>
  <c r="E1362" i="18"/>
  <c r="K19" i="24"/>
  <c r="E629" i="18"/>
  <c r="F24" i="15" s="1"/>
  <c r="H16" i="24"/>
  <c r="K23" i="24"/>
  <c r="L40" i="7"/>
  <c r="O22" i="14"/>
  <c r="O26" i="14" s="1"/>
  <c r="H20" i="24" s="1"/>
  <c r="K20" i="24" s="1"/>
  <c r="J26" i="15"/>
  <c r="G42" i="4"/>
  <c r="E17" i="15"/>
  <c r="E23" i="15" s="1"/>
  <c r="G17" i="15"/>
  <c r="G23" i="15" s="1"/>
  <c r="H13" i="24"/>
  <c r="J21" i="15"/>
  <c r="F17" i="15"/>
  <c r="F23" i="15" s="1"/>
  <c r="C9" i="25"/>
  <c r="I17" i="15"/>
  <c r="J17" i="15" s="1"/>
  <c r="J22" i="15"/>
  <c r="H23" i="15"/>
  <c r="F42" i="7"/>
  <c r="D22" i="24"/>
  <c r="D17" i="24" s="1"/>
  <c r="K17" i="24" s="1"/>
  <c r="O44" i="14"/>
  <c r="O48" i="14" s="1"/>
  <c r="P48" i="14" s="1"/>
  <c r="E1029" i="18"/>
  <c r="H25" i="15" s="1"/>
  <c r="J24" i="15"/>
  <c r="E42" i="7"/>
  <c r="E721" i="18"/>
  <c r="G25" i="15" s="1"/>
  <c r="N40" i="4"/>
  <c r="K42" i="4"/>
  <c r="J47" i="7" s="1"/>
  <c r="L47" i="7" s="1"/>
  <c r="E93" i="18"/>
  <c r="D25" i="15" s="1"/>
  <c r="H42" i="7"/>
  <c r="E198" i="18"/>
  <c r="E25" i="15" s="1"/>
  <c r="J19" i="15"/>
  <c r="E563" i="18"/>
  <c r="J13" i="15"/>
  <c r="L39" i="7"/>
  <c r="L21" i="7"/>
  <c r="D42" i="7"/>
  <c r="H42" i="4"/>
  <c r="E22" i="24"/>
  <c r="N18" i="23"/>
  <c r="D19" i="23"/>
  <c r="J37" i="7"/>
  <c r="L24" i="7"/>
  <c r="E1498" i="18"/>
  <c r="J11" i="15"/>
  <c r="E43" i="7"/>
  <c r="J43" i="7" s="1"/>
  <c r="K13" i="22"/>
  <c r="J23" i="7"/>
  <c r="F25" i="15" l="1"/>
  <c r="P26" i="14"/>
  <c r="I23" i="15"/>
  <c r="K22" i="24"/>
  <c r="N42" i="4"/>
  <c r="H21" i="24"/>
  <c r="K21" i="24" s="1"/>
  <c r="J25" i="15"/>
  <c r="J23" i="15"/>
  <c r="F30" i="22"/>
  <c r="F31" i="22" s="1"/>
  <c r="H18" i="24"/>
  <c r="K18" i="24" s="1"/>
  <c r="Q34" i="2"/>
  <c r="L43" i="7"/>
  <c r="H12" i="24"/>
  <c r="L37" i="7"/>
  <c r="H11" i="24"/>
  <c r="L23" i="7"/>
  <c r="J42" i="7"/>
  <c r="N19" i="23"/>
  <c r="L30" i="23" s="1"/>
  <c r="C11" i="25" l="1"/>
  <c r="C21" i="25" s="1"/>
  <c r="F45" i="23"/>
  <c r="P30" i="23"/>
  <c r="M30" i="23"/>
  <c r="O30" i="23"/>
  <c r="N30" i="23"/>
  <c r="L42" i="7"/>
  <c r="J48" i="7"/>
  <c r="Q33" i="2"/>
  <c r="N10" i="7" l="1"/>
  <c r="B12" i="2" s="1"/>
  <c r="K10" i="12"/>
  <c r="B18" i="2" s="1"/>
  <c r="N9" i="7"/>
  <c r="B10" i="2" s="1"/>
  <c r="L48" i="7"/>
  <c r="M12" i="22"/>
  <c r="B14" i="2" s="1"/>
  <c r="K11" i="12"/>
  <c r="H33" i="6"/>
  <c r="B16"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<sst xmlns="http://schemas.openxmlformats.org/spreadsheetml/2006/main" count="4764" uniqueCount="1310">
  <si>
    <t>Charter school</t>
  </si>
  <si>
    <t>County</t>
  </si>
  <si>
    <t>CTDS number</t>
  </si>
  <si>
    <t>Charter name</t>
  </si>
  <si>
    <t>d.b.a. (as applicable)</t>
  </si>
  <si>
    <t>FY 2026</t>
  </si>
  <si>
    <t>State of Arizona</t>
  </si>
  <si>
    <t>Charter School Annual Financial Report</t>
  </si>
  <si>
    <t>Charter website link of posted AFR</t>
  </si>
  <si>
    <t>We, the Governing Board of the Charter School, hereby certify the Annual Financial Report and School Level Reporting form per A.R.S. §§15-183(E)(6) and 15-904 for Fiscal Year 2026.</t>
  </si>
  <si>
    <t xml:space="preserve">The annual financial report file(s) for FY 2026 uploaded to the Arizona Department of </t>
  </si>
  <si>
    <t>Education's website on</t>
  </si>
  <si>
    <t xml:space="preserve">contain(s) the data for the annual financial report </t>
  </si>
  <si>
    <t>described at left.</t>
  </si>
  <si>
    <t>Charter school official signature</t>
  </si>
  <si>
    <t>Email</t>
  </si>
  <si>
    <t>Charter school official (typed name)</t>
  </si>
  <si>
    <t>Total expenses by project</t>
  </si>
  <si>
    <t>1. Schoolwide and Other Special Projects (from page 2, line 33)</t>
  </si>
  <si>
    <t>$</t>
  </si>
  <si>
    <t>Signed</t>
  </si>
  <si>
    <t>Title</t>
  </si>
  <si>
    <t>2. Classroom Site Project (from page 2, line 34)</t>
  </si>
  <si>
    <t xml:space="preserve"> </t>
  </si>
  <si>
    <t>Revenue</t>
  </si>
  <si>
    <t>1000 Local sources</t>
  </si>
  <si>
    <t>Actual</t>
  </si>
  <si>
    <t>1.</t>
  </si>
  <si>
    <t xml:space="preserve">    1310  Tuition from individuals</t>
  </si>
  <si>
    <t>2.</t>
  </si>
  <si>
    <t xml:space="preserve">    1320  Tuition from other Arizona schools or districts</t>
  </si>
  <si>
    <t>3.</t>
  </si>
  <si>
    <t xml:space="preserve">    1410  Transportation fees from individuals</t>
  </si>
  <si>
    <t>1600 Food service revenues (from accounting data)</t>
  </si>
  <si>
    <t>4.</t>
  </si>
  <si>
    <t xml:space="preserve">    1420  Transportation fees from other Arizona schools or districts</t>
  </si>
  <si>
    <t>5.</t>
  </si>
  <si>
    <t xml:space="preserve">    1500  Earnings on investments</t>
  </si>
  <si>
    <t>6.</t>
  </si>
  <si>
    <t xml:space="preserve">    1600  Food service (from Food Service tab, line 2)</t>
  </si>
  <si>
    <t>7.</t>
  </si>
  <si>
    <t xml:space="preserve">    1700  School activities </t>
  </si>
  <si>
    <t>8.</t>
  </si>
  <si>
    <t xml:space="preserve">    1750  Revenue from enterprise activities</t>
  </si>
  <si>
    <t>9.</t>
  </si>
  <si>
    <t xml:space="preserve">    1790  Extracurricular activities fees tax credit</t>
  </si>
  <si>
    <t>10.</t>
  </si>
  <si>
    <t xml:space="preserve">    1800  Revenue from community services activities</t>
  </si>
  <si>
    <t>11.</t>
  </si>
  <si>
    <t xml:space="preserve">    1900, 1930, 1980, 1990 Other revenues and gains from local sources</t>
  </si>
  <si>
    <t>12.</t>
  </si>
  <si>
    <t xml:space="preserve">    1910 Rentals</t>
  </si>
  <si>
    <t>13.</t>
  </si>
  <si>
    <t xml:space="preserve">    1920  Contributions and donations from private sources</t>
  </si>
  <si>
    <t>14.</t>
  </si>
  <si>
    <t xml:space="preserve">    1950 Miscellaneous Revenues from Other Schools or Districts</t>
  </si>
  <si>
    <t>15.</t>
  </si>
  <si>
    <t xml:space="preserve">    1960 Miscellaneous Revenues from Local Governmental Units</t>
  </si>
  <si>
    <t>16.</t>
  </si>
  <si>
    <t xml:space="preserve">    Other revenue from local sources (specify)</t>
  </si>
  <si>
    <t>17.</t>
  </si>
  <si>
    <t xml:space="preserve">      Total Local Revenue (lines 1-16)</t>
  </si>
  <si>
    <t>2000 Intermediate sources</t>
  </si>
  <si>
    <t>18.</t>
  </si>
  <si>
    <t xml:space="preserve">    2100  Unrestricted</t>
  </si>
  <si>
    <t>19.</t>
  </si>
  <si>
    <t xml:space="preserve">    2200  Restricted</t>
  </si>
  <si>
    <t>20.</t>
  </si>
  <si>
    <t xml:space="preserve">    Other revenue from intermediate sources (specify)</t>
  </si>
  <si>
    <t>21.</t>
  </si>
  <si>
    <t xml:space="preserve">      Total Intermediate Revenue (lines 18-20)</t>
  </si>
  <si>
    <t>3000 State sources</t>
  </si>
  <si>
    <t>22.</t>
  </si>
  <si>
    <t xml:space="preserve">    3110  State Equalization Assistance</t>
  </si>
  <si>
    <t>23.</t>
  </si>
  <si>
    <t xml:space="preserve">    3130-3150  Other unrestricted</t>
  </si>
  <si>
    <t>24.</t>
  </si>
  <si>
    <t xml:space="preserve">    3200  Restricted</t>
  </si>
  <si>
    <t>25.</t>
  </si>
  <si>
    <t xml:space="preserve">    3900  Revenue for/on behalf of the school</t>
  </si>
  <si>
    <t>26.</t>
  </si>
  <si>
    <t xml:space="preserve">    Other revenue from State sources (specify)</t>
  </si>
  <si>
    <t>27.</t>
  </si>
  <si>
    <t xml:space="preserve">      Total State Revenue (lines 22-26)</t>
  </si>
  <si>
    <t>4000 Federal sources</t>
  </si>
  <si>
    <t>28.</t>
  </si>
  <si>
    <t xml:space="preserve">    4100, 4300  Unrestricted/restricted received directly from the federal government</t>
  </si>
  <si>
    <t>29.</t>
  </si>
  <si>
    <t xml:space="preserve">    4200, 4500  Unrestricted/restricted received from the federal government through the State</t>
  </si>
  <si>
    <t>30.</t>
  </si>
  <si>
    <t xml:space="preserve">    4700 Revenue received from the federal government through other intermediate agencies</t>
  </si>
  <si>
    <t>31.</t>
  </si>
  <si>
    <t xml:space="preserve">    4800 Federal impact aid</t>
  </si>
  <si>
    <t>32.</t>
  </si>
  <si>
    <t xml:space="preserve">    4900 Revenue for/on behalf of the school</t>
  </si>
  <si>
    <t>33.</t>
  </si>
  <si>
    <t xml:space="preserve">    Other revenue from federal sources (specify)</t>
  </si>
  <si>
    <t>34.</t>
  </si>
  <si>
    <t xml:space="preserve">      Total Federal Revenue (lines 28-33)</t>
  </si>
  <si>
    <t>35.</t>
  </si>
  <si>
    <t>Total revenue from all sources (lines 17, 21, 27, and 34)</t>
  </si>
  <si>
    <t>Employee</t>
  </si>
  <si>
    <t>Purchased</t>
  </si>
  <si>
    <t>Totals</t>
  </si>
  <si>
    <t>% Increase/ decrease in actual</t>
  </si>
  <si>
    <t>Expenses</t>
  </si>
  <si>
    <t>Salaries</t>
  </si>
  <si>
    <t>benefits</t>
  </si>
  <si>
    <t>services</t>
  </si>
  <si>
    <t>Supplies</t>
  </si>
  <si>
    <t>Other</t>
  </si>
  <si>
    <t>Prior year</t>
  </si>
  <si>
    <t>1000 Schoolwide Project and 1500-1999 Other Special Projects</t>
  </si>
  <si>
    <t>6300, 6400, 6500</t>
  </si>
  <si>
    <t>Budget</t>
  </si>
  <si>
    <t>actual</t>
  </si>
  <si>
    <t>100 Regular education</t>
  </si>
  <si>
    <t xml:space="preserve">    1000 Instruction</t>
  </si>
  <si>
    <t xml:space="preserve">    2000 Support services</t>
  </si>
  <si>
    <t xml:space="preserve">       2100 Students </t>
  </si>
  <si>
    <t xml:space="preserve">       2200 Instruction </t>
  </si>
  <si>
    <t xml:space="preserve">       2300 General administration </t>
  </si>
  <si>
    <t xml:space="preserve">       2400 School administration </t>
  </si>
  <si>
    <t xml:space="preserve">       2500 Central services</t>
  </si>
  <si>
    <t xml:space="preserve">       2600 Operation &amp; maintenance of plant </t>
  </si>
  <si>
    <t xml:space="preserve">       2900 Other support services</t>
  </si>
  <si>
    <t xml:space="preserve">    3000 Operation of noninstructional services</t>
  </si>
  <si>
    <t xml:space="preserve">    4000 Facilities acquisition &amp; construction</t>
  </si>
  <si>
    <t xml:space="preserve">    5000 Debt service</t>
  </si>
  <si>
    <t>610 School-sponsored cocurricular activities</t>
  </si>
  <si>
    <t>620 School-sponsored athletics</t>
  </si>
  <si>
    <t>630 Other instructional programs</t>
  </si>
  <si>
    <t>700, 800, 900 Other programs</t>
  </si>
  <si>
    <t xml:space="preserve">    Subtotal (lines 1-15)</t>
  </si>
  <si>
    <t>200 Special education</t>
  </si>
  <si>
    <t xml:space="preserve">     1000 Instruction</t>
  </si>
  <si>
    <t xml:space="preserve">     2000 Support services</t>
  </si>
  <si>
    <t xml:space="preserve">        2100 Students </t>
  </si>
  <si>
    <t xml:space="preserve">        2200 Instruction </t>
  </si>
  <si>
    <t xml:space="preserve">        2300 General administration </t>
  </si>
  <si>
    <t xml:space="preserve">        2400 School administration </t>
  </si>
  <si>
    <t xml:space="preserve">        2500 Central services</t>
  </si>
  <si>
    <t xml:space="preserve">        2600 Operation &amp; maintenance of plant </t>
  </si>
  <si>
    <t xml:space="preserve">        2900 Other support services</t>
  </si>
  <si>
    <t xml:space="preserve">     3000 Operation of noninstructional services</t>
  </si>
  <si>
    <t xml:space="preserve">     4000 Facilities acquisition &amp; construction </t>
  </si>
  <si>
    <t xml:space="preserve">     5000 Debt service</t>
  </si>
  <si>
    <t xml:space="preserve">     Subtotal (lines 17-27)</t>
  </si>
  <si>
    <t>400 Pupil transportation</t>
  </si>
  <si>
    <t>530 Dropout prevention programs</t>
  </si>
  <si>
    <t>540 Joint career &amp; technical ed. &amp; vocational ed. center</t>
  </si>
  <si>
    <t>550 K-3 Reading</t>
  </si>
  <si>
    <t xml:space="preserve">     Subtotal (lines 16 and 28-32)</t>
  </si>
  <si>
    <t>Classroom Site Project (from page 3, lines 6 and 8)</t>
  </si>
  <si>
    <t xml:space="preserve">Instructional Improvement Project </t>
  </si>
  <si>
    <t>English Language Learner Project (from page 5, line 14)</t>
  </si>
  <si>
    <t>36.</t>
  </si>
  <si>
    <t>Compensatory Instruction Project (from page 5, line 28 )</t>
  </si>
  <si>
    <t>37.</t>
  </si>
  <si>
    <t>Federal and State Projects (from page 8, line 33)</t>
  </si>
  <si>
    <t>38.</t>
  </si>
  <si>
    <t xml:space="preserve">     Total (lines 33-38)</t>
  </si>
  <si>
    <t>39.</t>
  </si>
  <si>
    <t xml:space="preserve">  County</t>
  </si>
  <si>
    <t xml:space="preserve">Employee </t>
  </si>
  <si>
    <t xml:space="preserve">Purchased </t>
  </si>
  <si>
    <t>Classroom Site Project 1010</t>
  </si>
  <si>
    <t>1000 Instructions</t>
  </si>
  <si>
    <t>2100 Support services—students</t>
  </si>
  <si>
    <t>2200 Support services—instructions</t>
  </si>
  <si>
    <t>2300 Support services—general administration</t>
  </si>
  <si>
    <t>3300 Community services operation</t>
  </si>
  <si>
    <t>Total Classroom Site Project (lines 1-5)</t>
  </si>
  <si>
    <t>Classroom Site Project 1010 property payments</t>
  </si>
  <si>
    <t>Property disbursements</t>
  </si>
  <si>
    <t>Interest 6850</t>
  </si>
  <si>
    <t>Redemption of principal</t>
  </si>
  <si>
    <t>Classroom Site Project</t>
  </si>
  <si>
    <t>Additional Classroom Site Project information</t>
  </si>
  <si>
    <t>PY ending project balance</t>
  </si>
  <si>
    <t>Final CY beginning project balance</t>
  </si>
  <si>
    <t>Revenues</t>
  </si>
  <si>
    <t>Interest earned</t>
  </si>
  <si>
    <t>Support</t>
  </si>
  <si>
    <r>
      <rPr>
        <sz val="10"/>
        <color rgb="FF000000"/>
        <rFont val="Times New Roman"/>
        <family val="2"/>
      </rPr>
      <t>Total revenues (lines 1</t>
    </r>
    <r>
      <rPr>
        <sz val="10"/>
        <color rgb="FF000000"/>
        <rFont val="Times New Roman"/>
        <family val="2"/>
      </rPr>
      <t>2</t>
    </r>
    <r>
      <rPr>
        <sz val="10"/>
        <color rgb="FF000000"/>
        <rFont val="Times New Roman"/>
        <family val="2"/>
      </rPr>
      <t xml:space="preserve"> and 1</t>
    </r>
    <r>
      <rPr>
        <sz val="10"/>
        <color rgb="FF000000"/>
        <rFont val="Times New Roman"/>
        <family val="2"/>
      </rPr>
      <t>3</t>
    </r>
    <r>
      <rPr>
        <sz val="10"/>
        <color rgb="FF000000"/>
        <rFont val="Times New Roman"/>
        <family val="2"/>
      </rPr>
      <t>)</t>
    </r>
  </si>
  <si>
    <r>
      <rPr>
        <sz val="10"/>
        <color rgb="FF000000"/>
        <rFont val="Times New Roman"/>
        <family val="2"/>
      </rPr>
      <t xml:space="preserve">Total available (lines 10 </t>
    </r>
    <r>
      <rPr>
        <sz val="10"/>
        <color rgb="FF000000"/>
        <rFont val="Times New Roman"/>
        <family val="2"/>
      </rPr>
      <t>or 11,</t>
    </r>
    <r>
      <rPr>
        <sz val="10"/>
        <color rgb="FF000000"/>
        <rFont val="Times New Roman"/>
        <family val="2"/>
      </rPr>
      <t xml:space="preserve"> and 1</t>
    </r>
    <r>
      <rPr>
        <sz val="10"/>
        <color rgb="FF000000"/>
        <rFont val="Times New Roman"/>
        <family val="2"/>
      </rPr>
      <t>4</t>
    </r>
    <r>
      <rPr>
        <sz val="10"/>
        <color rgb="FF000000"/>
        <rFont val="Times New Roman"/>
        <family val="2"/>
      </rPr>
      <t>)</t>
    </r>
  </si>
  <si>
    <r>
      <rPr>
        <sz val="10"/>
        <color rgb="FF000000"/>
        <rFont val="Times New Roman"/>
        <family val="2"/>
      </rPr>
      <t>Expenses (</t>
    </r>
    <r>
      <rPr>
        <sz val="10"/>
        <color rgb="FF000000"/>
        <rFont val="Cambria"/>
        <family val="1"/>
      </rPr>
      <t>from lines 6, 7, 8, and 9</t>
    </r>
    <r>
      <rPr>
        <sz val="10"/>
        <color rgb="FF000000"/>
        <rFont val="Times New Roman"/>
        <family val="2"/>
      </rPr>
      <t>)</t>
    </r>
  </si>
  <si>
    <r>
      <rPr>
        <sz val="10"/>
        <color rgb="FF000000"/>
        <rFont val="Times New Roman"/>
        <family val="2"/>
      </rPr>
      <t>Ending project balance (line 1</t>
    </r>
    <r>
      <rPr>
        <sz val="10"/>
        <color rgb="FF000000"/>
        <rFont val="Times New Roman"/>
        <family val="2"/>
      </rPr>
      <t>5</t>
    </r>
    <r>
      <rPr>
        <sz val="10"/>
        <color rgb="FF000000"/>
        <rFont val="Times New Roman"/>
        <family val="2"/>
      </rPr>
      <t xml:space="preserve"> minus line 1</t>
    </r>
    <r>
      <rPr>
        <sz val="10"/>
        <color rgb="FF000000"/>
        <rFont val="Times New Roman"/>
        <family val="2"/>
      </rPr>
      <t>6</t>
    </r>
    <r>
      <rPr>
        <sz val="10"/>
        <color rgb="FF000000"/>
        <rFont val="Times New Roman"/>
        <family val="2"/>
      </rPr>
      <t xml:space="preserve">) </t>
    </r>
  </si>
  <si>
    <t>Instruction</t>
  </si>
  <si>
    <t>Instructional Improvement Project 1020</t>
  </si>
  <si>
    <t>Teacher compensation increases</t>
  </si>
  <si>
    <t>Class size reduction</t>
  </si>
  <si>
    <t>Dropout prevention programs</t>
  </si>
  <si>
    <t>Instructional improvement programs</t>
  </si>
  <si>
    <t>Total Inst. Imp. expenses (lines 1-4, should equal line 9 below)</t>
  </si>
  <si>
    <t>Additional Instructional Improvement Project information</t>
  </si>
  <si>
    <t>Total available (lines 6 or 7, and 8)</t>
  </si>
  <si>
    <t>Expenses (line 5 above)</t>
  </si>
  <si>
    <t>Ending project balance  (line 9 minus line 10)</t>
  </si>
  <si>
    <t>Arizona Industry Credentials Incentive Project—detailed expenses</t>
  </si>
  <si>
    <t>Teacher instructional costs and professional development</t>
  </si>
  <si>
    <t>Student cost of certification, credentialing or licensure</t>
  </si>
  <si>
    <t>Developmental costs</t>
  </si>
  <si>
    <t>Instructional hardware, software or supplies</t>
  </si>
  <si>
    <t>Career exploration</t>
  </si>
  <si>
    <t>Total Arizona Industry Credentials Incentives expenses</t>
  </si>
  <si>
    <t>PY ending</t>
  </si>
  <si>
    <t xml:space="preserve">Employee  </t>
  </si>
  <si>
    <t>Total  expenses</t>
  </si>
  <si>
    <t>Ending</t>
  </si>
  <si>
    <t>Revenues and expenses</t>
  </si>
  <si>
    <t>project</t>
  </si>
  <si>
    <t>balance</t>
  </si>
  <si>
    <t>revenues</t>
  </si>
  <si>
    <t>English Language Learner Project—1071</t>
  </si>
  <si>
    <t>3200 Restricted revenue from State sources</t>
  </si>
  <si>
    <t>1500 Earnings on investments</t>
  </si>
  <si>
    <t>Total revenues (lines 1 and 2)</t>
  </si>
  <si>
    <t>260 Special education—ELL incremental costs</t>
  </si>
  <si>
    <t>1000 Instruction</t>
  </si>
  <si>
    <t>2000 Support services</t>
  </si>
  <si>
    <t>2100 Students</t>
  </si>
  <si>
    <t>2200 Instruction</t>
  </si>
  <si>
    <t>2300 General administration</t>
  </si>
  <si>
    <t>2400 School administration</t>
  </si>
  <si>
    <t>2500 Central services</t>
  </si>
  <si>
    <t xml:space="preserve">2600 Operation &amp; maintenance of plant </t>
  </si>
  <si>
    <t>2900 Other support services</t>
  </si>
  <si>
    <t>Program 260 subtotal (lines 4-11)</t>
  </si>
  <si>
    <t>430 Pupil transportation—ELL incremental costs</t>
  </si>
  <si>
    <t>2700 Student transportation</t>
  </si>
  <si>
    <t>Total (lines 12 and 13)</t>
  </si>
  <si>
    <t>Compensatory Instruction Project—1072</t>
  </si>
  <si>
    <t>Total revenues (lines 15 and 16)</t>
  </si>
  <si>
    <t>265 Special education—ELL compensatory instruction</t>
  </si>
  <si>
    <t>Program 265 subtotal (lines 18-25)</t>
  </si>
  <si>
    <t>435 Pupil Trans.—ELL compensatory instruction</t>
  </si>
  <si>
    <t>Total (lines 26 and 27)</t>
  </si>
  <si>
    <t>Supplementary information</t>
  </si>
  <si>
    <t>July 1, 2025</t>
  </si>
  <si>
    <t>June 30, 2026</t>
  </si>
  <si>
    <t>A.</t>
  </si>
  <si>
    <t>Cash balance</t>
  </si>
  <si>
    <t>F.</t>
  </si>
  <si>
    <t>Number of full-time equivalent certified teachers</t>
  </si>
  <si>
    <t>Number of full-time equivalent noncertified teachers</t>
  </si>
  <si>
    <t>B.</t>
  </si>
  <si>
    <t>Audit services</t>
  </si>
  <si>
    <t>Number of full-time equivalent contract teachers</t>
  </si>
  <si>
    <t>1.  Nonfederal</t>
  </si>
  <si>
    <t>Number of schools</t>
  </si>
  <si>
    <t>2.  Federal</t>
  </si>
  <si>
    <t>Actual days in session</t>
  </si>
  <si>
    <t>3.     Total (lines 1 and 2)</t>
  </si>
  <si>
    <t>Tuition expense (except payments to other Arizona schools or districts)</t>
  </si>
  <si>
    <t>Tuition expense (paid to other Arizona schools or districts)</t>
  </si>
  <si>
    <t>C.</t>
  </si>
  <si>
    <t>Capital acquisitions</t>
  </si>
  <si>
    <t>Textbooks (function 1000, object code 6642)</t>
  </si>
  <si>
    <t>1.  0181  Intangible assets</t>
  </si>
  <si>
    <t>2.  0191  Land and land improvements</t>
  </si>
  <si>
    <t>3.  0192  Site improvements</t>
  </si>
  <si>
    <t>Certified</t>
  </si>
  <si>
    <t>Noncertified</t>
  </si>
  <si>
    <t>Contract</t>
  </si>
  <si>
    <t>4.  0194  Buildings and building improvements</t>
  </si>
  <si>
    <t>G.</t>
  </si>
  <si>
    <t>Teacher salaries</t>
  </si>
  <si>
    <t>teachers</t>
  </si>
  <si>
    <t>substitutes</t>
  </si>
  <si>
    <t>5.  0196  Equipment</t>
  </si>
  <si>
    <t xml:space="preserve"> (function 1000)</t>
  </si>
  <si>
    <t>(object 6112)</t>
  </si>
  <si>
    <t>(object 6152)</t>
  </si>
  <si>
    <t>(object 6113)</t>
  </si>
  <si>
    <t>(object 6153)</t>
  </si>
  <si>
    <t>(object 6325)</t>
  </si>
  <si>
    <t>6.  0198  Construction in progress</t>
  </si>
  <si>
    <t xml:space="preserve">Regular education </t>
  </si>
  <si>
    <t>7.     Total capital acquisitions (lines 1-6)</t>
  </si>
  <si>
    <t>Special education</t>
  </si>
  <si>
    <t xml:space="preserve">Vocational education </t>
  </si>
  <si>
    <t>D.</t>
  </si>
  <si>
    <t>Investment in capital assets as of June 30, 2026</t>
  </si>
  <si>
    <t>Other programs</t>
  </si>
  <si>
    <t>Cocurr. act., athletics, &amp; other (program 600)</t>
  </si>
  <si>
    <t xml:space="preserve">H. </t>
  </si>
  <si>
    <t>Average teacher salary (A.R.S. §15-189.05, as added by Laws 2018, Ch. 285, §3)</t>
  </si>
  <si>
    <t>Check box if the Charter was new and began operations in FY 2026.</t>
  </si>
  <si>
    <t>7.     Total (lines 1-6)</t>
  </si>
  <si>
    <t>Average salary of all teachers employed in FY 2026</t>
  </si>
  <si>
    <t>Average salary of all teachers employed in FY 2025</t>
  </si>
  <si>
    <t>E.</t>
  </si>
  <si>
    <t>Current expenses by category</t>
  </si>
  <si>
    <t>Increase in average teacher salary from FY 2025</t>
  </si>
  <si>
    <t>1.  Classroom instruction excluding classroom supplies (function 1000,</t>
  </si>
  <si>
    <t>Percentage increase</t>
  </si>
  <si>
    <t xml:space="preserve">     except line 2 amount)</t>
  </si>
  <si>
    <t>2.  Classroom supplies (function 1000, object code 6600)</t>
  </si>
  <si>
    <t>3.  Administration (functions 2300, 2400, 2500, and 2900)</t>
  </si>
  <si>
    <t>Comments on average salary calculation (optional):</t>
  </si>
  <si>
    <t>4.  Support services—students (function 2100)</t>
  </si>
  <si>
    <t>5.  All other support services and operations (functions 2200, 2600,</t>
  </si>
  <si>
    <t xml:space="preserve">    2700, 3100, and 3400)</t>
  </si>
  <si>
    <t>6.     Total (lines 1-5)</t>
  </si>
  <si>
    <t>7. Current expenses from federal sources</t>
  </si>
  <si>
    <t>8. Current expenses from State and local sources</t>
  </si>
  <si>
    <t>Supplementary information (Cont’d)</t>
  </si>
  <si>
    <t>A. Enrollment of gifted pupils by grade</t>
  </si>
  <si>
    <t>Grade</t>
  </si>
  <si>
    <t>Areas of identification</t>
  </si>
  <si>
    <t>K</t>
  </si>
  <si>
    <t>Total</t>
  </si>
  <si>
    <t xml:space="preserve"> 1. Quantitative reasoning</t>
  </si>
  <si>
    <t xml:space="preserve"> 2. Verbal reasoning</t>
  </si>
  <si>
    <t xml:space="preserve"> 3. Nonverbal reasoning</t>
  </si>
  <si>
    <t xml:space="preserve"> 4. Total duplicated enrollment</t>
  </si>
  <si>
    <t xml:space="preserve">        (lines 1-3)</t>
  </si>
  <si>
    <t>B. Expenses for gifted pupils</t>
  </si>
  <si>
    <t>(elementary &amp; secondary)</t>
  </si>
  <si>
    <t>C. Special education programs by type</t>
  </si>
  <si>
    <t>Program 200 budget</t>
  </si>
  <si>
    <t>Program 200 actual</t>
  </si>
  <si>
    <t>Actual expenses for all gifted programs:</t>
  </si>
  <si>
    <t>Total all disability classifications</t>
  </si>
  <si>
    <t>K-8</t>
  </si>
  <si>
    <t>Gifted education</t>
  </si>
  <si>
    <t>9-12</t>
  </si>
  <si>
    <t>ELL incremental costs</t>
  </si>
  <si>
    <t xml:space="preserve">   Total</t>
  </si>
  <si>
    <t>ELL compensatory instruction</t>
  </si>
  <si>
    <t>Remedial education</t>
  </si>
  <si>
    <t>Vocational and technical education</t>
  </si>
  <si>
    <t>Career education</t>
  </si>
  <si>
    <t>Total (lines 1-7)</t>
  </si>
  <si>
    <t>Expenses incurred for transporting students with disabilities (as defined in A.R.S. §15-761) unique to the IEP</t>
  </si>
  <si>
    <t>D. Special Education Current Expenditures</t>
  </si>
  <si>
    <t>Amount</t>
  </si>
  <si>
    <t xml:space="preserve"> 1.</t>
  </si>
  <si>
    <t>Current expenditures for public elementary-secondary special education programs (All Projects, Program 200, Functions 1000-3100, Objects 6100-6600, 6810, 6820, and 6890, excluding 6511, 6512, 6591, and 6592)</t>
  </si>
  <si>
    <t>Instructional expenditures for public elementary-secondary special education programs (All Projects, Program 200, Function 1000, Objects 6100-6600, 6810, and 6890, excluding 6591 and 6592)</t>
  </si>
  <si>
    <t>Student support services expenditures for public elementary-secondary special education programs (All Projects, Program 200, Function 2100, Objects 6100-6600, 6810, and 6890, excluding 6591 and 6592)</t>
  </si>
  <si>
    <t>Instructional staff support services expenditures for public elementary-secondary special education programs (All Projects, Program 200, Function 2200, Objects 6100-6600, 6810, and 6890, excluding 6591 and 6592)</t>
  </si>
  <si>
    <t>Student transportation expenditures for public elementary-secondary special education programs (All Projects, Program 400, Objects 6100-6600, 6810, and 6890, excluding 6591 and 6592)</t>
  </si>
  <si>
    <t>Federal and State projects</t>
  </si>
  <si>
    <t>Final CY</t>
  </si>
  <si>
    <t>Indirect</t>
  </si>
  <si>
    <t>Redemption</t>
  </si>
  <si>
    <t>Capital</t>
  </si>
  <si>
    <t>Instructions</t>
  </si>
  <si>
    <t>Beginning</t>
  </si>
  <si>
    <t>costs</t>
  </si>
  <si>
    <t>Reversions</t>
  </si>
  <si>
    <t xml:space="preserve">of </t>
  </si>
  <si>
    <t>acquisitions</t>
  </si>
  <si>
    <t>Federal projects</t>
  </si>
  <si>
    <t>Project Balance</t>
  </si>
  <si>
    <t>principal</t>
  </si>
  <si>
    <t>1100-1130 ESEA Title I—Helping Disadvantaged Children</t>
  </si>
  <si>
    <t>1140-1150 ESEA Title II—Prof. Dev. And Technology</t>
  </si>
  <si>
    <t>1160 ESEA  Title IV—21st Century Schools</t>
  </si>
  <si>
    <t>1170-1180 ESEA Title V—Promote Informed Parent Choice</t>
  </si>
  <si>
    <t>1190 ESEA  Title III—Limited Eng. &amp; Immigrant Students</t>
  </si>
  <si>
    <t>1200 ESEA Title VII—Indian Education</t>
  </si>
  <si>
    <t>1210 ESEA Title VI—Flexibility and Accountability</t>
  </si>
  <si>
    <t>1220 IDEA, Part B, including ARP—IDEA Grants</t>
  </si>
  <si>
    <t>1230 Johnson-O'Malley</t>
  </si>
  <si>
    <t>1240 Workforce Investment Act</t>
  </si>
  <si>
    <t>1250 AEA—Adult Education</t>
  </si>
  <si>
    <t>1260-1270 Vocational Education—Basic Grants</t>
  </si>
  <si>
    <t>1280 ESEA Title X—Homeless Education</t>
  </si>
  <si>
    <t>1290 Medicaid Reimbursement</t>
  </si>
  <si>
    <t>1300 Charter School Implementation Project (Stimulus)</t>
  </si>
  <si>
    <t>13__ Impact Aid</t>
  </si>
  <si>
    <t>1310-1399 Other Federal Projects</t>
  </si>
  <si>
    <t xml:space="preserve">     Total federal projects (lines 1-17)</t>
  </si>
  <si>
    <t>Total COVID-19 federal relief projects included above</t>
  </si>
  <si>
    <t>State projects</t>
  </si>
  <si>
    <t>1400 Vocational Education</t>
  </si>
  <si>
    <t>1410 Early Childhood Block Grant</t>
  </si>
  <si>
    <t>1420 Extended School Year—Pupils with Disabilities</t>
  </si>
  <si>
    <t>1425 Adult Basic Education</t>
  </si>
  <si>
    <t>1430 Chemical Abuse Prevention Programs</t>
  </si>
  <si>
    <t>1435 Academic Contests</t>
  </si>
  <si>
    <t>1450 Gifted Education</t>
  </si>
  <si>
    <t>1456 College Credit Exam Incentives</t>
  </si>
  <si>
    <t>1460 Environmental Special Plate</t>
  </si>
  <si>
    <t>1465 Charter School Stimulus Fund</t>
  </si>
  <si>
    <t>14_ Arizona Industry Credentials Incentive</t>
  </si>
  <si>
    <t>1470-1499 Other State Projects</t>
  </si>
  <si>
    <t xml:space="preserve">     Total State projects (lines 20-31)</t>
  </si>
  <si>
    <t xml:space="preserve">     Total federal and State projects (lines 18 and 32)</t>
  </si>
  <si>
    <t>Additional information for National Public Education Financial Survey Reporting</t>
  </si>
  <si>
    <t>Programs 100-630</t>
  </si>
  <si>
    <t>Dues and</t>
  </si>
  <si>
    <t>6800</t>
  </si>
  <si>
    <t>6300, 6400,</t>
  </si>
  <si>
    <t>fees</t>
  </si>
  <si>
    <t>Miscellaneous</t>
  </si>
  <si>
    <t xml:space="preserve">(excluding 6810,   </t>
  </si>
  <si>
    <t>Property</t>
  </si>
  <si>
    <t>Projects (1000-1999)</t>
  </si>
  <si>
    <t>6850 and 6890)</t>
  </si>
  <si>
    <t>disbursements</t>
  </si>
  <si>
    <t xml:space="preserve">      2100 Students</t>
  </si>
  <si>
    <t xml:space="preserve">      2200 Instruction</t>
  </si>
  <si>
    <t xml:space="preserve">      2300 General administration</t>
  </si>
  <si>
    <t xml:space="preserve">      2400 School administration</t>
  </si>
  <si>
    <t xml:space="preserve">      2500, 2900 Central services, other support services </t>
  </si>
  <si>
    <t xml:space="preserve">      2600 Operation &amp; maintenance of plant</t>
  </si>
  <si>
    <t xml:space="preserve">      2700 Student transportation</t>
  </si>
  <si>
    <t>3000 Operation of noninstructional services</t>
  </si>
  <si>
    <t xml:space="preserve">      3100 Food service operations</t>
  </si>
  <si>
    <t xml:space="preserve">      3400 Bookstore operations</t>
  </si>
  <si>
    <t>Total (lines 1-10)</t>
  </si>
  <si>
    <t>From federal sources (from line 11 above)</t>
  </si>
  <si>
    <t>From State &amp; local sources (from line 11 above)</t>
  </si>
  <si>
    <t>4000 Facilities acquisition &amp; construction</t>
  </si>
  <si>
    <t>All expense</t>
  </si>
  <si>
    <t>Cash and investments held at June 30, 2026</t>
  </si>
  <si>
    <t>object codes</t>
  </si>
  <si>
    <t xml:space="preserve">     1. Sinking funds</t>
  </si>
  <si>
    <t>(excluding</t>
  </si>
  <si>
    <t xml:space="preserve">Property </t>
  </si>
  <si>
    <t xml:space="preserve">     2. Bond funds</t>
  </si>
  <si>
    <t>6700 and 6900)</t>
  </si>
  <si>
    <t xml:space="preserve">     3. Other funds, except for any employee retirement funds</t>
  </si>
  <si>
    <t>1. Program 700—Adult/continuing education programs</t>
  </si>
  <si>
    <t>2. Program 800—Community college education programs</t>
  </si>
  <si>
    <t>3. Program 900—Community services program</t>
  </si>
  <si>
    <t>Long-term and short-term debt</t>
  </si>
  <si>
    <t>4. Function 3300—Community services operations (programs 700-900)</t>
  </si>
  <si>
    <t xml:space="preserve">     1. Long-term debt outstanding, July 1, 2025</t>
  </si>
  <si>
    <t xml:space="preserve">     2. Long-term debt issued during FY 2026</t>
  </si>
  <si>
    <t xml:space="preserve">     3. Long-term debt retired during FY 2026</t>
  </si>
  <si>
    <t>Property disbursements by type</t>
  </si>
  <si>
    <t>All programs</t>
  </si>
  <si>
    <t xml:space="preserve">     4. Long-term debt outstanding, June 30, 2026</t>
  </si>
  <si>
    <t xml:space="preserve">     1. Intangible assets</t>
  </si>
  <si>
    <t xml:space="preserve">     2. Land and land improvements</t>
  </si>
  <si>
    <t xml:space="preserve">     5. Short-term debt outstanding, July 1, 2025</t>
  </si>
  <si>
    <t xml:space="preserve">     3. Buildings</t>
  </si>
  <si>
    <t xml:space="preserve">     6. Short-term debt outstanding, June 30, 2026</t>
  </si>
  <si>
    <t xml:space="preserve">     4. Equipment</t>
  </si>
  <si>
    <t xml:space="preserve">     5. Construction</t>
  </si>
  <si>
    <t>Utilities and energy detail (only function 2600)</t>
  </si>
  <si>
    <t xml:space="preserve">     1. 6410 Utility services</t>
  </si>
  <si>
    <t>Debt service</t>
  </si>
  <si>
    <t xml:space="preserve">     2. 6621-6626 Energy</t>
  </si>
  <si>
    <t xml:space="preserve">     1. 6850 Interest</t>
  </si>
  <si>
    <t xml:space="preserve">     2. Redemption of principal</t>
  </si>
  <si>
    <t xml:space="preserve">     3. 6800 Other (function 5000, excluding 6850)</t>
  </si>
  <si>
    <t>Technology (all functions)</t>
  </si>
  <si>
    <t xml:space="preserve">     1. 6330 Technical services</t>
  </si>
  <si>
    <t xml:space="preserve">Revenue from selected federal sources </t>
  </si>
  <si>
    <t xml:space="preserve">     2. 6432 Technology-related repairs and maintenance </t>
  </si>
  <si>
    <t xml:space="preserve">     1. ESEA Title IV—Student Support and Academic Enrichment Grants</t>
  </si>
  <si>
    <t xml:space="preserve">     3. 6441 Rental of computers and related equipment</t>
  </si>
  <si>
    <t xml:space="preserve">     2. ESEA Title IV—21st Century Community Learning Centers</t>
  </si>
  <si>
    <t xml:space="preserve">     4. 6531 Telecommunications</t>
  </si>
  <si>
    <t xml:space="preserve">     3. ESEA Title V—Rural Education-Rural and Low-Income School Program</t>
  </si>
  <si>
    <t xml:space="preserve">     5. 6650 Technology-related supplies </t>
  </si>
  <si>
    <t xml:space="preserve">     4. ESEA Title V—Rural Education-Small, Rural School Achievement Program</t>
  </si>
  <si>
    <t xml:space="preserve">     6. Technology-related hardware and software</t>
  </si>
  <si>
    <t>Support services-instruction detail (Programs 100-630, excluding 400)</t>
  </si>
  <si>
    <t xml:space="preserve">   1.  Function 2220-Improvement of instruction (in objects 6300-6490, 6530-6550, 6580, 6600-6620, 6640-6650, 0196 disbursements, 6740, 6810, and 6890)</t>
  </si>
  <si>
    <t xml:space="preserve">   2.  Function 2230-Library/media Services (in objects 6300-6490, 6530-6550, 6580, 6600-6620, 6640-6650, 0196 disbursements, 6740, 6810, and 6890)</t>
  </si>
  <si>
    <t>Books, Periodicals, and Instructional Aids (programs 100-630, excluding 400)</t>
  </si>
  <si>
    <t xml:space="preserve">   1.  Object 6640, functions 1000 and 2230</t>
  </si>
  <si>
    <t>Additional information for National Public Education Financial Survey (NPEFS) reporting of COVID-19 federal relief projects</t>
  </si>
  <si>
    <t>Programs 700-900</t>
  </si>
  <si>
    <t xml:space="preserve">Judgements </t>
  </si>
  <si>
    <t>All</t>
  </si>
  <si>
    <t>Current expenses from COVID-19 federal relief projects</t>
  </si>
  <si>
    <t>against the school</t>
  </si>
  <si>
    <t xml:space="preserve">(excluding 6810, </t>
  </si>
  <si>
    <t>Object Codes</t>
  </si>
  <si>
    <t>6820, 6850, and 6890)</t>
  </si>
  <si>
    <t>(excluding 6900)</t>
  </si>
  <si>
    <t>2100, 2200  Student Support Services</t>
  </si>
  <si>
    <t>2300, 2500, 2900 Other Support Services</t>
  </si>
  <si>
    <t>2600 Operation &amp; maintenance of plant</t>
  </si>
  <si>
    <t>3100 Food service operations</t>
  </si>
  <si>
    <t>3400 Bookstore operations</t>
  </si>
  <si>
    <t>Total (lines 1-9)</t>
  </si>
  <si>
    <t>Technology related expenses from COVID-19 federal relief projects</t>
  </si>
  <si>
    <t>Total spending detail</t>
  </si>
  <si>
    <t>Classroom spending detail</t>
  </si>
  <si>
    <t>Property disbursement detail for COVID-19 federal relief projects</t>
  </si>
  <si>
    <t>Indirect costs from COVID-19 federal relief projects</t>
  </si>
  <si>
    <t>1. 6330 Technical services</t>
  </si>
  <si>
    <t>1. Intangible assets</t>
  </si>
  <si>
    <t>1. 6900 Indirect costs</t>
  </si>
  <si>
    <t xml:space="preserve">2. 6432 Technology-related repairs and maintenance </t>
  </si>
  <si>
    <t>2. Land and land improvements</t>
  </si>
  <si>
    <t>3. 6441 Rental of computers and related equipment</t>
  </si>
  <si>
    <t>3. Buildings</t>
  </si>
  <si>
    <t>Property disbursements from COVID-19 federal relief projects</t>
  </si>
  <si>
    <t>4. 6531 Telecommunications</t>
  </si>
  <si>
    <t>4. Equipment</t>
  </si>
  <si>
    <t>1. Program 700 Adult/continuing education programs</t>
  </si>
  <si>
    <t>5. 6650 Technology-related supplies &amp; purchased services (less than $5,000)</t>
  </si>
  <si>
    <t>5. Construction</t>
  </si>
  <si>
    <t>2. Program 800 Community college education programs</t>
  </si>
  <si>
    <t>6. Technology-related hardware &amp; software ($5,000 or more)</t>
  </si>
  <si>
    <t>3. Program 900 Community services program</t>
  </si>
  <si>
    <t xml:space="preserve">7. 6641-43 Software reported in library books, textbooks, or instructional aids </t>
  </si>
  <si>
    <t>Debt service detail for COVID-19 federal relief projects</t>
  </si>
  <si>
    <t>1. 6850 Interest</t>
  </si>
  <si>
    <t>2. Redemption of principal</t>
  </si>
  <si>
    <t/>
  </si>
  <si>
    <t>COVID-19 federal relief projects</t>
  </si>
  <si>
    <t>Total Award
(all fiscal years)</t>
  </si>
  <si>
    <t>FY 2020 through 
FY 2025
Expenses and other financing uses</t>
  </si>
  <si>
    <t>FY 2026
Expenses and other financing uses</t>
  </si>
  <si>
    <t>Amount
remaining to
spend</t>
  </si>
  <si>
    <t>Paycheck Protection Program</t>
  </si>
  <si>
    <t>1. Total loan amount received</t>
  </si>
  <si>
    <t>1. Elementary and Secondary School Emergency Relief Funds (ESSER I)</t>
  </si>
  <si>
    <t>2. Total PPP loans spent in all fiscal years</t>
  </si>
  <si>
    <t>2. Elementary and Secondary School Emergency Relief Funds (ESSER II)</t>
  </si>
  <si>
    <t xml:space="preserve">3. Total loan amount approved for forgiveness </t>
  </si>
  <si>
    <t>3. Elementary and Secondary School Emergency Relief Funds (ESSER III)</t>
  </si>
  <si>
    <t>4. Total amounts returned to Small Business Administration</t>
  </si>
  <si>
    <t>4. Governor’s Emergency Education Relief Funds (GEER) - includes Acceleration Academies Program</t>
  </si>
  <si>
    <t>5. Total loan amount remaining (line 1 minus lines 2 and 4, final amount should equal 0)</t>
  </si>
  <si>
    <t>5. Coronavirus Relief Fund (CRF)—Enrollment Stability Grant (ESG) Program</t>
  </si>
  <si>
    <t>6. Other COVID-19 federal relief projects</t>
  </si>
  <si>
    <t>7. Total</t>
  </si>
  <si>
    <t>Total FY 2026 expenses + indirect costs, debt service, and property disbursements</t>
  </si>
  <si>
    <t>Food Service</t>
  </si>
  <si>
    <t xml:space="preserve">6100 Personal services—salaries </t>
  </si>
  <si>
    <t>1600 Food service</t>
  </si>
  <si>
    <t xml:space="preserve">6200 Personal services—employee benefits </t>
  </si>
  <si>
    <t>1900 Other revenues and gains from local sources</t>
  </si>
  <si>
    <t>6400 Purchased property services</t>
  </si>
  <si>
    <t>3200 Restricted revenue received from the State</t>
  </si>
  <si>
    <t>6530 Communications</t>
  </si>
  <si>
    <t>4500 Restricted revenue (reimbursement) received</t>
  </si>
  <si>
    <t xml:space="preserve">6570 Food service management </t>
  </si>
  <si>
    <t xml:space="preserve">          from the federal government through the State</t>
  </si>
  <si>
    <t>6591 Services purchased from other AZ schools or districts</t>
  </si>
  <si>
    <t>4900 Revenue for/on behalf of the school (1)</t>
  </si>
  <si>
    <t>6610 General supplies (nonfood items)</t>
  </si>
  <si>
    <t>Total revenue (lines 1-6)</t>
  </si>
  <si>
    <t>6620 Energy</t>
  </si>
  <si>
    <t>6631 USDA commodities (excluding freight)</t>
  </si>
  <si>
    <t>A.  Number of operating months</t>
  </si>
  <si>
    <t>6632 USDA commodities (freight only)</t>
  </si>
  <si>
    <t>6633 Other food</t>
  </si>
  <si>
    <t>B.  Number of meals served</t>
  </si>
  <si>
    <t>Breakfasts</t>
  </si>
  <si>
    <t>Lunches/suppers</t>
  </si>
  <si>
    <t>A la carte*</t>
  </si>
  <si>
    <t>Snacks</t>
  </si>
  <si>
    <t>6800 Other expenses (excluding food service mgt. fees)</t>
  </si>
  <si>
    <t>0190 Capital assets (excluding 0196)</t>
  </si>
  <si>
    <t>1. Served at charter school locations</t>
  </si>
  <si>
    <t>0196 Equipment</t>
  </si>
  <si>
    <t xml:space="preserve">    a. Reimbursable meals only</t>
  </si>
  <si>
    <t>Total expenses (lines 8-21)</t>
  </si>
  <si>
    <t xml:space="preserve">    b. Program adults/adult workers</t>
  </si>
  <si>
    <t xml:space="preserve">    c. Other</t>
  </si>
  <si>
    <t>7/1/2025</t>
  </si>
  <si>
    <t>6/30/2026</t>
  </si>
  <si>
    <t>2. Served at other locations</t>
  </si>
  <si>
    <t>F.  Cash balances</t>
  </si>
  <si>
    <t>* Divide all revenues from a la carte sales by the free lunch reimbursement rate received.</t>
  </si>
  <si>
    <t>G.  Detail of food service management company expenses</t>
  </si>
  <si>
    <t xml:space="preserve">      Classified salaries</t>
  </si>
  <si>
    <t>C.  Meal prices</t>
  </si>
  <si>
    <t>K-6</t>
  </si>
  <si>
    <t>7-8</t>
  </si>
  <si>
    <t>Adult</t>
  </si>
  <si>
    <t xml:space="preserve">      Employee benefits</t>
  </si>
  <si>
    <t xml:space="preserve">     1. Reduced breakfast</t>
  </si>
  <si>
    <t xml:space="preserve">      Supplies and materials (nonfood)</t>
  </si>
  <si>
    <t xml:space="preserve">     2. Reduced lunch</t>
  </si>
  <si>
    <t xml:space="preserve">      Food</t>
  </si>
  <si>
    <t xml:space="preserve">     3. Reduced snack</t>
  </si>
  <si>
    <t xml:space="preserve">      Management fee</t>
  </si>
  <si>
    <t xml:space="preserve">     4. Paid breakfast</t>
  </si>
  <si>
    <t xml:space="preserve">      Other</t>
  </si>
  <si>
    <t xml:space="preserve">     5. Paid lunch</t>
  </si>
  <si>
    <t xml:space="preserve">      Total  (must equal total on line 12 above)</t>
  </si>
  <si>
    <t xml:space="preserve">     6. Paid snack</t>
  </si>
  <si>
    <t xml:space="preserve">           </t>
  </si>
  <si>
    <t>D.  Special Milk Program</t>
  </si>
  <si>
    <t xml:space="preserve">     Number of 1/2 pint milk units served to children</t>
  </si>
  <si>
    <t>E.  State Equalization Assistance expended for food service, function 3100</t>
  </si>
  <si>
    <t xml:space="preserve">     [This amount will be used to determine charter compliance with State matching requirements pursuant to CFR Title 7, §210.17(a).]</t>
  </si>
  <si>
    <t>(1)  Include the value of USDA Commodities on this line (excluding freight), as well as cash received from the USDA instead of commodities.</t>
  </si>
  <si>
    <t>Avg. Daily Membership</t>
  </si>
  <si>
    <t>2025</t>
  </si>
  <si>
    <t>2026</t>
  </si>
  <si>
    <t>Attending</t>
  </si>
  <si>
    <t xml:space="preserve">                                            Annual Financial Report Summary</t>
  </si>
  <si>
    <t xml:space="preserve">Revenues </t>
  </si>
  <si>
    <t>Budgeted Expenses</t>
  </si>
  <si>
    <t>Actual Expenses</t>
  </si>
  <si>
    <t>PY Ending</t>
  </si>
  <si>
    <t xml:space="preserve">Redemption of </t>
  </si>
  <si>
    <t>Project/Program</t>
  </si>
  <si>
    <t>Indirect costs</t>
  </si>
  <si>
    <t xml:space="preserve">principal </t>
  </si>
  <si>
    <t>Additional reserve information</t>
  </si>
  <si>
    <t>Regular Education</t>
  </si>
  <si>
    <t>(see Reserve balance tab for more detail)</t>
  </si>
  <si>
    <t>Special Education</t>
  </si>
  <si>
    <t>Pupil Transportation</t>
  </si>
  <si>
    <t>Dropout Prevention Programs</t>
  </si>
  <si>
    <t>The total reserve balance for FY 2026 is:</t>
  </si>
  <si>
    <t>Joint Career &amp; Tech. Ed. &amp; Voc. Ed. Center</t>
  </si>
  <si>
    <t>K-3 Reading Program</t>
  </si>
  <si>
    <t>Schoolwide and other special projects</t>
  </si>
  <si>
    <t>Classroom Site</t>
  </si>
  <si>
    <t>Instructional Improvement</t>
  </si>
  <si>
    <t>English Language Learner</t>
  </si>
  <si>
    <t>Compensatory Instruction</t>
  </si>
  <si>
    <t>Federal Projects</t>
  </si>
  <si>
    <t>State Projects</t>
  </si>
  <si>
    <t>This tab presents information on the amount and planned use of the Charter's project's balances to increase transparency and provide decision-makers, other stakeholders, and the public more complete financial information. It also presents information about policies or guidelines the Charter used to establish target project balance reserve amounts.</t>
  </si>
  <si>
    <t>A. Project balance amounts and planned uses</t>
  </si>
  <si>
    <t>All Projects</t>
  </si>
  <si>
    <t>x</t>
  </si>
  <si>
    <t>Prior year ending project balance</t>
  </si>
  <si>
    <t>FY 2025 ending project balance</t>
  </si>
  <si>
    <t>Current year ending project balance</t>
  </si>
  <si>
    <t>FY 2026 ending project balance</t>
  </si>
  <si>
    <t>FY 2026 ending project balance details:</t>
  </si>
  <si>
    <t>3.a</t>
  </si>
  <si>
    <t>Deficit balance</t>
  </si>
  <si>
    <t>3.b</t>
  </si>
  <si>
    <t>Planned to be spent in FY 2027 to support budgeted spending</t>
  </si>
  <si>
    <t>3.c</t>
  </si>
  <si>
    <r>
      <rPr>
        <sz val="10"/>
        <color rgb="FF000000"/>
        <rFont val="Times New Roman"/>
        <family val="1"/>
      </rPr>
      <t xml:space="preserve">Maintained for debt retirement </t>
    </r>
    <r>
      <rPr>
        <u/>
        <sz val="10"/>
        <color rgb="FF000000"/>
        <rFont val="Times New Roman"/>
        <family val="1"/>
      </rPr>
      <t>after</t>
    </r>
    <r>
      <rPr>
        <sz val="10"/>
        <color rgb="FF000000"/>
        <rFont val="Times New Roman"/>
        <family val="1"/>
      </rPr>
      <t xml:space="preserve"> FY 2027</t>
    </r>
  </si>
  <si>
    <t>3.d</t>
  </si>
  <si>
    <r>
      <rPr>
        <sz val="10"/>
        <color rgb="FF000000"/>
        <rFont val="Times New Roman"/>
        <family val="1"/>
      </rPr>
      <t xml:space="preserve">Maintained for capital projects </t>
    </r>
    <r>
      <rPr>
        <u/>
        <sz val="10"/>
        <color rgb="FF000000"/>
        <rFont val="Times New Roman"/>
        <family val="1"/>
      </rPr>
      <t>after</t>
    </r>
    <r>
      <rPr>
        <sz val="10"/>
        <color rgb="FF000000"/>
        <rFont val="Times New Roman"/>
        <family val="1"/>
      </rPr>
      <t xml:space="preserve"> FY 2027</t>
    </r>
  </si>
  <si>
    <t>3.e</t>
  </si>
  <si>
    <r>
      <rPr>
        <sz val="10"/>
        <color rgb="FF000000"/>
        <rFont val="Times New Roman"/>
        <family val="1"/>
      </rPr>
      <t xml:space="preserve">Maintained for retirement contributions </t>
    </r>
    <r>
      <rPr>
        <u/>
        <sz val="10"/>
        <color rgb="FF000000"/>
        <rFont val="Times New Roman"/>
        <family val="1"/>
      </rPr>
      <t>after</t>
    </r>
    <r>
      <rPr>
        <sz val="10"/>
        <color rgb="FF000000"/>
        <rFont val="Times New Roman"/>
        <family val="1"/>
      </rPr>
      <t xml:space="preserve"> FY 2027</t>
    </r>
  </si>
  <si>
    <t>3.f</t>
  </si>
  <si>
    <t>Maintained for future financial stability</t>
  </si>
  <si>
    <t>3.g</t>
  </si>
  <si>
    <t>Maintained for other purposes (Specify)</t>
  </si>
  <si>
    <t>3.h</t>
  </si>
  <si>
    <t>3.i</t>
  </si>
  <si>
    <t>Total project balance (should agree to amount on line 2)</t>
  </si>
  <si>
    <t>B. Project balance reserve process or policy</t>
  </si>
  <si>
    <t>Governing Board policy number (N/A if no adopted policy exists):</t>
  </si>
  <si>
    <t>Yes</t>
  </si>
  <si>
    <t>Does the Charter have a process or policy it follows to establish a targeted (goal) project balance reserve level that the Charter is working to maintain each year? (Yes or No in cell F26) If the Charter has an adopted Governing Board policy, enter the policy number in the box provided (cell G26).</t>
  </si>
  <si>
    <t>No</t>
  </si>
  <si>
    <t>Arizona charter schools may operate in a variety ways including as a single school or as multiple school sites under 1 charter holder or charter management organization. A charter's operating structure may affect project balance decisions. The questions below are intended to provide clarifying information on a charter's operating format for users to consider when reviewing the specific project balance information reported on this page.</t>
  </si>
  <si>
    <t>Does the Charter operate additional school sites with resources that are not reflected in the project balances reported in section A?</t>
  </si>
  <si>
    <t xml:space="preserve">3. </t>
  </si>
  <si>
    <t xml:space="preserve">Is the Charter a part of another financial reporting entity (e.g., a larger nonprofit organization) with resources that are not reflected in the project balances reported in Section A? </t>
  </si>
  <si>
    <t>If question 1 was answered yes, complete the table below to describe the Charter's specific FY 2026 targeted and actual project balance reserve amounts and methods used to establish those targeted balance reserve amounts.</t>
  </si>
  <si>
    <t xml:space="preserve">Project(s) </t>
  </si>
  <si>
    <t xml:space="preserve">Targeted FY 2026 project balance reserve amount </t>
  </si>
  <si>
    <t xml:space="preserve">Actual FY 2026 project balance reserve amount </t>
  </si>
  <si>
    <t>Method used to establish a targeted project balance reserve amount</t>
  </si>
  <si>
    <t>Total:</t>
  </si>
  <si>
    <t>The Charter plans to take the following actions related to its ending project balance in FY 2027 and thereafter:</t>
  </si>
  <si>
    <t>School #</t>
  </si>
  <si>
    <t>School name</t>
  </si>
  <si>
    <t>School CTDS</t>
  </si>
  <si>
    <t>Primary unit code</t>
  </si>
  <si>
    <t>Comments</t>
  </si>
  <si>
    <t>Charterwide</t>
  </si>
  <si>
    <t>School Listing–Charterwide</t>
  </si>
  <si>
    <t>Private schools</t>
  </si>
  <si>
    <t>School Listing–Private Schools</t>
  </si>
  <si>
    <t>Edge High School - Himmel Park</t>
  </si>
  <si>
    <t>School Listing–CTED (Member Districts)</t>
  </si>
  <si>
    <t>School 1</t>
  </si>
  <si>
    <t>School Listing–School 1</t>
  </si>
  <si>
    <t>School 2</t>
  </si>
  <si>
    <t>School Listing–School 2</t>
  </si>
  <si>
    <t>School 3</t>
  </si>
  <si>
    <t>School Listing–School 3</t>
  </si>
  <si>
    <t>School 4</t>
  </si>
  <si>
    <t>School Listing–School 4</t>
  </si>
  <si>
    <t>School 5</t>
  </si>
  <si>
    <t>School Listing–School 5</t>
  </si>
  <si>
    <t>School 6</t>
  </si>
  <si>
    <t>School Listing–School 6</t>
  </si>
  <si>
    <t>School 7</t>
  </si>
  <si>
    <t>School Listing–School 7</t>
  </si>
  <si>
    <t>School 8</t>
  </si>
  <si>
    <t>School Listing–School 8</t>
  </si>
  <si>
    <t>School 9</t>
  </si>
  <si>
    <t>School Listing–School 9</t>
  </si>
  <si>
    <t>School 10</t>
  </si>
  <si>
    <t>School Listing–School 10</t>
  </si>
  <si>
    <t>School 11</t>
  </si>
  <si>
    <t>School Listing–School 11</t>
  </si>
  <si>
    <t>School 12</t>
  </si>
  <si>
    <t>School Listing–School 12</t>
  </si>
  <si>
    <t>School 13</t>
  </si>
  <si>
    <t>School Listing–School 13</t>
  </si>
  <si>
    <t>School 14</t>
  </si>
  <si>
    <t>School Listing–School 14</t>
  </si>
  <si>
    <t>School 15</t>
  </si>
  <si>
    <t>School Listing–School 15</t>
  </si>
  <si>
    <t>School 16</t>
  </si>
  <si>
    <t>School Listing–School 16</t>
  </si>
  <si>
    <t>School 17</t>
  </si>
  <si>
    <t>School Listing–School 17</t>
  </si>
  <si>
    <t>School 18</t>
  </si>
  <si>
    <t>School Listing–School 18</t>
  </si>
  <si>
    <t>School 19</t>
  </si>
  <si>
    <t>School Listing–School 19</t>
  </si>
  <si>
    <t>School 20</t>
  </si>
  <si>
    <t>School Listing–School 20</t>
  </si>
  <si>
    <t>School 21</t>
  </si>
  <si>
    <t>School Listing–School 21</t>
  </si>
  <si>
    <t>School 22</t>
  </si>
  <si>
    <t>School Listing–School 22</t>
  </si>
  <si>
    <t>School 23</t>
  </si>
  <si>
    <t>School Listing–School 23</t>
  </si>
  <si>
    <t>School 24</t>
  </si>
  <si>
    <t>School Listing–School 24</t>
  </si>
  <si>
    <t>School 25</t>
  </si>
  <si>
    <t>School Listing–School 25</t>
  </si>
  <si>
    <t>School 26</t>
  </si>
  <si>
    <t>School Listing–School 26</t>
  </si>
  <si>
    <t>School 27</t>
  </si>
  <si>
    <t>School Listing–School 27</t>
  </si>
  <si>
    <t>School 28</t>
  </si>
  <si>
    <t>School Listing–School 28</t>
  </si>
  <si>
    <t>School 29</t>
  </si>
  <si>
    <t>School Listing–School 29</t>
  </si>
  <si>
    <t>School 30</t>
  </si>
  <si>
    <t>School Listing–School 30</t>
  </si>
  <si>
    <t>School 31</t>
  </si>
  <si>
    <t>School Listing–School 31</t>
  </si>
  <si>
    <t>School 32</t>
  </si>
  <si>
    <t>School Listing–School 32</t>
  </si>
  <si>
    <t>School 33</t>
  </si>
  <si>
    <t>School Listing–School 33</t>
  </si>
  <si>
    <t>School 34</t>
  </si>
  <si>
    <t>School Listing–School 34</t>
  </si>
  <si>
    <t>School 35</t>
  </si>
  <si>
    <t>School Listing–School 35</t>
  </si>
  <si>
    <t>School 36</t>
  </si>
  <si>
    <t>School Listing–School 36</t>
  </si>
  <si>
    <t>School 37</t>
  </si>
  <si>
    <t>School Listing–School 37</t>
  </si>
  <si>
    <t>School 38</t>
  </si>
  <si>
    <t>School Listing–School 38</t>
  </si>
  <si>
    <t>School 39</t>
  </si>
  <si>
    <t>School Listing–School 39</t>
  </si>
  <si>
    <t>School 40</t>
  </si>
  <si>
    <t>School Listing–School 40</t>
  </si>
  <si>
    <t>School 41</t>
  </si>
  <si>
    <t>School Listing–School 41</t>
  </si>
  <si>
    <t>School 42</t>
  </si>
  <si>
    <t>School Listing–School 42</t>
  </si>
  <si>
    <t>School 43</t>
  </si>
  <si>
    <t>School Listing–School 43</t>
  </si>
  <si>
    <t>School 44</t>
  </si>
  <si>
    <t>School Listing–School 44</t>
  </si>
  <si>
    <t>School 45</t>
  </si>
  <si>
    <t>School Listing–School 45</t>
  </si>
  <si>
    <t>School 46</t>
  </si>
  <si>
    <t>School Listing–School 46</t>
  </si>
  <si>
    <t>School 47</t>
  </si>
  <si>
    <t>School Listing–School 47</t>
  </si>
  <si>
    <t>School 48</t>
  </si>
  <si>
    <t>School Listing–School 48</t>
  </si>
  <si>
    <t>School 49</t>
  </si>
  <si>
    <t>School Listing–School 49</t>
  </si>
  <si>
    <t>School 50</t>
  </si>
  <si>
    <t>School Listing–School 50</t>
  </si>
  <si>
    <t>School 51</t>
  </si>
  <si>
    <t>School Listing–School 51</t>
  </si>
  <si>
    <t>School 52</t>
  </si>
  <si>
    <t>School Listing–School 52</t>
  </si>
  <si>
    <t>School 53</t>
  </si>
  <si>
    <t>School Listing–School 53</t>
  </si>
  <si>
    <t>School 54</t>
  </si>
  <si>
    <t>School Listing–School 54</t>
  </si>
  <si>
    <t>School 55</t>
  </si>
  <si>
    <t>School Listing–School 55</t>
  </si>
  <si>
    <t>School 56</t>
  </si>
  <si>
    <t>School Listing–School 56</t>
  </si>
  <si>
    <t>School 57</t>
  </si>
  <si>
    <t>School Listing–School 57</t>
  </si>
  <si>
    <t>School 58</t>
  </si>
  <si>
    <t>School Listing–School 58</t>
  </si>
  <si>
    <t>School 59</t>
  </si>
  <si>
    <t>School Listing–School 59</t>
  </si>
  <si>
    <t>School 60</t>
  </si>
  <si>
    <t>School Listing–School 60</t>
  </si>
  <si>
    <t>School 61</t>
  </si>
  <si>
    <t>School Listing–School 61</t>
  </si>
  <si>
    <t>School 62</t>
  </si>
  <si>
    <t>School Listing–School 62</t>
  </si>
  <si>
    <t>School 63</t>
  </si>
  <si>
    <t>School Listing–School 63</t>
  </si>
  <si>
    <t>School 64</t>
  </si>
  <si>
    <t>School Listing–School 64</t>
  </si>
  <si>
    <t>School 65</t>
  </si>
  <si>
    <t>School Listing–School 65</t>
  </si>
  <si>
    <t>School 66</t>
  </si>
  <si>
    <t>School Listing–School 66</t>
  </si>
  <si>
    <t>School 67</t>
  </si>
  <si>
    <t>School Listing–School 67</t>
  </si>
  <si>
    <t>School 68</t>
  </si>
  <si>
    <t>School Listing–School 68</t>
  </si>
  <si>
    <t>School 69</t>
  </si>
  <si>
    <t>School Listing–School 69</t>
  </si>
  <si>
    <t>School 70</t>
  </si>
  <si>
    <t>School Listing–School 70</t>
  </si>
  <si>
    <t>School 71</t>
  </si>
  <si>
    <t>School Listing–School 71</t>
  </si>
  <si>
    <t>School 72</t>
  </si>
  <si>
    <t>School Listing–School 72</t>
  </si>
  <si>
    <t>School 73</t>
  </si>
  <si>
    <t>School Listing–School 73</t>
  </si>
  <si>
    <t>School 74</t>
  </si>
  <si>
    <t>School Listing–School 74</t>
  </si>
  <si>
    <t>School 75</t>
  </si>
  <si>
    <t>School Listing–School 75</t>
  </si>
  <si>
    <t>School 76</t>
  </si>
  <si>
    <t>School Listing–School 76</t>
  </si>
  <si>
    <t>School 77</t>
  </si>
  <si>
    <t>School Listing–School 77</t>
  </si>
  <si>
    <t>School 78</t>
  </si>
  <si>
    <t>School Listing–School 78</t>
  </si>
  <si>
    <t>School 79</t>
  </si>
  <si>
    <t>School Listing–School 79</t>
  </si>
  <si>
    <t>School 80</t>
  </si>
  <si>
    <t>School Listing–School 80</t>
  </si>
  <si>
    <t>School 81</t>
  </si>
  <si>
    <t>School Listing–School 81</t>
  </si>
  <si>
    <t>School 82</t>
  </si>
  <si>
    <t>School Listing–School 82</t>
  </si>
  <si>
    <t>School 83</t>
  </si>
  <si>
    <t>School Listing–School 83</t>
  </si>
  <si>
    <t>School 84</t>
  </si>
  <si>
    <t>School Listing–School 84</t>
  </si>
  <si>
    <t>School 85</t>
  </si>
  <si>
    <t>School Listing–School 85</t>
  </si>
  <si>
    <t>School 86</t>
  </si>
  <si>
    <t>School Listing–School 86</t>
  </si>
  <si>
    <t>School 87</t>
  </si>
  <si>
    <t>School Listing–School 87</t>
  </si>
  <si>
    <t>School 88</t>
  </si>
  <si>
    <t>School Listing–School 88</t>
  </si>
  <si>
    <t>School 89</t>
  </si>
  <si>
    <t>School Listing–School 89</t>
  </si>
  <si>
    <t>School 90</t>
  </si>
  <si>
    <t>School Listing–School 90</t>
  </si>
  <si>
    <t>Element 1</t>
  </si>
  <si>
    <t>Element 2</t>
  </si>
  <si>
    <t>Element 3</t>
  </si>
  <si>
    <t>Element 4</t>
  </si>
  <si>
    <t>Element 5</t>
  </si>
  <si>
    <t>Description</t>
  </si>
  <si>
    <t xml:space="preserve"> YTD Transactions </t>
  </si>
  <si>
    <t>Project</t>
  </si>
  <si>
    <t>Program</t>
  </si>
  <si>
    <t>Function</t>
  </si>
  <si>
    <t>Object</t>
  </si>
  <si>
    <t>Unit</t>
  </si>
  <si>
    <t>Dropdown list for Project</t>
  </si>
  <si>
    <t>Dropdown list for Program</t>
  </si>
  <si>
    <t>Dropdown list for Function</t>
  </si>
  <si>
    <t>Dropdown list for Object</t>
  </si>
  <si>
    <t>Balance Sheet (asset or liability)</t>
  </si>
  <si>
    <t>1000-Schoolwide Project</t>
  </si>
  <si>
    <t>1010-Classroom Site Project</t>
  </si>
  <si>
    <t>6100-Salaries</t>
  </si>
  <si>
    <t>1020-Instructional Improvement Project</t>
  </si>
  <si>
    <t>100-Regular Education</t>
  </si>
  <si>
    <t>1000-Instruction</t>
  </si>
  <si>
    <t>6200-Employee Benefits</t>
  </si>
  <si>
    <t>1071-English Language Learner</t>
  </si>
  <si>
    <t>200-Special Education</t>
  </si>
  <si>
    <t>1900-Other Instructional Staff</t>
  </si>
  <si>
    <t>6300-6400-6500-Purchased Services</t>
  </si>
  <si>
    <t>1072-Compensatory Instruction Project</t>
  </si>
  <si>
    <t>260-English Language Learners Incremental Costs</t>
  </si>
  <si>
    <t>2100-Support Services-Students</t>
  </si>
  <si>
    <t>6600-Supplies</t>
  </si>
  <si>
    <t>1100-1130-ESEA Title I - Helping Disadvantaged Children</t>
  </si>
  <si>
    <t>265-English Language Learners Compensatory Instruction</t>
  </si>
  <si>
    <t>2200-Support Services-Instruction</t>
  </si>
  <si>
    <t>6700-Property (depreciation &amp; impairments)</t>
  </si>
  <si>
    <t>1140-1150-ESEA Title II  - Prof. Dev. And Technology</t>
  </si>
  <si>
    <t>270-Vocational and Technical Education</t>
  </si>
  <si>
    <t>2220-Improvement of Instruction</t>
  </si>
  <si>
    <t>6810-Dues &amp; Fees</t>
  </si>
  <si>
    <t>1160-ESEA  Title IV - 21st Century Schools</t>
  </si>
  <si>
    <t>400-Pupil Transportation</t>
  </si>
  <si>
    <t>2230-Library/Media Services</t>
  </si>
  <si>
    <t>6820-Judgments Against a Charter</t>
  </si>
  <si>
    <t>1170-1180-ESEA Title V - Promote Informed Parent Choice</t>
  </si>
  <si>
    <t>430-Pupil Transportation-ELL Incremental Costs</t>
  </si>
  <si>
    <t>2300-Support Services-General Administration</t>
  </si>
  <si>
    <t>6850-Interest</t>
  </si>
  <si>
    <t>1190-ESEA  Title III - Limited Eng. &amp; Immigrant Students</t>
  </si>
  <si>
    <t>435-Pupil Transportation-ELL Compensatory Instruction</t>
  </si>
  <si>
    <t>2400-Support Services-School Administration</t>
  </si>
  <si>
    <t>6890-Miscellaneous</t>
  </si>
  <si>
    <t>1200-ESEA Title VII - Indian Education</t>
  </si>
  <si>
    <t>530-Dropout Prevention Programs</t>
  </si>
  <si>
    <t>2500-Central Services</t>
  </si>
  <si>
    <t>6830-6840-6860-6870 Other Expenses and Losses</t>
  </si>
  <si>
    <t>1210-ESEA Title VI - Flexibility and Accountability</t>
  </si>
  <si>
    <t>540-Joint Career &amp; Technical Ed. &amp; Vocational Ed. Center</t>
  </si>
  <si>
    <t>2600-Operation and Maintenance of Plant</t>
  </si>
  <si>
    <t>6900-Other Objects (Indirect Costs)</t>
  </si>
  <si>
    <t>1220-IDEA, Part B</t>
  </si>
  <si>
    <t>550-K-3 Reading Program</t>
  </si>
  <si>
    <t>2700-Student Transportation</t>
  </si>
  <si>
    <t>1310-Tuition from Individuals</t>
  </si>
  <si>
    <t>1227-ARP-IDEA Preschool</t>
  </si>
  <si>
    <t>610-School-Sponsored Cocurricular Activities</t>
  </si>
  <si>
    <t>2900-Other Support Services</t>
  </si>
  <si>
    <t>1320-Tuition from Other Arizona Schools or Districts</t>
  </si>
  <si>
    <t>1228-ARP-IDEA Basic</t>
  </si>
  <si>
    <t>620-School-Sponsored Athletics</t>
  </si>
  <si>
    <t>3100-Food Service Operations</t>
  </si>
  <si>
    <t>1410-Transportation Fees from Individuals</t>
  </si>
  <si>
    <t>1230-Johnson-O'Malley</t>
  </si>
  <si>
    <t>630-Other Instructional Programs</t>
  </si>
  <si>
    <t>3300-Community Service Operations</t>
  </si>
  <si>
    <t>1420-Transportation Fees from Other Arizona Schools or Districts</t>
  </si>
  <si>
    <t>1240-Workforce Investment Act</t>
  </si>
  <si>
    <t>700-Adult/Continuing Education Programs</t>
  </si>
  <si>
    <t>3400-Bookstore Operations</t>
  </si>
  <si>
    <t>1500-Earnings on Investments</t>
  </si>
  <si>
    <t>1250-AEA - Adult Education</t>
  </si>
  <si>
    <t>800-Community College Education Programs</t>
  </si>
  <si>
    <t>4000-Facilities Acquisition &amp; Construction</t>
  </si>
  <si>
    <t>1600-Food Service</t>
  </si>
  <si>
    <t>1260-1270-Vocational Education - Basic Grants</t>
  </si>
  <si>
    <t>900-Community Services Programs</t>
  </si>
  <si>
    <t>5000-Debt Service</t>
  </si>
  <si>
    <t xml:space="preserve">1700-School Activities </t>
  </si>
  <si>
    <t>1280-ESEA Title X - Homeless Education</t>
  </si>
  <si>
    <t>1750-Revenue from Enterprise Activities</t>
  </si>
  <si>
    <t>1290-Medicaid Reimbursement</t>
  </si>
  <si>
    <t>1790-Extracurricular Activities Fees Tax Credit</t>
  </si>
  <si>
    <t>1300-Charter School Implementation Project (Stimulus)</t>
  </si>
  <si>
    <t>1800-Revenue from Community Services Activities</t>
  </si>
  <si>
    <t>13XX-Impact Aid</t>
  </si>
  <si>
    <t>1900, 1930, 1980, 1990-Other revenues and gains from local sources</t>
  </si>
  <si>
    <t>1310-1399-COVID-19 Federal Relief Projects</t>
  </si>
  <si>
    <t>1910-Rentals</t>
  </si>
  <si>
    <t>1310-1399-Other Federal Projects</t>
  </si>
  <si>
    <t>1920-Contributions and Donations from Private Sources</t>
  </si>
  <si>
    <t>1400-Vocational Education</t>
  </si>
  <si>
    <t>1950-Miscellaneous Revenues from Other Schools or Districts</t>
  </si>
  <si>
    <t>1410-Early Childhood Block Grant</t>
  </si>
  <si>
    <t>1960-Miscellaneous Revenues from Local Governmental Units</t>
  </si>
  <si>
    <t>1420-Extended School Year - Pupils with Disabilities</t>
  </si>
  <si>
    <t>Other Revenue from Local Sources</t>
  </si>
  <si>
    <t>1425-Adult Basic Education</t>
  </si>
  <si>
    <t>2100-Unrestricted Revenue from Intermediate Sources</t>
  </si>
  <si>
    <t>1430-Chemical Abuse Prevention Programs</t>
  </si>
  <si>
    <t>2200-Restricted Revenue from Intermediate Sources</t>
  </si>
  <si>
    <t>1435-Academic Contests</t>
  </si>
  <si>
    <t>Other Revenue from Intermediate Sources</t>
  </si>
  <si>
    <t>1450-Gifted Education</t>
  </si>
  <si>
    <t>3110-State Equalization Assistance</t>
  </si>
  <si>
    <t>1456-College Credit Exam Incentives</t>
  </si>
  <si>
    <t>3130-3150-Other Unrestricted Revenue from State Sources</t>
  </si>
  <si>
    <t>1460-Environmental Special Plate</t>
  </si>
  <si>
    <t>3200-Restricted Revenue from State Sources</t>
  </si>
  <si>
    <t>1465-Charter School Stimulus Fund</t>
  </si>
  <si>
    <t>3900-Revenue for/on Behalf of the School</t>
  </si>
  <si>
    <t>14XX-Arizona Industry Credentials Incentive</t>
  </si>
  <si>
    <t>Other Revenue from State Sources</t>
  </si>
  <si>
    <t>1470-1499-Other State Projects</t>
  </si>
  <si>
    <t>4100, 4300-Unrestricted/Restricted Received Directly from the Federal Government</t>
  </si>
  <si>
    <t>1500-1999-Other Special Projects</t>
  </si>
  <si>
    <t>4200, 4500-Unrestricted/Restricted Received from the Federal Government through the State</t>
  </si>
  <si>
    <t>9999-Other Non PSD-12 Projects</t>
  </si>
  <si>
    <t>4700-Revenue Received from the Federal Government through Other Intermediate Agencies</t>
  </si>
  <si>
    <t>4800-Federal Impact Aid</t>
  </si>
  <si>
    <t>4900-Revenue for/on Behalf of the School</t>
  </si>
  <si>
    <t>Other Revenue from Federal Sources</t>
  </si>
  <si>
    <t>Project(s)</t>
  </si>
  <si>
    <t>Program(s)</t>
  </si>
  <si>
    <t>Function(s)</t>
  </si>
  <si>
    <t>Object(s)</t>
  </si>
  <si>
    <t xml:space="preserve">Amount </t>
  </si>
  <si>
    <t>all</t>
  </si>
  <si>
    <t xml:space="preserve">9999-Other Non PSD-12 Projects </t>
  </si>
  <si>
    <t>700-900</t>
  </si>
  <si>
    <t xml:space="preserve">Total for all Projects (excluding 9999-Other Non PSD-12 Projects ), Programs 100-630, Function 1000, and Object 6100 </t>
  </si>
  <si>
    <t xml:space="preserve">Total for all Projects (excluding 9999-Other Non PSD-12 Projects ), Programs 100-630, Function 2100, and Object 6100 </t>
  </si>
  <si>
    <t xml:space="preserve">Total for all Projects (excluding 9999-Other Non PSD-12 Projects ), Programs 100-630, Function 2200, and Object 6100 </t>
  </si>
  <si>
    <t xml:space="preserve">Total for all Projects (excluding 9999-Other Non PSD-12 Projects ), Programs 100-630, Function 2300, and Object 6100 </t>
  </si>
  <si>
    <t xml:space="preserve">Total for all Projects (excluding 9999-Other Non PSD-12 Projects ), Programs 100-630, Function 2400, and Object 6100 </t>
  </si>
  <si>
    <t xml:space="preserve">Total for all Projects (excluding 9999-Other Non PSD-12 Projects ), Programs 100-630, Function 2500, and Object 6100 </t>
  </si>
  <si>
    <t xml:space="preserve">Total for all Projects (excluding 9999-Other Non PSD-12 Projects ), Programs 100-630, Function 2900, and Object 6100 </t>
  </si>
  <si>
    <t xml:space="preserve">Total for all Projects (excluding 9999-Other Non PSD-12 Projects ), Programs 100-630, Function 2600, and Object 6100 </t>
  </si>
  <si>
    <t xml:space="preserve">Total for all Projects (excluding 9999-Other Non PSD-12 Projects ), Programs 100-630, Function 2700, and Object 6100 </t>
  </si>
  <si>
    <t xml:space="preserve">Total for all Projects (excluding 9999-Other Non PSD-12 Projects ), Programs 100-630, Function 3100, and Object 6100 </t>
  </si>
  <si>
    <t xml:space="preserve">Total for all Projects (excluding 9999-Other Non PSD-12 Projects ), Programs 100-630, Function 3400, and Object 6100 </t>
  </si>
  <si>
    <t xml:space="preserve">Total for all Projects (excluding 9999-Other Non PSD-12 Projects ), Programs 100-630, Function 4000, and Object 6100 </t>
  </si>
  <si>
    <t>Total for all Projects (excluding 9999-Other Non PSD-12 Projects ), Programs 100-630, All Functions except 4000, and Object 6100</t>
  </si>
  <si>
    <t>1100-1399</t>
  </si>
  <si>
    <t xml:space="preserve">Total for Projects 1100-1399, Programs 100-630, Functions 1000-3000, and Object 6100 </t>
  </si>
  <si>
    <t xml:space="preserve">Total for all Projects (excluding 9999-Other Non PSD-12 Projects ), Programs 100-630, Function 1000, and Object 6200 </t>
  </si>
  <si>
    <t xml:space="preserve">Total for all Projects (excluding 9999-Other Non PSD-12 Projects ), Programs 100-630, Function 2100, and Object 6200 </t>
  </si>
  <si>
    <t xml:space="preserve">Total for all Projects (excluding 9999-Other Non PSD-12 Projects ), Programs 100-630, Function 2200, and Object 6200 </t>
  </si>
  <si>
    <t xml:space="preserve">Total for all Projects (excluding 9999-Other Non PSD-12 Projects ), Programs 100-630, Function 2300, and Object 6200 </t>
  </si>
  <si>
    <t xml:space="preserve">Total for all Projects (excluding 9999-Other Non PSD-12 Projects ), Programs 100-630, Function 2400, and Object 6200 </t>
  </si>
  <si>
    <t xml:space="preserve">Total for all Projects (excluding 9999-Other Non PSD-12 Projects ), Programs 100-630, Function 2500, and Object 6200 </t>
  </si>
  <si>
    <t xml:space="preserve">Total for all Projects (excluding 9999-Other Non PSD-12 Projects ), Programs 100-630, Function 2900, and Object 6200 </t>
  </si>
  <si>
    <t xml:space="preserve">Total for all Projects (excluding 9999-Other Non PSD-12 Projects ), Programs 100-630, Function 2600, and Object 6200 </t>
  </si>
  <si>
    <t xml:space="preserve">Total for all Projects (excluding 9999-Other Non PSD-12 Projects ), Programs 100-630, Function 2700, and Object 6200 </t>
  </si>
  <si>
    <t xml:space="preserve">Total for all Projects (excluding 9999-Other Non PSD-12 Projects ), Programs 100-630, Function 3100, and Object 6200 </t>
  </si>
  <si>
    <t xml:space="preserve">Total for all Projects (excluding 9999-Other Non PSD-12 Projects ), Programs 100-630, Function 3400, and Object 6200 </t>
  </si>
  <si>
    <t xml:space="preserve">Total for all Projects(excluding 9999-Other Non PSD-12 Projects ), Programs 100-630, Function 4000, and Object 6200 </t>
  </si>
  <si>
    <t>Total for all Projects (excluding 9999-Other Non PSD-12 Projects ), Programs 100-630, All Functions excluding 4000, and Object 6200</t>
  </si>
  <si>
    <t xml:space="preserve">Total for Projects 1100-1399, Programs 100-630, Functions 1000-3000, and Object 6200 </t>
  </si>
  <si>
    <t>6300, 6400, and 6500</t>
  </si>
  <si>
    <t>Total for all Projects (excluding 9999-Other Non PSD-12 Projects ), Programs 100-630, Function 1000, and Object 6300, 6400, and 6500</t>
  </si>
  <si>
    <t>Total for all Projects (excluding 9999-Other Non PSD-12 Projects ), Programs 100-630, Function 2100, and Object 6300, 6400, and 6500</t>
  </si>
  <si>
    <t>Total for all Projects (excluding 9999-Other Non PSD-12 Projects ), Programs 100-630, Function 2200, and Object 6300, 6400, and 6500</t>
  </si>
  <si>
    <t>Total for all Projects (excluding 9999-Other Non PSD-12 Projects ), Programs 100-630, Function 2300, and Object 6300, 6400, and 6500</t>
  </si>
  <si>
    <t>Total for all Projects (excluding 9999-Other Non PSD-12 Projects ), Programs 100-630, Function 2400, and Object 6300, 6400, and 6500</t>
  </si>
  <si>
    <t>Total for all Projects (excluding 9999-Other Non PSD-12 Projects ), Programs 100-630, Function 2500, and Object 6300, 6400, and 6500</t>
  </si>
  <si>
    <t>Total for all Projects (excluding 9999-Other Non PSD-12 Projects ), Programs 100-630, Function 2900, and Object 6300, 6400, and 6500</t>
  </si>
  <si>
    <t>Total for all Projects (excluding 9999-Other Non PSD-12 Projects ), Programs 100-630, Function 2600, and Object 6300, 6400, and 6500</t>
  </si>
  <si>
    <t>Total for all Projects (excluding 9999-Other Non PSD-12 Projects ), Programs 100-630, Function 2700, and Object 6300, 6400, and 6500</t>
  </si>
  <si>
    <t xml:space="preserve">Total for all Projects (excluding 9999-Other Non PSD-12 Projects ), Programs 100-630, Function 3100, and Object 6300, 6400, and 6500 </t>
  </si>
  <si>
    <t>Total for all Projects (excluding 9999-Other Non PSD-12 Projects ), Programs 100-630, Function 3400, and Object 6300, 6400, and 6500</t>
  </si>
  <si>
    <t>Total for all Projects (excluding 9999-Other Non PSD-12 Projects ), Programs 100-630, Function 4000, and Object 6300, 6400, and 6500</t>
  </si>
  <si>
    <t>Total for all Projects (excluding 9999-Other Non PSD-12 Projects ), Programs 100-630, All Functions excluding 4000, and Objects 6300, 6400, and 6500</t>
  </si>
  <si>
    <t xml:space="preserve">Total for Projects 1100-1399, Programs 100-630, Functions 1000-3000, and Object 6300 </t>
  </si>
  <si>
    <t xml:space="preserve">Total for Projects 1100-1399, Programs 100-630, Functions 1000-3000, and Object 6400 </t>
  </si>
  <si>
    <t xml:space="preserve">Total for Projects 1100-1399, Programs 100-630, Functions 1000-3000, and Object 6500 </t>
  </si>
  <si>
    <t xml:space="preserve">Total for Projects 1100-1399, Programs 100-630, Functions 1000-3000, and Objects 6300,6400 and 6500 </t>
  </si>
  <si>
    <t>Total for all Projects (excluding 9999-Other Non PSD-12 Projects ), Programs 100-630, Function 1000, and Object 6600</t>
  </si>
  <si>
    <t>Total for all Projects (excluding 9999-Other Non PSD-12 Projects ), Programs 100-630, Function 2100, and Object 6600</t>
  </si>
  <si>
    <t>Total for all Projects (excluding 9999-Other Non PSD-12 Projects ), Programs 100-630, Function 2200, and Object 6600</t>
  </si>
  <si>
    <t>Total for all Projects (excluding 9999-Other Non PSD-12 Projects ), Programs 100-630, Function 2300, and Object 6600</t>
  </si>
  <si>
    <t>Total for all Projects (excluding 9999-Other Non PSD-12 Projects ), Programs 100-630, Function 2400, and Object 6600</t>
  </si>
  <si>
    <t>Total for all Projects (excluding 9999-Other Non PSD-12 Projects ), Programs 100-630, Function 2500, and Object 6600</t>
  </si>
  <si>
    <t>Total for all Projects (excluding 9999-Other Non PSD-12 Projects ), Programs 100-630, Function 2900, and Object 6600</t>
  </si>
  <si>
    <t>Total for all Projects (excluding 9999-Other Non PSD-12 Projects ), Programs 100-630, Function 2600, and Object 6600</t>
  </si>
  <si>
    <t>Total for all Projects (excluding 9999-Other Non PSD-12 Projects ), Programs 100-630, Function 2700, and Object 6600</t>
  </si>
  <si>
    <t>Total for all Projects (excluding 9999-Other Non PSD-12 Projects ), Programs 100-630, Function 3100, and Object 6600</t>
  </si>
  <si>
    <t>Total for all Projects (excluding 9999-Other Non PSD-12 Projects ), Programs 100-630, Function 3400, and Object 6600</t>
  </si>
  <si>
    <t>Total for all Projects (excluding 9999-Other Non PSD-12 Projects ), Programs 100-630, Function 4000, and Object 6600</t>
  </si>
  <si>
    <t>Total for all Projects (excluding 9999-Other Non PSD-12 Projects ), Programs 100-630, All Functions excluding 4000, and Object 6600</t>
  </si>
  <si>
    <t>Total for Projects 1100-1399, Programs 100-630, Functions 1000-3000, and Object 6600</t>
  </si>
  <si>
    <t>6100-6600, 6810, 6820, and 6890</t>
  </si>
  <si>
    <t>6511, 6512, 6591, and 6592</t>
  </si>
  <si>
    <t>Total for all Projects, Program 200, Functions 1000-3100, Objects 6100-6600, 6810, 6820, and 6890, excluding 6511, 6512, 6591, and 6592</t>
  </si>
  <si>
    <t>6100-6600, 6810, and 6890</t>
  </si>
  <si>
    <t>6591 and 6592</t>
  </si>
  <si>
    <t>Total for all Projects, Program 200, Function 1000, Objects 6100-6600, 6810, and 6890, excluding 6591 and 6592</t>
  </si>
  <si>
    <t>Total for all Projects, Program 200, Function 2100, Objects 6100-6600, 6810, and 6890, excluding 6591 and 6592</t>
  </si>
  <si>
    <t>Total for all Projects, Program 200, Function 2200, Objects 6100-6600, 6810, and 6890, excluding 6591 and 6592</t>
  </si>
  <si>
    <t>Total for all Projects (excluding 9999-Other Non PSD-12 Projects ), Programs 100-630, Function 1000, and Object 6810</t>
  </si>
  <si>
    <t>Total for all Projects (excluding 9999-Other Non PSD-12 Projects ), Programs 100-630, Function 2100, and Object 6810</t>
  </si>
  <si>
    <t>Total for all Projects (excluding 9999-Other Non PSD-12 Projects ), Programs 100-630, Function 2200, and Object 6810</t>
  </si>
  <si>
    <t>Total for all Projects (excluding 9999-Other Non PSD-12 Projects ), Programs 100-630, Function 2300, and Object 6810</t>
  </si>
  <si>
    <t>Total for all Projects (excluding 9999-Other Non PSD-12 Projects ), Programs 100-630, Function 2400, and Object 6810</t>
  </si>
  <si>
    <t>Total for all Projects (excluding 9999-Other Non PSD-12 Projects ), Programs 100-630, Function 2500, and Object 6810</t>
  </si>
  <si>
    <t>Total for all Projects (excluding 9999-Other Non PSD-12 Projects ), Programs 100-630, Function 2900, and Object 6810</t>
  </si>
  <si>
    <t>Total for all Projects (excluding 9999-Other Non PSD-12 Projects ), Programs 100-630, Function 2600, and Object 6810</t>
  </si>
  <si>
    <t>Total for all Projects (excluding 9999-Other Non PSD-12 Projects ), Programs 100-630, Function 2700, and Object 6810</t>
  </si>
  <si>
    <t>Total for all Projects (excluding 9999-Other Non PSD-12 Projects ), Programs 100-630, Function 3100, and Object 6810</t>
  </si>
  <si>
    <t>Total for all Projects (excluding 9999-Other Non PSD-12 Projects ), Programs 100-630, Function 3400, and Object 6810</t>
  </si>
  <si>
    <t>Total for all Projects (excluding 9999-Other Non PSD-12 Projects ), Programs 100-630, Function 4000, and Object 6810</t>
  </si>
  <si>
    <t>Total for all Projects (excluding 9999-Other Non PSD-12 Projects ), Programs 100-630, All Functions excluding 4000, and Object 6810</t>
  </si>
  <si>
    <t>Total for Projects 1100-1399, Programs 100-630, Functions 1000-3000, and Object 6810</t>
  </si>
  <si>
    <t>Total for all Projects (excluding 9999-Other Non PSD-12 Projects ), Programs 100-630, Function 2300, and Object 6820</t>
  </si>
  <si>
    <t>Total for Projects 1100-1399, Programs 100-630, Function 2300, and Object 6820</t>
  </si>
  <si>
    <t>Total for all Projects (excluding 9999-Other Non PSD-12 Projects ), Programs 100-630, Function 2500, and Object 6850</t>
  </si>
  <si>
    <t>Total for Projects 1100-1399, Programs 100-630, Functions 2500, and Object 6850</t>
  </si>
  <si>
    <t>Total for all Projects (excluding 9999-Other Non PSD-12 Projects ), Programs 100-630, Function 1000, and Object 6890</t>
  </si>
  <si>
    <t>Total for all Projects (excluding 9999-Other Non PSD-12 Projects ), Programs 100-630, Function 2100, and Object 6890</t>
  </si>
  <si>
    <t>Total for all Projects (excluding 9999-Other Non PSD-12 Projects ), Programs 100-630, Function 2200, and Object 6890</t>
  </si>
  <si>
    <t>Total for all Projects (excluding 9999-Other Non PSD-12 Projects ), Programs 100-630, Function 2300, and Object 6890</t>
  </si>
  <si>
    <t>Total for all Projects (excluding 9999-Other Non PSD-12 Projects ), Programs 100-630, Function 2400, and Object 6890</t>
  </si>
  <si>
    <t>Total for all Projects (excluding 9999-Other Non PSD-12 Projects ), Programs 100-630, Function 2500, and Object 6890</t>
  </si>
  <si>
    <t>Total for all Projects (excluding 9999-Other Non PSD-12 Projects ), Programs 100-630, Function 2900, and Object 6890</t>
  </si>
  <si>
    <t>Total for all Projects (excluding 9999-Other Non PSD-12 Projects ), Programs 100-630, Function 2600, and Object 6890</t>
  </si>
  <si>
    <t>Total for all Projects (excluding 9999-Other Non PSD-12 Projects ), Programs 100-630, Function 2700, and Object 6890</t>
  </si>
  <si>
    <t>Total for all Projects (excluding 9999-Other Non PSD-12 Projects ), Programs 100-630, Function 3100, and Object 6890</t>
  </si>
  <si>
    <t>Total for all Projects (excluding 9999-Other Non PSD-12 Projects ), Programs 100-630, Function 3200, and Object 6890</t>
  </si>
  <si>
    <t>Total for all Projects (excluding 9999-Other Non PSD-12 Projects ), Programs 100-630, Function 3400, and Object 6890</t>
  </si>
  <si>
    <t>Total for all Projects (excluding 9999-Other Non PSD-12 Projects ), Programs 100-630, Function 4000, and Object 6890</t>
  </si>
  <si>
    <t>Total for all Projects (excluding 9999-Other Non PSD-12 Projects ), Programs 100-630, All Functions excluding 4000, and Object 6890</t>
  </si>
  <si>
    <t>Total for Projects 1100-1399, Programs 100-630, Functions 1000-3000, and Object 6890</t>
  </si>
  <si>
    <t>Total for all Projects (excluding 9999-Other Non PSD-12 Projects ), Programs 700-900, Function 1000, and all 6000 Objects, excluding 6700 and 6900</t>
  </si>
  <si>
    <t>Total for all Projects (excluding 9999-Other Non PSD-12 Projects ), Programs 700-900, Function 2100, and all 6000 Objects, excluding 6700 and 6900</t>
  </si>
  <si>
    <t>Total for all Projects (excluding 9999-Other Non PSD-12 Projects ), Programs 700-900, Function 2200, and all 6000 Objects, excluding 6700 and 6900</t>
  </si>
  <si>
    <t>Total for all Projects (excluding 9999-Other Non PSD-12 Projects ), Programs 700-900, Function 2300, and all 6000 Objects, excluding 6700 and 6900</t>
  </si>
  <si>
    <t>Total for all Projects (excluding 9999-Other Non PSD-12 Projects ), Programs 700-900, Function 2400, and all 6000 Objects, excluding 6700 and 6900</t>
  </si>
  <si>
    <t>Total for all Projects (excluding 9999-Other Non PSD-12 Projects ), Programs 700-900, Function 2500, and all 6000 Objects, excluding 6700 and 6900</t>
  </si>
  <si>
    <t>Total for all Projects (excluding 9999-Other Non PSD-12 Projects ), Programs 700-900, Function 2900, and all 6000 Objects, excluding 6700 and 6900</t>
  </si>
  <si>
    <t>Total for all Projects (excluding 9999-Other Non PSD-12 Projects ), Programs 700-900, Function 2600, and all 6000 Objects, excluding 6700 and 6900</t>
  </si>
  <si>
    <t>Total for all Projects (excluding 9999-Other Non PSD-12 Projects ), Programs 700-900, Function 3100, and all 6000 Objects, excluding 6700 and 6900</t>
  </si>
  <si>
    <t>Total for all Projects (excluding 9999-Other Non PSD-12 Projects ), Programs 700-900, Function 3300, and all 6000 Objects, excluding 6700 and 6900</t>
  </si>
  <si>
    <t>Total for all Projects (excluding 9999-Other Non PSD-12 Projects ), Programs 700-900, Function 3400, and all 6000 Objects, excluding 6700 and 6900</t>
  </si>
  <si>
    <t>Total for all Projects (excluding 9999-Other Non PSD-12 Projects ), Programs 700-900, Function 4000, and all 6000 Objects, excluding 6700 and 6900</t>
  </si>
  <si>
    <t>Total for all Projects (excluding 9999-Other Non PSD-12 Projects ), Programs 700-900, Function 5000, and all 6000 Objects, excluding 6700 and 6900</t>
  </si>
  <si>
    <t>Total for all Projects (excluding 9999-Other Non PSD-12 Projects ), Programs 700-900, All Functions except 4000-5000, and all 6000 Objects, excluding 6700 and 6900</t>
  </si>
  <si>
    <t>Total for Projects 1100-1399, Programs 700-900, All Functions, and all 6000 Objects excluding 6900</t>
  </si>
  <si>
    <t>900-949</t>
  </si>
  <si>
    <t>Total for 9999-Other Non PSD-12 Projects, All Programs, All Functions, All 6000 Objects</t>
  </si>
  <si>
    <t>Total for all Projects (excluding 9999-Other Non PSD-12 Projects ), Programs 100-630, Function 5000, and Object 6850</t>
  </si>
  <si>
    <t>Total for all Projects (excluding 9999-Other Non PSD-12 Projects ), Programs 100-630, Function 1000, and Object 6800</t>
  </si>
  <si>
    <t>Total for all Projects (excluding 9999-Other Non PSD-12 Projects ), Programs 100-630, Function 2100, and Object 6800</t>
  </si>
  <si>
    <t>Total for all Projects (excluding 9999-Other Non PSD-12 Projects ), Programs 100-630, Function 2200, and Object 6800</t>
  </si>
  <si>
    <t>Total for all Projects (excluding 9999-Other Non PSD-12 Projects ), Programs 100-630, Function 2300, and Object 6800</t>
  </si>
  <si>
    <t>Total for all Projects (excluding 9999-Other Non PSD-12 Projects ), Programs 100-630, Function 2400, and Object 6800</t>
  </si>
  <si>
    <t>Total for all Projects (excluding 9999-Other Non PSD-12 Projects ), Programs 100-630, Function 2500, and Object 6800</t>
  </si>
  <si>
    <t>Total for all Projects (excluding 9999-Other Non PSD-12 Projects ), Programs 100-630, Function 2900, and Object 6800</t>
  </si>
  <si>
    <t>Total for all Projects (excluding 9999-Other Non PSD-12 Projects ), Programs 100-630, Function 2600, and Object 6800</t>
  </si>
  <si>
    <t>Total for all Projects (excluding 9999-Other Non PSD-12 Projects ), Programs 100-630, Function 2700, and Object 6800</t>
  </si>
  <si>
    <t>Total for all Projects (excluding 9999-Other Non PSD-12 Projects ), Programs 100-630, Function 3100, and Object 6800</t>
  </si>
  <si>
    <t>Total for all Projects (excluding 9999-Other Non PSD-12 Projects ), Programs 100-630, Function 3400, and Object 6800</t>
  </si>
  <si>
    <t>Total for all Projects (excluding 9999-Other Non PSD-12 Projects ), Programs 700-900, All Functions except 4000, and Object 6800</t>
  </si>
  <si>
    <t>Total for Projects 1100-1399, Programs 100-630, Functions 1000-3000, and Object 6800</t>
  </si>
  <si>
    <t>Total for all Projects (excluding 9999-Other Non PSD-12 Projects ), Programs 100-630, Function 4000, and Object 6800</t>
  </si>
  <si>
    <t>Total for all Projects (excluding 9999-Other Non PSD-12 Projects ), Programs 100-630, Function 1900, and Object 6100</t>
  </si>
  <si>
    <t xml:space="preserve">Total for Projects 1100-1399, Programs 100-630, Functions 1900, and Object 6100 </t>
  </si>
  <si>
    <t>Total for State and Local Projects, Programs 100-630, Functions 1900, and Object 6100</t>
  </si>
  <si>
    <t>Total for all Projects (excluding 9999-Other Non PSD-12 Projects ), Programs 100-630, Function 5000, and Object 6800</t>
  </si>
  <si>
    <t>500</t>
  </si>
  <si>
    <t>108653001</t>
  </si>
  <si>
    <t>001</t>
  </si>
  <si>
    <t>EDGE High School - Northwest</t>
  </si>
  <si>
    <t>108653005</t>
  </si>
  <si>
    <t>005</t>
  </si>
  <si>
    <t>100 · Regular Education:1001 · Instruction:1106500 · 6500 Other Purchased Services:6580 Travel</t>
  </si>
  <si>
    <t>Board HP Travel</t>
  </si>
  <si>
    <t>100 · Regular Education:2101 · Support Services Student:1216600 · 6600 Supplies:6610 - Supplies</t>
  </si>
  <si>
    <t>Board HP Supplies</t>
  </si>
  <si>
    <t>100 · Regular Education:2101 · Support Services Student:1216600 · 6600 Supplies:6632 - Consumables</t>
  </si>
  <si>
    <t>100 · Regular Education:2301 · Support Services General Admin.:1236600 · 6600 Supplies:6610 - Supplies</t>
  </si>
  <si>
    <t>100 · Regular Education:2401 · Support Services School Admin.:1246600 · 6600 Supplies:6632 Consumables</t>
  </si>
  <si>
    <t>1900* · Miscellaneous:1900-A · GIFTS &amp; DONATIONS:1904 Restricted Contributions</t>
  </si>
  <si>
    <t>Board Donations</t>
  </si>
  <si>
    <t>1900* · Miscellaneous:1900-A · GIFTS &amp; DONATIONS:1908 Board Giving</t>
  </si>
  <si>
    <t>1500 · Earnings on Investments</t>
  </si>
  <si>
    <t>CSV Interest</t>
  </si>
  <si>
    <t>100 · Regular Education:1001 · Instruction:1106300 · 6300 Purchased service:6329 Misc. Purchased Services</t>
  </si>
  <si>
    <t>ASU Courses</t>
  </si>
  <si>
    <t>4500 · Federal Revenue:CSILG</t>
  </si>
  <si>
    <t>CSI 26 HP</t>
  </si>
  <si>
    <t>100 · Regular Education:1001 · Instruction:1106100 · 6100 Salaries:1106120 · 6120 Teachers Salaries</t>
  </si>
  <si>
    <t>100 · Regular Education:1001 · Instruction:1106100 · 6100 Salaries:1106124 · 6124 Classroom Aides</t>
  </si>
  <si>
    <t>100 · Regular Education:1001 · Instruction:1106209 · 6209 - Employee Benefits</t>
  </si>
  <si>
    <t>100 · Regular Education:1001 · Instruction:1106600 · 6600 Supplies:6644 - Software</t>
  </si>
  <si>
    <t>100 · Regular Education:2101 · Support Services Student:1216100 · 6100 Salaries:1216102 · 6102 - Stipend</t>
  </si>
  <si>
    <t>100 · Regular Education:2101 · Support Services Student:1216209 · 6209 Employee Benefits</t>
  </si>
  <si>
    <t>100 · Regular Education:2101 · Support Services Student:1216600 · 6600 Supplies:6644- Software</t>
  </si>
  <si>
    <t>100 · Regular Education:2201 · Support Service Instruct. Staff:1226300 · 6300 Purchased Services:6360 Staff Training/Profess Dev</t>
  </si>
  <si>
    <t>100 · Regular Education:2501 · Business Office:1256910 · Indirect Cost</t>
  </si>
  <si>
    <t>200 · Special Education:1002 · Instruction:2106100 · 6100 Salaries:6102 Stipend</t>
  </si>
  <si>
    <t>CSI 26 NW</t>
  </si>
  <si>
    <t>100 · Regular Education:2201 · Support Service Instruct. Staff:1226100 · 6100 Salaries:1226102 · 6102 - Stipend Position</t>
  </si>
  <si>
    <t>100 · Regular Education:2201 · Support Service Instruct. Staff:1226209 · 6209 Employee Benefits</t>
  </si>
  <si>
    <t>100 · Regular Education:2101 · Support Services Student:1216100 · 6100 Salaries:1216133 · Dean of Students/Site Coor</t>
  </si>
  <si>
    <t>Dean</t>
  </si>
  <si>
    <t>4500 · Federal Revenue:IDEA Basic</t>
  </si>
  <si>
    <t>IDEA 26 HP</t>
  </si>
  <si>
    <t>200 · Special Education:1002 · Instruction:2106100 · 6100 Salaries:6124 Sp Ed Assistant</t>
  </si>
  <si>
    <t>200 · Special Education:1002 · Instruction:2106209 · 6209 Employee Benefits</t>
  </si>
  <si>
    <t>200 · Special Education:2102 · Support Services Student:2216300 · 6300 Purchased Services:6329 Miscellanous</t>
  </si>
  <si>
    <t>IDEA 26 NW</t>
  </si>
  <si>
    <t>IIF HP</t>
  </si>
  <si>
    <t>IIF NW</t>
  </si>
  <si>
    <t>3000* · State Revenue:3800 · Instructional Improvement Fund</t>
  </si>
  <si>
    <t>IIF Rev</t>
  </si>
  <si>
    <t>Lions</t>
  </si>
  <si>
    <t>3000* · State Revenue:AED Grant</t>
  </si>
  <si>
    <t>AED</t>
  </si>
  <si>
    <t>4000 · Capital</t>
  </si>
  <si>
    <t>Toman</t>
  </si>
  <si>
    <t>4500 · Federal Revenue:Title IVA</t>
  </si>
  <si>
    <t>Title IV</t>
  </si>
  <si>
    <t>4500 · Federal Revenue:Title I</t>
  </si>
  <si>
    <t>Title I 26 HP</t>
  </si>
  <si>
    <t>Title I 25 HP</t>
  </si>
  <si>
    <t>100 · Regular Education:2501 · Business Office:1256800 · 6800 Other Expenses:6810 Dues &amp; Fees</t>
  </si>
  <si>
    <t>TC UD HP</t>
  </si>
  <si>
    <t>100 · Regular Education:2601 · Op./Maint of Plant Services:1266400 · 6400 Purchased Property Service:6442 Equipment Rental</t>
  </si>
  <si>
    <t>TC FT HP</t>
  </si>
  <si>
    <t>100 · Regular Education:1001 · Instruction:1106600 · 6600 Supplies:6632 Consumables</t>
  </si>
  <si>
    <t>TC FT NW</t>
  </si>
  <si>
    <t>1700 · Local Revenue:1700-A · Tax Credit - Undesignated</t>
  </si>
  <si>
    <t>TC</t>
  </si>
  <si>
    <t>1900* · Miscellaneous:1900-A · GIFTS &amp; DONATIONS:1902 Local Grants</t>
  </si>
  <si>
    <t>Sundt</t>
  </si>
  <si>
    <t>SCCF 26</t>
  </si>
  <si>
    <t>Rotary</t>
  </si>
  <si>
    <t>100 · Regular Education:1001 · Instruction:1106600 · 6600 Supplies:6699 Furniture &amp; Equipment&lt;$500</t>
  </si>
  <si>
    <t>100 · Regular Education:2201 · Support Service Instruct. Staff:1226600 · 6600 Supplies:6632 Consumables</t>
  </si>
  <si>
    <t>200 · Special Education:1002 · Instruction:2106500 · 6500 Other Purchased Services:6580 Travel</t>
  </si>
  <si>
    <t>700 · Prop 301 Expense:102 · Regular Education:1011- Base/FY22 All:7116100 · 6100 Salaries:7116120 · 6120 Teacher</t>
  </si>
  <si>
    <t>301 NW</t>
  </si>
  <si>
    <t>700 · Prop 301 Expense:102 · Regular Education:1011- Base/FY22 All:7116209 · 6209 Employee Benefits</t>
  </si>
  <si>
    <t>301 HP</t>
  </si>
  <si>
    <t>700 · Prop 301 Expense:202 · Special Education:1011- Base/FY22 All:8116100 · 6100 Salaries:8116120 · 6120 Teacher</t>
  </si>
  <si>
    <t>700 · Prop 301 Expense:202 · Special Education:1011- Base/FY22 All:8116209 · 6209 Employee Benefits</t>
  </si>
  <si>
    <t>3000* · State Revenue:3900 · Prop 301</t>
  </si>
  <si>
    <t>301 Rev</t>
  </si>
  <si>
    <t>1900* · Miscellaneous:1900-A · GIFTS &amp; DONATIONS</t>
  </si>
  <si>
    <t>M&amp;O Rev</t>
  </si>
  <si>
    <t>1900* · Miscellaneous:1900-A · GIFTS &amp; DONATIONS:1901 Contributions</t>
  </si>
  <si>
    <t>1900* · Miscellaneous:1900-A · GIFTS &amp; DONATIONS:1903 Other grants and donations</t>
  </si>
  <si>
    <t>1900* · Miscellaneous:1900-A · GIFTS &amp; DONATIONS:1906 Art Show</t>
  </si>
  <si>
    <t>1900* · Miscellaneous:1900-A · GIFTS &amp; DONATIONS:1907 Trivia Night</t>
  </si>
  <si>
    <t>1900* · Miscellaneous:1910 · School Fees</t>
  </si>
  <si>
    <t>3000* · State Revenue:Legislative Annual</t>
  </si>
  <si>
    <t>3000* · State Revenue:Prop 123</t>
  </si>
  <si>
    <t>3000* · State Revenue:State Equalization Assistance</t>
  </si>
  <si>
    <t>4500 · Federal Revenue:E-Rate</t>
  </si>
  <si>
    <t>Erate</t>
  </si>
  <si>
    <t>9870 · Amortization Expense</t>
  </si>
  <si>
    <t>Bond Interest</t>
  </si>
  <si>
    <t>M&amp;O HP</t>
  </si>
  <si>
    <t>M&amp;O NW</t>
  </si>
  <si>
    <t>100 · Regular Education:1001 · Instruction:1106100 · 6100 Salaries:1106129 · 6129 Substitutes</t>
  </si>
  <si>
    <t>100 · Regular Education:1001 · Instruction:1106600 · 6600 Supplies:6610 - Supplies-Instruction</t>
  </si>
  <si>
    <t>100 · Regular Education:2101 · Support Services Student:1216320 · 6320 Purchased Services:6329 Misc.Purchased Services</t>
  </si>
  <si>
    <t>100 · Regular Education:2101 · Support Services Student:1216320 · 6320 Purchased Services:6341 Attendance System</t>
  </si>
  <si>
    <t>100 · Regular Education:2101 · Support Services Student:1216500 · 6500 Other Purchased Services:6580 Travel</t>
  </si>
  <si>
    <t>100 · Regular Education:2301 · Support Services General Admin.:1236320 · 6320 Purchased Services:6333 Legal</t>
  </si>
  <si>
    <t>100 · Regular Education:2301 · Support Services General Admin.:1236320 · 6320 Purchased Services:6350 Audit</t>
  </si>
  <si>
    <t>100 · Regular Education:2301 · Support Services General Admin.:1236800 · 6800 Other Expenses:6810 Dues &amp; fees</t>
  </si>
  <si>
    <t>100 · Regular Education:2401 · Support Services School Admin.:1246100 · 6100 Salaries:1246130 · 6130 Principal</t>
  </si>
  <si>
    <t>100 · Regular Education:2401 · Support Services School Admin.:1246209 · 6209 Employee Benefits</t>
  </si>
  <si>
    <t>100 · Regular Education:2401 · Support Services School Admin.:1246300 · 6300 Purchased Services:6329 Miscellanous</t>
  </si>
  <si>
    <t>100 · Regular Education:2401 · Support Services School Admin.:1246600 · 6600 Supplies:6610 Supplies</t>
  </si>
  <si>
    <t>100 · Regular Education:2401 · Support Services School Admin.:1246800 · 6800 Other Expenses:6810 Dues &amp; Fees</t>
  </si>
  <si>
    <t>100 · Regular Education:2501 · Business Office:1256209 · 6209 Employee Benefits</t>
  </si>
  <si>
    <t>100 · Regular Education:2501 · Business Office:1256300 · 6300 Purchased Services:6329 Miscellaneous</t>
  </si>
  <si>
    <t>100 · Regular Education:2601 · Op./Maint of Plant Services:1266300 · 6300 Purchased Services:6330 Technical Services</t>
  </si>
  <si>
    <t>100 · Regular Education:2601 · Op./Maint of Plant Services:1266300 · 6300 Purchased Services:6329 Miscellanous</t>
  </si>
  <si>
    <t>100 · Regular Education:2601 · Op./Maint of Plant Services:1266400 · 6400 Purchased Property Service:6413 - Pest Control</t>
  </si>
  <si>
    <t>100 · Regular Education:2601 · Op./Maint of Plant Services:1266400 · 6400 Purchased Property Service:6423 Custodial Services</t>
  </si>
  <si>
    <t>100 · Regular Education:2601 · Op./Maint of Plant Services:1266400 · 6400 Purchased Property Service:6426 Security</t>
  </si>
  <si>
    <t>100 · Regular Education:2601 · Op./Maint of Plant Services:1266400 · 6400 Purchased Property Service:6435 Repair &amp; Maint. Building</t>
  </si>
  <si>
    <t>100 · Regular Education:2601 · Op./Maint of Plant Services:1266400 · 6400 Purchased Property Service:6436 Equip Rep/ Maintenance</t>
  </si>
  <si>
    <t>100 · Regular Education:2601 · Op./Maint of Plant Services:1266400 · 6400 Purchased Property Service:6441 Rent/Lease-Land &amp; Building</t>
  </si>
  <si>
    <t>100 · Regular Education:2601 · Op./Maint of Plant Services:1266500 · 6500 Other Purchased Services:6520 PC Insurance</t>
  </si>
  <si>
    <t>100 · Regular Education:2601 · Op./Maint of Plant Services:1266500 · 6500 Other Purchased Services:6530 · Communications</t>
  </si>
  <si>
    <t>100 · Regular Education:2601 · Op./Maint of Plant Services:1266600 · 6600 Supplies:6610 Supplies</t>
  </si>
  <si>
    <t>Erate NW</t>
  </si>
  <si>
    <t>100 · Regular Education:2601 · Op./Maint of Plant Services:1266600 · 6600 Supplies:6611 - Custodial Supplies</t>
  </si>
  <si>
    <t>100 · Regular Education:2601 · Op./Maint of Plant Services:1266600 · 6600 Supplies:6622 Electricity</t>
  </si>
  <si>
    <t>100 · Regular Education:2601 · Op./Maint of Plant Services:1266600 · 6600 Supplies:6644 - Software Licenses</t>
  </si>
  <si>
    <t>100 · Regular Education:2601 · Op./Maint of Plant Services:1266600 · 6600 Supplies:6699 - Equipment &lt; $500</t>
  </si>
  <si>
    <t>200 · Special Education:1002 · Instruction:2106100 · 6100 Salaries:6129 Special Ed Teacher Substit</t>
  </si>
  <si>
    <t>200 · Special Education:1002 · Instruction:2106100 · 6100 Salaries:2106120 · 6120 Sped Teacher</t>
  </si>
  <si>
    <t>200 · Special Education:1002 · Instruction:2106600 · 6600 Supplies:6610 Supplies</t>
  </si>
  <si>
    <t>200 · Special Education:2102 · Support Services Student:2216600 · 6600 Supplies:6610 Supplies</t>
  </si>
  <si>
    <t>200 · Special Education:2202 · Support Services Instruct Staff:2226209 · 6209 Employee Benefits</t>
  </si>
  <si>
    <t>200 · Special Education:2202 · Support Services Instruct Staff:2226300 · 6300 Purchased Services:6329 Miscellanous</t>
  </si>
  <si>
    <t>200 · Special Education:2202 · Support Services Instruct Staff:2226300 · 6300 Purchased Services:6360  Staff Professional Dev</t>
  </si>
  <si>
    <t>200 · Special Education:2202 · Support Services Instruct Staff:2226500 · 6500 Other Purchased Services:6580 Travel</t>
  </si>
  <si>
    <t>062 School-Sponsored Athletics:0626600 · Supplies</t>
  </si>
  <si>
    <t>100 · Regular Education:1001 · Instruction:1106600 · 6600 Supplies:6640 Periodicals/Publications</t>
  </si>
  <si>
    <t>100 · Regular Education:1001 · Instruction:1106800 · 6800 Other Expenses:6810 - Dues &amp; fees</t>
  </si>
  <si>
    <t>100 · Regular Education:2101 · Support Services Student:1216100 · 6100 Salaries:1216132 · Registar</t>
  </si>
  <si>
    <t>100 · Regular Education:2101 · Support Services Student:1216600 · 6600 Supplies:6612 Medical Supplies</t>
  </si>
  <si>
    <t>100 · Regular Education:2101 · Support Services Student:1216800 · 6800 Other:6810 - Dues &amp; Fees</t>
  </si>
  <si>
    <t>100 · Regular Education:2201 · Support Service Instruct. Staff:1226100 · 6100 Salaries:1226137 · 6137 Instructional Coor/Coach</t>
  </si>
  <si>
    <t>100 · Regular Education:2201 · Support Service Instruct. Staff:1226300 · 6300 Purchased Services:6329 Misc. Purchased Services</t>
  </si>
  <si>
    <t>100 · Regular Education:2201 · Support Service Instruct. Staff:1226600 · 6600 Supplies:6610 Professional Dev Supplies</t>
  </si>
  <si>
    <t>100 · Regular Education:2201 · Support Service Instruct. Staff:1226600 · 6600 Supplies:6610 Supplies</t>
  </si>
  <si>
    <t>100 · Regular Education:2301 · Support Services General Admin.:1236320 · 6320 Purchased Services:6329 Miscellanous</t>
  </si>
  <si>
    <t>100 · Regular Education:2301 · Support Services General Admin.:1236600 · 6600 Supplies:6632 - Consumables</t>
  </si>
  <si>
    <t>100 · Regular Education:2401 · Support Services School Admin.:1246100 · 6100 Salaries:1246135 · 6135 Office Associate</t>
  </si>
  <si>
    <t>100 · Regular Education:2401 · Support Services School Admin.:1246500 · 6500 Other Purchased Services:6580 Travel</t>
  </si>
  <si>
    <t>100 · Regular Education:2401 · Support Services School Admin.:1246600 · 6600 Supplies:6644 - Software License</t>
  </si>
  <si>
    <t>100 · Regular Education:2501 · Business Office:1256100 · 6100 Salaries:1256105 · Finance and Resource Director</t>
  </si>
  <si>
    <t>100 · Regular Education:2501 · Business Office:1256500 · 6500 Other Purchased Services:6580 Travel</t>
  </si>
  <si>
    <t>100 · Regular Education:2501 · Business Office:1256600 · 6600 Supplies:6610 Supplies</t>
  </si>
  <si>
    <t>100 · Regular Education:2501 · Business Office:1256800 · 6800 Other Expenses</t>
  </si>
  <si>
    <t>100 · Regular Education:2501 · Business Office:1256800 · 6800 Other Expenses:6810 Dues &amp; Fees:6811 Bond Administrative Fees</t>
  </si>
  <si>
    <t>100 · Regular Education:2501 · Business Office:1256800 · 6800 Other Expenses:6810 Dues &amp; Fees:6812 · Payroll Processing Fees</t>
  </si>
  <si>
    <t>100 · Regular Education:2501 · Business Office:1256800 · 6800 Other Expenses:6840 - Interest</t>
  </si>
  <si>
    <t>100 · Regular Education:2601 · Op./Maint of Plant Services:1266209 · 6209 Employee Benefits</t>
  </si>
  <si>
    <t>100 · Regular Education:2601 · Op./Maint of Plant Services:1266400 · 6400 Purchased Property Service:6411 Water &amp; Sewer</t>
  </si>
  <si>
    <t>100 · Regular Education:2601 · Op./Maint of Plant Services:1266400 · 6400 Purchased Property Service:6412 - Trash Disposal</t>
  </si>
  <si>
    <t>100 · Regular Education:2601 · Op./Maint of Plant Services:1266600 · 6600 Supplies:6621 Gas</t>
  </si>
  <si>
    <t>Erate HP</t>
  </si>
  <si>
    <t>100 · Regular Education:2601 · Op./Maint of Plant Services:1266800 · 6800 Other Expense:6810 - Dues &amp; Fees</t>
  </si>
  <si>
    <t>200 · Special Education:2102 · Support Services Student:2216100 · 6100 Salaries</t>
  </si>
  <si>
    <t>200 · Special Education:2102 · Support Services Student:2216209 · 6209 Employee Benefits</t>
  </si>
  <si>
    <t>1705 · Rental Revenue</t>
  </si>
  <si>
    <t>The average salary decreased as three positions were replaced with new staff at a lower beginning salary based on years of experience. In addition, one higher salary position was eliminated.</t>
  </si>
  <si>
    <t>The Charter is working on increasing financial reserves.</t>
  </si>
  <si>
    <t>Edge School, Inc., The</t>
  </si>
  <si>
    <t>Pima</t>
  </si>
  <si>
    <t>108653000</t>
  </si>
  <si>
    <t>Edge High School</t>
  </si>
  <si>
    <t xml:space="preserve">https://edgehighschool.org/charter-transparency/						</t>
  </si>
  <si>
    <t>09/14/2026</t>
  </si>
  <si>
    <t>Rob Pecharich</t>
  </si>
  <si>
    <t>robp@edgehighschool.org</t>
  </si>
  <si>
    <t>Anne Ortiz</t>
  </si>
  <si>
    <t>anneo@edgehighschool.org</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</si>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</sst>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mmmm\ d\,\ yyyy"/>
    <numFmt numFmtId="165" formatCode="0_);\(0\)"/>
    <numFmt numFmtId="166" formatCode="0.0"/>
    <numFmt numFmtId="167" formatCode="0."/>
    <numFmt numFmtId="168" formatCode="\(0E+00\);\(\-0E+00\)"/>
    <numFmt numFmtId="169" formatCode="_(&quot;$&quot;* #,##0_);_(&quot;$&quot;* \(#,##0\);_(&quot;$&quot;* &quot;-&quot;??_);_(@_)"/>
    <numFmt numFmtId="170" formatCode="0.0%"/>
    <numFmt numFmtId="171" formatCode="_(* #,##0_);_(* \(#,##0\);_(* &quot;-&quot;??_);_(@_)"/>
    <numFmt numFmtId="172" formatCode="#,##0.0000_);\(#,##0.0000\)"/>
  </numFmts>
  <fonts count="57" x14ac:knownFonts="1">
    <font>
      <sz val="10"/>
      <name val="Times New Roman"/>
      <family val="2"/>
    </font>
    <font>
      <sz val="10"/>
      <name val="Arial"/>
      <family val="2"/>
    </font>
    <font>
      <sz val="11"/>
      <color theme="1"/>
      <name val="Calibri"/>
      <family val="2"/>
      <scheme val="minor"/>
    </font>
    <font>
      <b/>
      <sz val="10"/>
      <name val="Times New Roman"/>
      <family val="1"/>
    </font>
    <font>
      <sz val="9"/>
      <name val="Times New Roman"/>
      <family val="1"/>
    </font>
    <font>
      <b/>
      <sz val="10"/>
      <name val="Arial"/>
      <family val="2"/>
    </font>
    <font>
      <u/>
      <sz val="9"/>
      <color indexed="12"/>
      <name val="Arial"/>
      <family val="2"/>
    </font>
    <font>
      <b/>
      <sz val="14"/>
      <name val="Times New Roman"/>
      <family val="1"/>
    </font>
    <font>
      <b/>
      <sz val="12"/>
      <name val="Times New Roman"/>
      <family val="1"/>
    </font>
    <font>
      <sz val="10"/>
      <color indexed="12"/>
      <name val="Times New Roman"/>
      <family val="1"/>
    </font>
    <font>
      <sz val="11"/>
      <name val="Times New Roman"/>
      <family val="1"/>
    </font>
    <font>
      <sz val="12"/>
      <name val="Arial"/>
      <family val="2"/>
    </font>
    <font>
      <b/>
      <sz val="10"/>
      <color indexed="12"/>
      <name val="Times New Roman"/>
      <family val="1"/>
    </font>
    <font>
      <sz val="8"/>
      <name val="Times New Roman"/>
      <family val="1"/>
    </font>
    <font>
      <strike/>
      <sz val="10"/>
      <name val="Times New Roman"/>
      <family val="1"/>
    </font>
    <font>
      <b/>
      <sz val="11"/>
      <name val="Times New Roman"/>
      <family val="1"/>
    </font>
    <font>
      <b/>
      <i/>
      <sz val="10"/>
      <name val="Times New Roman"/>
      <family val="1"/>
    </font>
    <font>
      <b/>
      <sz val="9"/>
      <name val="Times New Roman"/>
      <family val="1"/>
    </font>
    <font>
      <i/>
      <sz val="10"/>
      <name val="Times New Roman"/>
      <family val="1"/>
    </font>
    <font>
      <sz val="11"/>
      <name val="Calibri"/>
      <family val="2"/>
    </font>
    <font>
      <u/>
      <sz val="9"/>
      <name val="Arial"/>
      <family val="2"/>
    </font>
    <font>
      <b/>
      <sz val="10"/>
      <color indexed="8"/>
      <name val="Times New Roman"/>
      <family val="1"/>
    </font>
    <font>
      <b/>
      <sz val="11"/>
      <color theme="1"/>
      <name val="Calibri"/>
      <family val="2"/>
      <scheme val="minor"/>
    </font>
    <font>
      <sz val="10"/>
      <color theme="1"/>
      <name val="Times New Roman"/>
      <family val="1"/>
    </font>
    <font>
      <b/>
      <u/>
      <sz val="10"/>
      <color rgb="FF0000FF"/>
      <name val="Times New Roman"/>
      <family val="1"/>
    </font>
    <font>
      <sz val="10"/>
      <color rgb="FF0000FF"/>
      <name val="Times New Roman"/>
      <family val="1"/>
    </font>
    <font>
      <b/>
      <sz val="10"/>
      <color rgb="FF0000FF"/>
      <name val="Times New Roman"/>
      <family val="1"/>
    </font>
    <font>
      <sz val="10"/>
      <color rgb="FFFF0000"/>
      <name val="Times New Roman"/>
      <family val="1"/>
    </font>
    <font>
      <strike/>
      <sz val="10"/>
      <color rgb="FFFF0000"/>
      <name val="Times New Roman"/>
      <family val="1"/>
    </font>
    <font>
      <sz val="11"/>
      <name val="Calibri"/>
      <family val="2"/>
      <scheme val="minor"/>
    </font>
    <font>
      <b/>
      <sz val="11"/>
      <color theme="1"/>
      <name val="Times New Roman"/>
      <family val="1"/>
    </font>
    <font>
      <sz val="11"/>
      <color theme="1"/>
      <name val="Times New Roman"/>
      <family val="1"/>
    </font>
    <font>
      <sz val="11"/>
      <color theme="0" tint="-0.24982451857051302"/>
      <name val="Times New Roman"/>
      <family val="1"/>
    </font>
    <font>
      <b/>
      <sz val="11"/>
      <name val="Calibri"/>
      <family val="2"/>
      <scheme val="minor"/>
    </font>
    <font>
      <sz val="8"/>
      <color rgb="FF000000"/>
      <name val="Arial"/>
      <family val="2"/>
    </font>
    <font>
      <sz val="10"/>
      <color theme="0"/>
      <name val="Times New Roman"/>
      <family val="1"/>
    </font>
    <font>
      <sz val="11"/>
      <color theme="1" tint="0.34998626667073579"/>
      <name val="Calibri"/>
      <family val="2"/>
    </font>
    <font>
      <b/>
      <sz val="10"/>
      <color rgb="FFFF0000"/>
      <name val="Times New Roman"/>
      <family val="1"/>
    </font>
    <font>
      <u/>
      <sz val="10"/>
      <color indexed="12"/>
      <name val="Arial"/>
      <family val="2"/>
    </font>
    <font>
      <sz val="10"/>
      <color indexed="8"/>
      <name val="Times New Roman"/>
      <family val="1"/>
    </font>
    <font>
      <sz val="10"/>
      <color theme="0" tint="-0.34986419263283181"/>
      <name val="Times New Roman"/>
      <family val="1"/>
    </font>
    <font>
      <sz val="10"/>
      <color rgb="FF000000"/>
      <name val="Times New Roman"/>
      <family val="1"/>
    </font>
    <font>
      <sz val="9"/>
      <color rgb="FFFF0000"/>
      <name val="Times New Roman"/>
      <family val="1"/>
    </font>
    <font>
      <b/>
      <sz val="10"/>
      <color theme="1"/>
      <name val="Times New Roman"/>
      <family val="1"/>
    </font>
    <font>
      <b/>
      <u/>
      <sz val="10"/>
      <color theme="1"/>
      <name val="Times New Roman"/>
      <family val="1"/>
    </font>
    <font>
      <b/>
      <sz val="10"/>
      <color rgb="FF0000CC"/>
      <name val="Times New Roman"/>
      <family val="1"/>
    </font>
    <font>
      <sz val="11"/>
      <color rgb="FFFF0000"/>
      <name val="Times New Roman"/>
      <family val="1"/>
    </font>
    <font>
      <b/>
      <sz val="11"/>
      <color rgb="FFFF0000"/>
      <name val="Times New Roman"/>
      <family val="1"/>
    </font>
    <font>
      <u/>
      <sz val="10"/>
      <name val="Times New Roman"/>
      <family val="1"/>
    </font>
    <font>
      <b/>
      <sz val="16"/>
      <name val="Times New Roman"/>
      <family val="1"/>
    </font>
    <font>
      <sz val="10"/>
      <name val="Times New Roman"/>
      <family val="2"/>
    </font>
    <font>
      <strike/>
      <sz val="10"/>
      <name val="Times New Roman"/>
      <family val="2"/>
    </font>
    <font>
      <u/>
      <sz val="8"/>
      <name val="Times New Roman"/>
      <family val="1"/>
    </font>
    <font>
      <b/>
      <sz val="8"/>
      <name val="Times New Roman"/>
      <family val="1"/>
    </font>
    <font>
      <sz val="10"/>
      <color rgb="FF000000"/>
      <name val="Times New Roman"/>
      <family val="2"/>
    </font>
    <font>
      <sz val="10"/>
      <color rgb="FF000000"/>
      <name val="Cambria"/>
      <family val="1"/>
    </font>
    <font>
      <u/>
      <sz val="10"/>
      <color rgb="FF000000"/>
      <name val="Times New Roman"/>
      <family val="1"/>
    </font>
  </fonts>
  <fills count="17">
    <fill>
      <patternFill patternType="none"/>
    </fill>
    <fill>
      <patternFill patternType="gray125"/>
    </fill>
    <fill>
      <patternFill patternType="solid">
        <fgColor theme="0" tint="-0.1498458815271462"/>
        <bgColor indexed="64"/>
      </patternFill>
    </fill>
    <fill>
      <patternFill patternType="solid">
        <fgColor theme="9" tint="0.59984130375072486"/>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theme="0" tint="-0.24985503707998902"/>
        <bgColor indexed="64"/>
      </patternFill>
    </fill>
    <fill>
      <patternFill patternType="solid">
        <fgColor theme="0" tint="-0.24982451857051302"/>
        <bgColor indexed="64"/>
      </patternFill>
    </fill>
    <fill>
      <patternFill patternType="solid">
        <fgColor theme="0" tint="-0.24979400006103702"/>
        <bgColor indexed="64"/>
      </patternFill>
    </fill>
    <fill>
      <patternFill patternType="solid">
        <fgColor rgb="FFFFFF00"/>
        <bgColor indexed="64"/>
      </patternFill>
    </fill>
    <fill>
      <patternFill patternType="solid">
        <fgColor theme="0" tint="-0.1498764000366222"/>
        <bgColor indexed="64"/>
      </patternFill>
    </fill>
    <fill>
      <patternFill patternType="solid">
        <fgColor theme="4" tint="0.79985961485641044"/>
        <bgColor indexed="64"/>
      </patternFill>
    </fill>
    <fill>
      <patternFill patternType="solid">
        <fgColor theme="5" tint="0.59984130375072486"/>
        <bgColor indexed="64"/>
      </patternFill>
    </fill>
    <fill>
      <patternFill patternType="solid">
        <fgColor theme="5" tint="0.39997558519241921"/>
        <bgColor indexed="64"/>
      </patternFill>
    </fill>
    <fill>
      <patternFill patternType="solid">
        <fgColor rgb="FFFFFFCC"/>
        <bgColor indexed="64"/>
      </patternFill>
    </fill>
    <fill>
      <patternFill patternType="solid">
        <fgColor theme="0" tint="-0.249977111117893"/>
        <bgColor indexed="64"/>
      </patternFill>
    </fill>
  </fills>
  <borders count="3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medium">
        <color auto="1"/>
      </top>
      <bottom style="medium">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double">
        <color auto="1"/>
      </bottom>
      <diagonal/>
    </border>
    <border>
      <left/>
      <right/>
      <top style="thin">
        <color auto="1"/>
      </top>
      <bottom style="double">
        <color auto="1"/>
      </bottom>
      <diagonal/>
    </border>
    <border>
      <left/>
      <right/>
      <top/>
      <bottom style="double">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style="thin">
        <color indexed="8"/>
      </top>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8"/>
      </bottom>
      <diagonal/>
    </border>
    <border>
      <left style="thin">
        <color indexed="8"/>
      </left>
      <right style="thin">
        <color indexed="8"/>
      </right>
      <top/>
      <bottom style="thin">
        <color auto="1"/>
      </bottom>
      <diagonal/>
    </border>
    <border>
      <left style="thin">
        <color indexed="8"/>
      </left>
      <right/>
      <top/>
      <bottom style="thin">
        <color indexed="8"/>
      </bottom>
      <diagonal/>
    </border>
    <border>
      <left/>
      <right style="thin">
        <color auto="1"/>
      </right>
      <top style="thin">
        <color indexed="8"/>
      </top>
      <bottom/>
      <diagonal/>
    </border>
    <border>
      <left style="thin">
        <color auto="1"/>
      </left>
      <right style="thin">
        <color auto="1"/>
      </right>
      <top style="thin">
        <color indexed="8"/>
      </top>
      <bottom style="thin">
        <color auto="1"/>
      </bottom>
      <diagonal/>
    </border>
    <border>
      <left/>
      <right style="thin">
        <color auto="1"/>
      </right>
      <top style="thin">
        <color indexed="8"/>
      </top>
      <bottom style="thin">
        <color auto="1"/>
      </bottom>
      <diagonal/>
    </border>
  </borders>
  <cellStyleXfs count="15">
    <xf numFmtId="0" fontId="0" fillId="0" borderId="0"/>
    <xf numFmtId="9" fontId="50"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6" fillId="0" borderId="0" applyNumberFormat="0" applyFill="0" applyBorder="0">
      <protection locked="0"/>
    </xf>
    <xf numFmtId="0" fontId="2" fillId="0" borderId="0"/>
    <xf numFmtId="0" fontId="11" fillId="0" borderId="0" applyFont="0" applyBorder="0"/>
    <xf numFmtId="0" fontId="1" fillId="0" borderId="0"/>
    <xf numFmtId="0" fontId="1" fillId="0" borderId="0"/>
    <xf numFmtId="0" fontId="2" fillId="0" borderId="0"/>
    <xf numFmtId="0" fontId="38" fillId="0" borderId="0" applyNumberFormat="0" applyFill="0" applyBorder="0">
      <protection locked="0"/>
    </xf>
    <xf numFmtId="0" fontId="50" fillId="0" borderId="0"/>
    <xf numFmtId="0" fontId="6" fillId="0" borderId="0" applyNumberFormat="0" applyFill="0" applyBorder="0">
      <protection locked="0"/>
    </xf>
  </cellStyleXfs>
  <cellXfs count="804">
    <xf numFmtId="0" fontId="0" fillId="0" borderId="0" xfId="0"/>
    <xf numFmtId="0" fontId="0" fillId="0" borderId="0" xfId="0" applyAlignment="1">
      <alignment horizontal="left" vertical="top" wrapText="1"/>
    </xf>
    <xf numFmtId="0" fontId="0" fillId="0" borderId="0" xfId="0" quotePrefix="1" applyAlignment="1">
      <alignment horizontal="right" vertical="top"/>
    </xf>
    <xf numFmtId="168" fontId="3" fillId="0" borderId="0" xfId="0" applyNumberFormat="1" applyFont="1" applyAlignment="1">
      <alignment horizontal="left"/>
    </xf>
    <xf numFmtId="37" fontId="0" fillId="0" borderId="5" xfId="0" applyNumberFormat="1" applyBorder="1"/>
    <xf numFmtId="37" fontId="0" fillId="0" borderId="10" xfId="0" applyNumberFormat="1" applyBorder="1"/>
    <xf numFmtId="0" fontId="3" fillId="0" borderId="0" xfId="0" applyFont="1" applyAlignment="1">
      <alignment horizontal="right"/>
    </xf>
    <xf numFmtId="0" fontId="23" fillId="0" borderId="4" xfId="10" applyFont="1" applyBorder="1" applyAlignment="1">
      <alignment horizontal="left"/>
    </xf>
    <xf numFmtId="0" fontId="23" fillId="0" borderId="9" xfId="10" applyFont="1" applyBorder="1" applyAlignment="1">
      <alignment horizontal="left"/>
    </xf>
    <xf numFmtId="0" fontId="23" fillId="0" borderId="4" xfId="10" applyFont="1" applyBorder="1"/>
    <xf numFmtId="0" fontId="23" fillId="0" borderId="9" xfId="10" applyFont="1" applyBorder="1"/>
    <xf numFmtId="0" fontId="3" fillId="0" borderId="16" xfId="0" applyFont="1" applyBorder="1"/>
    <xf numFmtId="0" fontId="3" fillId="0" borderId="7" xfId="6" applyFont="1" applyFill="1" applyBorder="1" applyProtection="1"/>
    <xf numFmtId="0" fontId="3" fillId="0" borderId="12" xfId="6" applyFont="1" applyFill="1" applyBorder="1" applyProtection="1"/>
    <xf numFmtId="0" fontId="3" fillId="0" borderId="8" xfId="10" applyFont="1" applyBorder="1"/>
    <xf numFmtId="0" fontId="3" fillId="0" borderId="4" xfId="10" applyFont="1" applyBorder="1"/>
    <xf numFmtId="0" fontId="3" fillId="0" borderId="9" xfId="6" applyFont="1" applyFill="1" applyBorder="1" applyProtection="1"/>
    <xf numFmtId="168" fontId="43" fillId="5" borderId="0" xfId="0" applyNumberFormat="1" applyFont="1" applyFill="1"/>
    <xf numFmtId="0" fontId="23" fillId="0" borderId="1" xfId="10" applyFont="1" applyBorder="1" applyAlignment="1">
      <alignment horizontal="center"/>
    </xf>
    <xf numFmtId="0" fontId="0" fillId="0" borderId="0" xfId="0" applyAlignment="1">
      <alignment wrapText="1"/>
    </xf>
    <xf numFmtId="168" fontId="41" fillId="0" borderId="0" xfId="0" applyNumberFormat="1" applyFont="1" applyAlignment="1">
      <alignment horizontal="left"/>
    </xf>
    <xf numFmtId="168" fontId="0" fillId="5" borderId="14" xfId="0" applyNumberFormat="1" applyFill="1" applyBorder="1" applyAlignment="1">
      <alignment horizontal="left"/>
    </xf>
    <xf numFmtId="0" fontId="0" fillId="0" borderId="0" xfId="0" quotePrefix="1" applyAlignment="1">
      <alignment horizontal="left"/>
    </xf>
    <xf numFmtId="168" fontId="0" fillId="5" borderId="0" xfId="0" applyNumberFormat="1" applyFill="1" applyAlignment="1">
      <alignment horizontal="left"/>
    </xf>
    <xf numFmtId="168" fontId="23" fillId="5" borderId="0" xfId="0" applyNumberFormat="1" applyFont="1" applyFill="1" applyAlignment="1">
      <alignment horizontal="left"/>
    </xf>
    <xf numFmtId="0" fontId="0" fillId="0" borderId="2" xfId="0" applyBorder="1" applyAlignment="1">
      <alignment horizontal="center"/>
    </xf>
    <xf numFmtId="168" fontId="3" fillId="5" borderId="0" xfId="0" applyNumberFormat="1" applyFont="1" applyFill="1" applyAlignment="1">
      <alignment horizontal="center"/>
    </xf>
    <xf numFmtId="0" fontId="0" fillId="0" borderId="17" xfId="0" applyBorder="1" applyAlignment="1">
      <alignment horizontal="center"/>
    </xf>
    <xf numFmtId="0" fontId="0" fillId="0" borderId="16" xfId="0" applyBorder="1" applyAlignment="1">
      <alignment horizontal="center"/>
    </xf>
    <xf numFmtId="37" fontId="0" fillId="0" borderId="5" xfId="0" applyNumberFormat="1" applyBorder="1" applyAlignment="1">
      <alignment horizontal="right"/>
    </xf>
    <xf numFmtId="37" fontId="41" fillId="0" borderId="10" xfId="0" applyNumberFormat="1" applyFont="1" applyBorder="1"/>
    <xf numFmtId="0" fontId="41" fillId="0" borderId="0" xfId="0" applyFont="1" applyAlignment="1">
      <alignment horizontal="left" vertical="center" wrapText="1"/>
    </xf>
    <xf numFmtId="37" fontId="0" fillId="4" borderId="21" xfId="0" applyNumberFormat="1" applyFill="1" applyBorder="1"/>
    <xf numFmtId="37" fontId="41" fillId="4" borderId="5" xfId="0" applyNumberFormat="1" applyFont="1" applyFill="1" applyBorder="1"/>
    <xf numFmtId="0" fontId="12" fillId="0" borderId="0" xfId="6" applyFont="1" applyFill="1" applyAlignment="1" applyProtection="1">
      <alignment horizontal="center"/>
    </xf>
    <xf numFmtId="37" fontId="0" fillId="0" borderId="1" xfId="0" applyNumberFormat="1" applyBorder="1" applyAlignment="1">
      <alignment horizontal="right"/>
    </xf>
    <xf numFmtId="37" fontId="0" fillId="0" borderId="4" xfId="0" applyNumberFormat="1" applyBorder="1" applyAlignment="1">
      <alignment horizontal="right"/>
    </xf>
    <xf numFmtId="37" fontId="0" fillId="8" borderId="15" xfId="0" applyNumberFormat="1" applyFill="1" applyBorder="1" applyAlignment="1">
      <alignment horizontal="center"/>
    </xf>
    <xf numFmtId="37" fontId="0" fillId="8" borderId="10" xfId="0" applyNumberFormat="1" applyFill="1" applyBorder="1" applyAlignment="1">
      <alignment horizontal="center"/>
    </xf>
    <xf numFmtId="0" fontId="3" fillId="0" borderId="0" xfId="0" applyFont="1" applyAlignment="1">
      <alignment horizontal="center"/>
    </xf>
    <xf numFmtId="37" fontId="0" fillId="4" borderId="2" xfId="0" applyNumberFormat="1" applyFill="1" applyBorder="1"/>
    <xf numFmtId="37" fontId="41" fillId="4" borderId="2" xfId="0" applyNumberFormat="1" applyFont="1" applyFill="1" applyBorder="1"/>
    <xf numFmtId="37" fontId="0" fillId="0" borderId="2" xfId="0" applyNumberFormat="1" applyBorder="1"/>
    <xf numFmtId="37" fontId="41" fillId="0" borderId="5" xfId="0" applyNumberFormat="1" applyFont="1" applyBorder="1"/>
    <xf numFmtId="37" fontId="0" fillId="9" borderId="5" xfId="0" applyNumberFormat="1" applyFill="1" applyBorder="1" applyAlignment="1">
      <alignment horizontal="center"/>
    </xf>
    <xf numFmtId="37" fontId="0" fillId="9" borderId="10" xfId="0" applyNumberFormat="1" applyFill="1" applyBorder="1" applyAlignment="1">
      <alignment horizontal="center"/>
    </xf>
    <xf numFmtId="0" fontId="41" fillId="0" borderId="10" xfId="0" applyFont="1" applyBorder="1" applyAlignment="1">
      <alignment horizontal="center" wrapText="1"/>
    </xf>
    <xf numFmtId="0" fontId="0" fillId="0" borderId="8" xfId="0" applyBorder="1" applyAlignment="1">
      <alignment horizontal="center"/>
    </xf>
    <xf numFmtId="0" fontId="0" fillId="0" borderId="0" xfId="0" applyAlignment="1">
      <alignment horizontal="left" wrapText="1"/>
    </xf>
    <xf numFmtId="10" fontId="41" fillId="4" borderId="2" xfId="0" applyNumberFormat="1" applyFont="1" applyFill="1" applyBorder="1"/>
    <xf numFmtId="0" fontId="0" fillId="0" borderId="5" xfId="0" applyBorder="1" applyAlignment="1">
      <alignment horizontal="center" wrapText="1"/>
    </xf>
    <xf numFmtId="0" fontId="0" fillId="0" borderId="10" xfId="0" applyBorder="1" applyAlignment="1">
      <alignment horizontal="center"/>
    </xf>
    <xf numFmtId="0" fontId="3" fillId="0" borderId="0" xfId="13" applyFont="1"/>
    <xf numFmtId="0" fontId="0" fillId="0" borderId="0" xfId="0" applyAlignment="1">
      <alignment horizontal="left"/>
    </xf>
    <xf numFmtId="49" fontId="0" fillId="0" borderId="1" xfId="0" applyNumberFormat="1" applyBorder="1" applyAlignment="1">
      <alignment horizontal="center"/>
    </xf>
    <xf numFmtId="37" fontId="41" fillId="0" borderId="1" xfId="0" applyNumberFormat="1" applyFont="1" applyBorder="1"/>
    <xf numFmtId="0" fontId="0" fillId="0" borderId="1" xfId="0" applyBorder="1"/>
    <xf numFmtId="0" fontId="0" fillId="0" borderId="0" xfId="11" applyFont="1" applyAlignment="1">
      <alignment horizontal="center"/>
    </xf>
    <xf numFmtId="0" fontId="41" fillId="0" borderId="0" xfId="0" applyFont="1"/>
    <xf numFmtId="0" fontId="41" fillId="0" borderId="0" xfId="0" applyFont="1" applyAlignment="1">
      <alignment horizontal="center"/>
    </xf>
    <xf numFmtId="0" fontId="29" fillId="0" borderId="1" xfId="0" applyFont="1" applyBorder="1"/>
    <xf numFmtId="0" fontId="0" fillId="0" borderId="1" xfId="11" applyFont="1" applyBorder="1" applyAlignment="1">
      <alignment horizontal="center"/>
    </xf>
    <xf numFmtId="0" fontId="29" fillId="0" borderId="0" xfId="0" applyFont="1"/>
    <xf numFmtId="0" fontId="3" fillId="0" borderId="0" xfId="0" applyFont="1" applyAlignment="1">
      <alignment horizontal="left"/>
    </xf>
    <xf numFmtId="168" fontId="44" fillId="0" borderId="7" xfId="12" applyNumberFormat="1" applyFont="1" applyFill="1" applyBorder="1" applyProtection="1"/>
    <xf numFmtId="168" fontId="3" fillId="0" borderId="2" xfId="12" applyNumberFormat="1" applyFont="1" applyFill="1" applyBorder="1" applyAlignment="1" applyProtection="1">
      <alignment horizontal="center" wrapText="1"/>
    </xf>
    <xf numFmtId="37" fontId="23" fillId="0" borderId="2" xfId="4" applyNumberFormat="1" applyFont="1" applyFill="1" applyBorder="1" applyAlignment="1" applyProtection="1">
      <alignment wrapText="1"/>
    </xf>
    <xf numFmtId="37" fontId="43" fillId="0" borderId="2" xfId="4" applyNumberFormat="1" applyFont="1" applyFill="1" applyBorder="1" applyAlignment="1" applyProtection="1">
      <alignment horizontal="right"/>
    </xf>
    <xf numFmtId="0" fontId="25" fillId="0" borderId="0" xfId="6" applyFont="1" applyProtection="1"/>
    <xf numFmtId="0" fontId="27" fillId="0" borderId="0" xfId="6" applyFont="1" applyFill="1" applyProtection="1"/>
    <xf numFmtId="168" fontId="24" fillId="0" borderId="0" xfId="6" applyNumberFormat="1" applyFont="1" applyFill="1" applyProtection="1"/>
    <xf numFmtId="168" fontId="12" fillId="0" borderId="3" xfId="6" applyNumberFormat="1" applyFont="1" applyFill="1" applyBorder="1" applyProtection="1"/>
    <xf numFmtId="37" fontId="23" fillId="0" borderId="2" xfId="4" applyNumberFormat="1" applyFont="1" applyBorder="1" applyProtection="1"/>
    <xf numFmtId="49" fontId="23" fillId="0" borderId="0" xfId="6" applyNumberFormat="1" applyFont="1" applyFill="1" applyAlignment="1" applyProtection="1">
      <alignment horizontal="center" vertical="top"/>
    </xf>
    <xf numFmtId="49" fontId="9" fillId="0" borderId="0" xfId="6" applyNumberFormat="1" applyFont="1" applyFill="1" applyAlignment="1" applyProtection="1">
      <alignment horizontal="center" vertical="top"/>
    </xf>
    <xf numFmtId="0" fontId="15" fillId="0" borderId="2" xfId="6" applyFont="1" applyBorder="1" applyProtection="1"/>
    <xf numFmtId="168" fontId="3" fillId="0" borderId="0" xfId="6" applyNumberFormat="1" applyFont="1" applyFill="1" applyAlignment="1" applyProtection="1">
      <alignment horizontal="left" vertical="top"/>
    </xf>
    <xf numFmtId="168" fontId="3" fillId="0" borderId="0" xfId="6" applyNumberFormat="1" applyFont="1" applyFill="1" applyAlignment="1" applyProtection="1">
      <alignment vertical="top"/>
    </xf>
    <xf numFmtId="168" fontId="3" fillId="0" borderId="0" xfId="6" quotePrefix="1" applyNumberFormat="1" applyFont="1" applyFill="1" applyAlignment="1" applyProtection="1">
      <alignment horizontal="left" vertical="top"/>
    </xf>
    <xf numFmtId="0" fontId="3" fillId="0" borderId="8" xfId="12" applyNumberFormat="1" applyFont="1" applyFill="1" applyBorder="1" applyAlignment="1" applyProtection="1">
      <alignment horizontal="center" vertical="center" wrapText="1"/>
    </xf>
    <xf numFmtId="0" fontId="12" fillId="0" borderId="13" xfId="6" applyFont="1" applyFill="1" applyBorder="1" applyProtection="1"/>
    <xf numFmtId="0" fontId="12" fillId="0" borderId="10" xfId="6" applyFont="1" applyFill="1" applyBorder="1" applyProtection="1"/>
    <xf numFmtId="168" fontId="3" fillId="0" borderId="0" xfId="6" quotePrefix="1" applyNumberFormat="1" applyFont="1" applyFill="1" applyAlignment="1" applyProtection="1">
      <alignment vertical="top"/>
    </xf>
    <xf numFmtId="0" fontId="12" fillId="0" borderId="7" xfId="6" applyFont="1" applyFill="1" applyBorder="1" applyAlignment="1" applyProtection="1">
      <alignment horizontal="center" vertical="center"/>
    </xf>
    <xf numFmtId="0" fontId="3" fillId="0" borderId="3" xfId="6" applyFont="1" applyFill="1" applyBorder="1" applyProtection="1"/>
    <xf numFmtId="49" fontId="0" fillId="0" borderId="0" xfId="6" applyNumberFormat="1" applyFont="1" applyFill="1" applyProtection="1"/>
    <xf numFmtId="49" fontId="14" fillId="0" borderId="0" xfId="6" applyNumberFormat="1" applyFont="1" applyFill="1" applyProtection="1"/>
    <xf numFmtId="0" fontId="14" fillId="0" borderId="0" xfId="6" applyFont="1" applyFill="1" applyProtection="1"/>
    <xf numFmtId="0" fontId="20" fillId="0" borderId="0" xfId="6" applyFont="1" applyFill="1" applyProtection="1"/>
    <xf numFmtId="168" fontId="52" fillId="0" borderId="0" xfId="6" applyNumberFormat="1" applyFont="1" applyFill="1" applyProtection="1"/>
    <xf numFmtId="0" fontId="53" fillId="0" borderId="4" xfId="12" applyFont="1" applyFill="1" applyBorder="1" applyProtection="1"/>
    <xf numFmtId="0" fontId="53" fillId="0" borderId="8" xfId="12" applyFont="1" applyFill="1" applyBorder="1" applyProtection="1"/>
    <xf numFmtId="0" fontId="26" fillId="0" borderId="0" xfId="6" applyFont="1" applyFill="1" applyAlignment="1" applyProtection="1">
      <alignment horizontal="center"/>
    </xf>
    <xf numFmtId="0" fontId="48" fillId="0" borderId="0" xfId="6" applyFont="1" applyFill="1" applyProtection="1"/>
    <xf numFmtId="168" fontId="0" fillId="0" borderId="22" xfId="6" applyNumberFormat="1" applyFont="1" applyFill="1" applyBorder="1" applyAlignment="1" applyProtection="1">
      <alignment horizontal="center"/>
    </xf>
    <xf numFmtId="37" fontId="0" fillId="0" borderId="25" xfId="6" applyNumberFormat="1" applyFont="1" applyFill="1" applyBorder="1" applyAlignment="1" applyProtection="1">
      <alignment horizontal="center" vertical="center"/>
    </xf>
    <xf numFmtId="37" fontId="0" fillId="0" borderId="25" xfId="6" applyNumberFormat="1" applyFont="1" applyFill="1" applyBorder="1" applyAlignment="1" applyProtection="1">
      <alignment horizontal="center"/>
    </xf>
    <xf numFmtId="38" fontId="0" fillId="0" borderId="28" xfId="6" applyNumberFormat="1" applyFont="1" applyFill="1" applyBorder="1" applyAlignment="1" applyProtection="1">
      <alignment horizontal="center" vertical="center"/>
    </xf>
    <xf numFmtId="38" fontId="0" fillId="0" borderId="28" xfId="6" applyNumberFormat="1" applyFont="1" applyFill="1" applyBorder="1" applyAlignment="1" applyProtection="1">
      <alignment horizontal="center"/>
    </xf>
    <xf numFmtId="0" fontId="2" fillId="0" borderId="0" xfId="7"/>
    <xf numFmtId="0" fontId="47" fillId="0" borderId="0" xfId="0" applyFont="1" applyAlignment="1">
      <alignment vertical="center"/>
    </xf>
    <xf numFmtId="0" fontId="2" fillId="0" borderId="0" xfId="7" applyAlignment="1">
      <alignment horizontal="left" vertical="top"/>
    </xf>
    <xf numFmtId="0" fontId="2" fillId="0" borderId="0" xfId="7" applyAlignment="1">
      <alignment horizontal="left" vertical="top" wrapText="1"/>
    </xf>
    <xf numFmtId="40" fontId="2" fillId="0" borderId="0" xfId="7" applyNumberFormat="1" applyAlignment="1">
      <alignment horizontal="left" vertical="top"/>
    </xf>
    <xf numFmtId="0" fontId="31" fillId="0" borderId="0" xfId="7" applyFont="1" applyAlignment="1">
      <alignment horizontal="left" vertical="top"/>
    </xf>
    <xf numFmtId="49" fontId="34" fillId="0" borderId="0" xfId="7" applyNumberFormat="1" applyFont="1"/>
    <xf numFmtId="0" fontId="2" fillId="0" borderId="0" xfId="7" applyAlignment="1">
      <alignment horizontal="left" indent="1"/>
    </xf>
    <xf numFmtId="40" fontId="2" fillId="0" borderId="0" xfId="7" applyNumberFormat="1"/>
    <xf numFmtId="0" fontId="22" fillId="0" borderId="0" xfId="0" applyFont="1"/>
    <xf numFmtId="0" fontId="22" fillId="0" borderId="0" xfId="0" applyFont="1" applyAlignment="1">
      <alignment horizontal="right"/>
    </xf>
    <xf numFmtId="0" fontId="0" fillId="12" borderId="0" xfId="0" applyFill="1"/>
    <xf numFmtId="37" fontId="0" fillId="12" borderId="0" xfId="0" applyNumberFormat="1" applyFill="1"/>
    <xf numFmtId="0" fontId="0" fillId="12" borderId="0" xfId="0" applyFill="1" applyAlignment="1">
      <alignment horizontal="left"/>
    </xf>
    <xf numFmtId="0" fontId="0" fillId="2" borderId="0" xfId="0" applyFill="1"/>
    <xf numFmtId="37" fontId="22" fillId="2" borderId="0" xfId="0" applyNumberFormat="1" applyFont="1" applyFill="1"/>
    <xf numFmtId="37" fontId="0" fillId="2" borderId="0" xfId="0" applyNumberFormat="1" applyFill="1"/>
    <xf numFmtId="0" fontId="0" fillId="13" borderId="0" xfId="0" applyFill="1"/>
    <xf numFmtId="37" fontId="22" fillId="13" borderId="0" xfId="0" applyNumberFormat="1" applyFont="1" applyFill="1"/>
    <xf numFmtId="37" fontId="29" fillId="12" borderId="0" xfId="0" applyNumberFormat="1" applyFont="1" applyFill="1"/>
    <xf numFmtId="0" fontId="0" fillId="12" borderId="0" xfId="0" applyFill="1" applyAlignment="1">
      <alignment horizontal="right"/>
    </xf>
    <xf numFmtId="37" fontId="0" fillId="13" borderId="0" xfId="0" applyNumberFormat="1" applyFill="1"/>
    <xf numFmtId="0" fontId="0" fillId="14" borderId="0" xfId="0" applyFill="1"/>
    <xf numFmtId="37" fontId="0" fillId="14" borderId="0" xfId="0" applyNumberFormat="1" applyFill="1"/>
    <xf numFmtId="40" fontId="0" fillId="0" borderId="0" xfId="0" applyNumberFormat="1"/>
    <xf numFmtId="37" fontId="3" fillId="2" borderId="0" xfId="0" applyNumberFormat="1" applyFont="1" applyFill="1"/>
    <xf numFmtId="0" fontId="23" fillId="12" borderId="0" xfId="0" applyFont="1" applyFill="1"/>
    <xf numFmtId="37" fontId="23" fillId="12" borderId="0" xfId="0" applyNumberFormat="1" applyFont="1" applyFill="1"/>
    <xf numFmtId="0" fontId="23" fillId="12" borderId="0" xfId="0" applyFont="1" applyFill="1" applyAlignment="1">
      <alignment horizontal="left"/>
    </xf>
    <xf numFmtId="0" fontId="23" fillId="2" borderId="0" xfId="0" applyFont="1" applyFill="1"/>
    <xf numFmtId="0" fontId="31" fillId="0" borderId="2" xfId="7" applyFont="1" applyBorder="1" applyAlignment="1">
      <alignment horizontal="left"/>
    </xf>
    <xf numFmtId="0" fontId="31" fillId="0" borderId="0" xfId="7" applyFont="1"/>
    <xf numFmtId="0" fontId="30" fillId="0" borderId="2" xfId="7" applyFont="1" applyBorder="1"/>
    <xf numFmtId="49" fontId="31" fillId="0" borderId="2" xfId="7" applyNumberFormat="1" applyFont="1" applyBorder="1" applyAlignment="1">
      <alignment horizontal="left"/>
    </xf>
    <xf numFmtId="0" fontId="30" fillId="0" borderId="2" xfId="7" applyFont="1" applyBorder="1" applyAlignment="1">
      <alignment horizontal="center"/>
    </xf>
    <xf numFmtId="0" fontId="15" fillId="0" borderId="2" xfId="7" applyFont="1" applyBorder="1" applyAlignment="1">
      <alignment horizontal="center"/>
    </xf>
    <xf numFmtId="0" fontId="31" fillId="0" borderId="2" xfId="7" applyFont="1" applyBorder="1"/>
    <xf numFmtId="49" fontId="31" fillId="0" borderId="2" xfId="7" applyNumberFormat="1" applyFont="1" applyBorder="1"/>
    <xf numFmtId="0" fontId="31" fillId="0" borderId="2" xfId="7" applyFont="1" applyBorder="1" applyAlignment="1">
      <alignment horizontal="right"/>
    </xf>
    <xf numFmtId="0" fontId="31" fillId="0" borderId="2" xfId="7" applyFont="1" applyBorder="1" applyAlignment="1">
      <alignment wrapText="1"/>
    </xf>
    <xf numFmtId="0" fontId="10" fillId="0" borderId="2" xfId="7" applyFont="1" applyBorder="1"/>
    <xf numFmtId="0" fontId="43" fillId="0" borderId="0" xfId="10" applyFont="1" applyAlignment="1">
      <alignment horizontal="right"/>
    </xf>
    <xf numFmtId="168" fontId="23" fillId="0" borderId="0" xfId="10" applyNumberFormat="1" applyFont="1"/>
    <xf numFmtId="0" fontId="23" fillId="0" borderId="0" xfId="10" applyFont="1" applyAlignment="1">
      <alignment horizontal="center"/>
    </xf>
    <xf numFmtId="0" fontId="23" fillId="0" borderId="0" xfId="8" applyFont="1"/>
    <xf numFmtId="37" fontId="23" fillId="0" borderId="0" xfId="8" applyNumberFormat="1" applyFont="1"/>
    <xf numFmtId="37" fontId="23" fillId="0" borderId="0" xfId="8" applyNumberFormat="1" applyFont="1" applyAlignment="1">
      <alignment horizontal="left"/>
    </xf>
    <xf numFmtId="37" fontId="43" fillId="0" borderId="0" xfId="8" applyNumberFormat="1" applyFont="1" applyAlignment="1">
      <alignment horizontal="left"/>
    </xf>
    <xf numFmtId="0" fontId="43" fillId="11" borderId="2" xfId="0" applyFont="1" applyFill="1" applyBorder="1" applyAlignment="1">
      <alignment horizontal="center" wrapText="1"/>
    </xf>
    <xf numFmtId="0" fontId="35" fillId="0" borderId="0" xfId="0" applyFont="1"/>
    <xf numFmtId="0" fontId="43" fillId="0" borderId="0" xfId="0" applyFont="1" applyAlignment="1">
      <alignment horizontal="left" vertical="top"/>
    </xf>
    <xf numFmtId="0" fontId="43" fillId="0" borderId="0" xfId="0" applyFont="1" applyAlignment="1">
      <alignment wrapText="1"/>
    </xf>
    <xf numFmtId="0" fontId="3" fillId="0" borderId="0" xfId="0" quotePrefix="1" applyFont="1" applyAlignment="1">
      <alignment horizontal="left"/>
    </xf>
    <xf numFmtId="0" fontId="18" fillId="0" borderId="0" xfId="0" applyFont="1"/>
    <xf numFmtId="0" fontId="43" fillId="0" borderId="0" xfId="0" applyFont="1" applyAlignment="1">
      <alignment vertical="center" wrapText="1"/>
    </xf>
    <xf numFmtId="0" fontId="43" fillId="0" borderId="0" xfId="0" applyFont="1" applyAlignment="1">
      <alignment horizontal="center" vertical="center" wrapText="1"/>
    </xf>
    <xf numFmtId="0" fontId="43" fillId="0" borderId="0" xfId="0" applyFont="1" applyAlignment="1">
      <alignment horizontal="center" wrapText="1"/>
    </xf>
    <xf numFmtId="0" fontId="0" fillId="0" borderId="2" xfId="0" applyBorder="1" applyAlignment="1">
      <alignment horizontal="center" vertical="center"/>
    </xf>
    <xf numFmtId="49" fontId="0" fillId="0" borderId="2" xfId="0" applyNumberFormat="1" applyBorder="1" applyAlignment="1">
      <alignment horizontal="center" vertical="center" wrapText="1"/>
    </xf>
    <xf numFmtId="0" fontId="23" fillId="0" borderId="0" xfId="0" applyFont="1" applyAlignment="1">
      <alignment vertical="top" wrapText="1"/>
    </xf>
    <xf numFmtId="16" fontId="23" fillId="0" borderId="0" xfId="0" quotePrefix="1" applyNumberFormat="1" applyFont="1" applyAlignment="1">
      <alignment horizontal="right" vertical="top" wrapText="1"/>
    </xf>
    <xf numFmtId="0" fontId="0" fillId="0" borderId="0" xfId="0" applyAlignment="1">
      <alignment horizontal="right"/>
    </xf>
    <xf numFmtId="0" fontId="0" fillId="0" borderId="0" xfId="0" applyAlignment="1">
      <alignment horizontal="center" vertical="center"/>
    </xf>
    <xf numFmtId="0" fontId="0" fillId="0" borderId="0" xfId="0" applyAlignment="1">
      <alignment horizontal="center" wrapText="1"/>
    </xf>
    <xf numFmtId="0" fontId="0" fillId="0" borderId="0" xfId="0" applyAlignment="1">
      <alignment vertical="top" wrapText="1"/>
    </xf>
    <xf numFmtId="0" fontId="0" fillId="0" borderId="0" xfId="0" applyAlignment="1">
      <alignment horizontal="right" vertical="top"/>
    </xf>
    <xf numFmtId="0" fontId="3" fillId="0" borderId="2" xfId="0" applyFont="1" applyBorder="1" applyAlignment="1">
      <alignment horizontal="left" wrapText="1"/>
    </xf>
    <xf numFmtId="0" fontId="0" fillId="0" borderId="2" xfId="0" applyBorder="1" applyAlignment="1">
      <alignment vertical="top" wrapText="1"/>
    </xf>
    <xf numFmtId="0" fontId="3" fillId="0" borderId="2" xfId="0" applyFont="1" applyBorder="1" applyAlignment="1">
      <alignment horizontal="left" vertical="top" wrapText="1"/>
    </xf>
    <xf numFmtId="0" fontId="0" fillId="0" borderId="0" xfId="0" applyAlignment="1">
      <alignment horizontal="left" vertical="top"/>
    </xf>
    <xf numFmtId="0" fontId="0" fillId="0" borderId="0" xfId="0" applyAlignment="1">
      <alignment vertical="top"/>
    </xf>
    <xf numFmtId="0" fontId="0" fillId="0" borderId="0" xfId="0" quotePrefix="1" applyAlignment="1">
      <alignment horizontal="center"/>
    </xf>
    <xf numFmtId="168" fontId="0" fillId="0" borderId="22" xfId="13" applyNumberFormat="1" applyFont="1" applyBorder="1"/>
    <xf numFmtId="37" fontId="39" fillId="0" borderId="23" xfId="13" applyNumberFormat="1" applyFont="1" applyBorder="1" applyAlignment="1">
      <alignment horizontal="center"/>
    </xf>
    <xf numFmtId="37" fontId="39" fillId="0" borderId="10" xfId="13" applyNumberFormat="1" applyFont="1" applyBorder="1" applyAlignment="1">
      <alignment horizontal="center"/>
    </xf>
    <xf numFmtId="38" fontId="39" fillId="0" borderId="26" xfId="13" applyNumberFormat="1" applyFont="1" applyBorder="1" applyAlignment="1">
      <alignment horizontal="center"/>
    </xf>
    <xf numFmtId="37" fontId="39" fillId="0" borderId="15" xfId="13" applyNumberFormat="1" applyFont="1" applyBorder="1" applyAlignment="1">
      <alignment horizontal="center"/>
    </xf>
    <xf numFmtId="38" fontId="39" fillId="0" borderId="29" xfId="13" applyNumberFormat="1" applyFont="1" applyBorder="1" applyAlignment="1">
      <alignment horizontal="center"/>
    </xf>
    <xf numFmtId="37" fontId="39" fillId="0" borderId="5" xfId="13" applyNumberFormat="1" applyFont="1" applyBorder="1" applyAlignment="1">
      <alignment horizontal="center"/>
    </xf>
    <xf numFmtId="37" fontId="39" fillId="0" borderId="24" xfId="13" applyNumberFormat="1" applyFont="1" applyBorder="1"/>
    <xf numFmtId="37" fontId="39" fillId="0" borderId="31" xfId="13" applyNumberFormat="1" applyFont="1" applyBorder="1"/>
    <xf numFmtId="37" fontId="39" fillId="0" borderId="2" xfId="13" applyNumberFormat="1" applyFont="1" applyBorder="1" applyAlignment="1">
      <alignment horizontal="left"/>
    </xf>
    <xf numFmtId="37" fontId="39" fillId="0" borderId="17" xfId="13" applyNumberFormat="1" applyFont="1" applyBorder="1"/>
    <xf numFmtId="37" fontId="39" fillId="0" borderId="9" xfId="13" applyNumberFormat="1" applyFont="1" applyBorder="1" applyAlignment="1">
      <alignment horizontal="left"/>
    </xf>
    <xf numFmtId="37" fontId="39" fillId="0" borderId="2" xfId="13" applyNumberFormat="1" applyFont="1" applyBorder="1"/>
    <xf numFmtId="37" fontId="39" fillId="0" borderId="4" xfId="13" applyNumberFormat="1" applyFont="1" applyBorder="1" applyAlignment="1">
      <alignment horizontal="right"/>
    </xf>
    <xf numFmtId="37" fontId="39" fillId="0" borderId="9" xfId="13" applyNumberFormat="1" applyFont="1" applyBorder="1" applyAlignment="1">
      <alignment horizontal="right"/>
    </xf>
    <xf numFmtId="37" fontId="39" fillId="0" borderId="8" xfId="13" applyNumberFormat="1" applyFont="1" applyBorder="1"/>
    <xf numFmtId="37" fontId="39" fillId="0" borderId="9" xfId="13" applyNumberFormat="1" applyFont="1" applyBorder="1"/>
    <xf numFmtId="0" fontId="0" fillId="0" borderId="0" xfId="0" applyAlignment="1">
      <alignment horizontal="centerContinuous"/>
    </xf>
    <xf numFmtId="49" fontId="0" fillId="0" borderId="0" xfId="0" applyNumberFormat="1" applyAlignment="1">
      <alignment horizontal="right"/>
    </xf>
    <xf numFmtId="49" fontId="0" fillId="0" borderId="0" xfId="0" applyNumberFormat="1" applyAlignment="1">
      <alignment horizontal="left"/>
    </xf>
    <xf numFmtId="37" fontId="0" fillId="0" borderId="0" xfId="0" applyNumberFormat="1"/>
    <xf numFmtId="37" fontId="0" fillId="0" borderId="21" xfId="0" applyNumberFormat="1" applyBorder="1"/>
    <xf numFmtId="165" fontId="0" fillId="0" borderId="0" xfId="0" applyNumberFormat="1"/>
    <xf numFmtId="165" fontId="0" fillId="0" borderId="1" xfId="0" applyNumberFormat="1" applyBorder="1"/>
    <xf numFmtId="37" fontId="0" fillId="5" borderId="0" xfId="0" applyNumberFormat="1" applyFill="1"/>
    <xf numFmtId="0" fontId="0" fillId="0" borderId="10" xfId="0" applyBorder="1"/>
    <xf numFmtId="168" fontId="0" fillId="5" borderId="0" xfId="0" applyNumberFormat="1" applyFill="1"/>
    <xf numFmtId="3" fontId="0" fillId="0" borderId="5" xfId="0" applyNumberFormat="1" applyBorder="1"/>
    <xf numFmtId="3" fontId="0" fillId="0" borderId="10" xfId="0" applyNumberFormat="1" applyBorder="1"/>
    <xf numFmtId="39" fontId="0" fillId="0" borderId="0" xfId="0" applyNumberFormat="1"/>
    <xf numFmtId="37" fontId="0" fillId="0" borderId="1" xfId="0" applyNumberFormat="1" applyBorder="1"/>
    <xf numFmtId="3" fontId="0" fillId="0" borderId="2" xfId="0" applyNumberFormat="1" applyBorder="1"/>
    <xf numFmtId="49" fontId="0" fillId="0" borderId="0" xfId="0" applyNumberFormat="1" applyAlignment="1">
      <alignment horizontal="center"/>
    </xf>
    <xf numFmtId="168" fontId="0" fillId="5" borderId="12" xfId="0" applyNumberFormat="1" applyFill="1" applyBorder="1"/>
    <xf numFmtId="168" fontId="0" fillId="5" borderId="7" xfId="0" applyNumberFormat="1" applyFill="1" applyBorder="1"/>
    <xf numFmtId="0" fontId="0" fillId="0" borderId="7" xfId="0" applyBorder="1"/>
    <xf numFmtId="37" fontId="0" fillId="5" borderId="4" xfId="0" applyNumberFormat="1" applyFill="1" applyBorder="1"/>
    <xf numFmtId="0" fontId="0" fillId="0" borderId="13" xfId="0" applyBorder="1"/>
    <xf numFmtId="49" fontId="0" fillId="0" borderId="2" xfId="0" applyNumberFormat="1" applyBorder="1" applyAlignment="1">
      <alignment horizontal="center"/>
    </xf>
    <xf numFmtId="49" fontId="0" fillId="0" borderId="8" xfId="0" applyNumberFormat="1" applyBorder="1" applyAlignment="1">
      <alignment horizontal="center"/>
    </xf>
    <xf numFmtId="2" fontId="0" fillId="0" borderId="0" xfId="0" applyNumberFormat="1" applyAlignment="1">
      <alignment horizontal="center"/>
    </xf>
    <xf numFmtId="168" fontId="0" fillId="5" borderId="3" xfId="0" applyNumberFormat="1" applyFill="1" applyBorder="1"/>
    <xf numFmtId="0" fontId="0" fillId="0" borderId="14" xfId="0" applyBorder="1"/>
    <xf numFmtId="4" fontId="0" fillId="0" borderId="2" xfId="0" applyNumberFormat="1" applyBorder="1" applyAlignment="1">
      <alignment horizontal="center"/>
    </xf>
    <xf numFmtId="0" fontId="0" fillId="6" borderId="2" xfId="0" applyFill="1" applyBorder="1"/>
    <xf numFmtId="4" fontId="0" fillId="0" borderId="0" xfId="0" applyNumberFormat="1" applyAlignment="1">
      <alignment horizontal="center"/>
    </xf>
    <xf numFmtId="37" fontId="0" fillId="5" borderId="7" xfId="0" applyNumberFormat="1" applyFill="1" applyBorder="1"/>
    <xf numFmtId="49" fontId="0" fillId="5" borderId="0" xfId="0" applyNumberFormat="1" applyFill="1" applyAlignment="1">
      <alignment wrapText="1"/>
    </xf>
    <xf numFmtId="37" fontId="0" fillId="5" borderId="19" xfId="0" applyNumberFormat="1" applyFill="1" applyBorder="1"/>
    <xf numFmtId="0" fontId="0" fillId="0" borderId="17" xfId="0" applyBorder="1"/>
    <xf numFmtId="3" fontId="0" fillId="0" borderId="1" xfId="0" applyNumberFormat="1" applyBorder="1"/>
    <xf numFmtId="38" fontId="0" fillId="0" borderId="0" xfId="0" applyNumberFormat="1"/>
    <xf numFmtId="3" fontId="0" fillId="0" borderId="0" xfId="0" applyNumberFormat="1"/>
    <xf numFmtId="168" fontId="27" fillId="0" borderId="0" xfId="10" applyNumberFormat="1" applyFont="1"/>
    <xf numFmtId="0" fontId="43" fillId="0" borderId="0" xfId="10" applyFont="1" applyAlignment="1">
      <alignment horizontal="left"/>
    </xf>
    <xf numFmtId="168" fontId="23" fillId="0" borderId="10" xfId="10" applyNumberFormat="1" applyFont="1" applyBorder="1" applyAlignment="1">
      <alignment horizontal="center"/>
    </xf>
    <xf numFmtId="2" fontId="23" fillId="0" borderId="10" xfId="10" applyNumberFormat="1" applyFont="1" applyBorder="1" applyAlignment="1">
      <alignment horizontal="center"/>
    </xf>
    <xf numFmtId="49" fontId="3" fillId="0" borderId="10" xfId="10" applyNumberFormat="1" applyFont="1" applyBorder="1" applyAlignment="1">
      <alignment horizontal="center" wrapText="1"/>
    </xf>
    <xf numFmtId="168" fontId="23" fillId="0" borderId="15" xfId="10" applyNumberFormat="1" applyFont="1" applyBorder="1" applyAlignment="1">
      <alignment horizontal="center"/>
    </xf>
    <xf numFmtId="2" fontId="23" fillId="0" borderId="15" xfId="10" applyNumberFormat="1" applyFont="1" applyBorder="1" applyAlignment="1">
      <alignment horizontal="center"/>
    </xf>
    <xf numFmtId="49" fontId="23" fillId="0" borderId="15" xfId="10" applyNumberFormat="1" applyFont="1" applyBorder="1" applyAlignment="1">
      <alignment horizontal="center" wrapText="1"/>
    </xf>
    <xf numFmtId="49" fontId="3" fillId="0" borderId="15" xfId="10" applyNumberFormat="1" applyFont="1" applyBorder="1" applyAlignment="1">
      <alignment horizontal="center" wrapText="1"/>
    </xf>
    <xf numFmtId="1" fontId="23" fillId="0" borderId="15" xfId="10" applyNumberFormat="1" applyFont="1" applyBorder="1" applyAlignment="1">
      <alignment horizontal="center"/>
    </xf>
    <xf numFmtId="1" fontId="23" fillId="0" borderId="5" xfId="10" applyNumberFormat="1" applyFont="1" applyBorder="1" applyAlignment="1">
      <alignment horizontal="center"/>
    </xf>
    <xf numFmtId="37" fontId="23" fillId="0" borderId="2" xfId="10" applyNumberFormat="1" applyFont="1" applyBorder="1" applyAlignment="1">
      <alignment horizontal="right" vertical="center"/>
    </xf>
    <xf numFmtId="168" fontId="23" fillId="0" borderId="3" xfId="10" applyNumberFormat="1" applyFont="1" applyBorder="1" applyAlignment="1">
      <alignment horizontal="left"/>
    </xf>
    <xf numFmtId="168" fontId="23" fillId="0" borderId="0" xfId="10" applyNumberFormat="1" applyFont="1" applyAlignment="1">
      <alignment horizontal="left"/>
    </xf>
    <xf numFmtId="168" fontId="23" fillId="0" borderId="16" xfId="10" applyNumberFormat="1" applyFont="1" applyBorder="1" applyAlignment="1">
      <alignment horizontal="left"/>
    </xf>
    <xf numFmtId="168" fontId="23" fillId="0" borderId="1" xfId="10" applyNumberFormat="1" applyFont="1" applyBorder="1" applyAlignment="1">
      <alignment horizontal="left"/>
    </xf>
    <xf numFmtId="168" fontId="23" fillId="0" borderId="8" xfId="10" applyNumberFormat="1" applyFont="1" applyBorder="1"/>
    <xf numFmtId="168" fontId="23" fillId="0" borderId="9" xfId="10" applyNumberFormat="1" applyFont="1" applyBorder="1"/>
    <xf numFmtId="168" fontId="23" fillId="0" borderId="4" xfId="10" applyNumberFormat="1" applyFont="1" applyBorder="1"/>
    <xf numFmtId="168" fontId="23" fillId="0" borderId="13" xfId="10" applyNumberFormat="1" applyFont="1" applyBorder="1"/>
    <xf numFmtId="37" fontId="23" fillId="0" borderId="8" xfId="4" applyNumberFormat="1" applyFont="1" applyFill="1" applyBorder="1" applyProtection="1"/>
    <xf numFmtId="38" fontId="23" fillId="0" borderId="0" xfId="10" applyNumberFormat="1" applyFont="1" applyAlignment="1">
      <alignment horizontal="right" vertical="center"/>
    </xf>
    <xf numFmtId="37" fontId="23" fillId="0" borderId="2" xfId="10" applyNumberFormat="1" applyFont="1" applyBorder="1" applyAlignment="1">
      <alignment horizontal="right"/>
    </xf>
    <xf numFmtId="168" fontId="23" fillId="0" borderId="0" xfId="10" applyNumberFormat="1" applyFont="1" applyAlignment="1">
      <alignment wrapText="1"/>
    </xf>
    <xf numFmtId="168" fontId="37" fillId="0" borderId="0" xfId="10" applyNumberFormat="1" applyFont="1" applyAlignment="1">
      <alignment wrapText="1"/>
    </xf>
    <xf numFmtId="171" fontId="23" fillId="0" borderId="2" xfId="4" applyNumberFormat="1" applyFont="1" applyBorder="1" applyProtection="1"/>
    <xf numFmtId="168" fontId="23" fillId="0" borderId="0" xfId="10" applyNumberFormat="1" applyFont="1" applyAlignment="1">
      <alignment horizontal="right"/>
    </xf>
    <xf numFmtId="0" fontId="27" fillId="0" borderId="0" xfId="10" applyFont="1" applyAlignment="1">
      <alignment vertical="top"/>
    </xf>
    <xf numFmtId="49" fontId="0" fillId="0" borderId="1" xfId="0" applyNumberFormat="1" applyBorder="1"/>
    <xf numFmtId="168" fontId="3" fillId="5" borderId="0" xfId="0" applyNumberFormat="1" applyFont="1" applyFill="1"/>
    <xf numFmtId="168" fontId="26" fillId="0" borderId="0" xfId="0" applyNumberFormat="1" applyFont="1" applyAlignment="1">
      <alignment horizontal="center"/>
    </xf>
    <xf numFmtId="168" fontId="0" fillId="0" borderId="0" xfId="0" applyNumberFormat="1"/>
    <xf numFmtId="168" fontId="27" fillId="5" borderId="0" xfId="0" applyNumberFormat="1" applyFont="1" applyFill="1"/>
    <xf numFmtId="168" fontId="0" fillId="0" borderId="10" xfId="0" applyNumberFormat="1" applyBorder="1" applyAlignment="1">
      <alignment horizontal="center"/>
    </xf>
    <xf numFmtId="2" fontId="0" fillId="0" borderId="10" xfId="0" applyNumberFormat="1" applyBorder="1" applyAlignment="1">
      <alignment horizontal="center"/>
    </xf>
    <xf numFmtId="49" fontId="0" fillId="0" borderId="10" xfId="0" applyNumberFormat="1" applyBorder="1" applyAlignment="1">
      <alignment horizontal="center" wrapText="1"/>
    </xf>
    <xf numFmtId="1" fontId="0" fillId="0" borderId="3" xfId="0" applyNumberFormat="1" applyBorder="1" applyAlignment="1">
      <alignment wrapText="1"/>
    </xf>
    <xf numFmtId="168" fontId="0" fillId="0" borderId="15" xfId="0" applyNumberFormat="1" applyBorder="1" applyAlignment="1">
      <alignment horizontal="center"/>
    </xf>
    <xf numFmtId="2" fontId="0" fillId="0" borderId="15" xfId="0" applyNumberFormat="1" applyBorder="1" applyAlignment="1">
      <alignment horizontal="center"/>
    </xf>
    <xf numFmtId="49" fontId="0" fillId="0" borderId="15" xfId="0" applyNumberFormat="1" applyBorder="1" applyAlignment="1">
      <alignment horizontal="center" wrapText="1"/>
    </xf>
    <xf numFmtId="1" fontId="27" fillId="0" borderId="3" xfId="0" applyNumberFormat="1" applyFont="1" applyBorder="1" applyAlignment="1">
      <alignment wrapText="1"/>
    </xf>
    <xf numFmtId="1" fontId="0" fillId="0" borderId="15" xfId="0" applyNumberFormat="1" applyBorder="1" applyAlignment="1">
      <alignment horizontal="center"/>
    </xf>
    <xf numFmtId="1" fontId="0" fillId="0" borderId="15" xfId="0" applyNumberFormat="1" applyBorder="1" applyAlignment="1">
      <alignment horizontal="center" wrapText="1"/>
    </xf>
    <xf numFmtId="168" fontId="0" fillId="5" borderId="0" xfId="0" quotePrefix="1" applyNumberFormat="1" applyFill="1" applyAlignment="1">
      <alignment horizontal="right"/>
    </xf>
    <xf numFmtId="168" fontId="0" fillId="5" borderId="0" xfId="0" quotePrefix="1" applyNumberFormat="1" applyFill="1" applyAlignment="1">
      <alignment horizontal="left"/>
    </xf>
    <xf numFmtId="168" fontId="35" fillId="0" borderId="0" xfId="0" applyNumberFormat="1" applyFont="1"/>
    <xf numFmtId="168" fontId="0" fillId="5" borderId="3" xfId="0" quotePrefix="1" applyNumberFormat="1" applyFill="1" applyBorder="1" applyAlignment="1">
      <alignment horizontal="left"/>
    </xf>
    <xf numFmtId="1" fontId="0" fillId="5" borderId="0" xfId="0" applyNumberFormat="1" applyFill="1" applyAlignment="1">
      <alignment horizontal="left"/>
    </xf>
    <xf numFmtId="49" fontId="0" fillId="5" borderId="0" xfId="0" quotePrefix="1" applyNumberFormat="1" applyFill="1" applyAlignment="1">
      <alignment horizontal="right"/>
    </xf>
    <xf numFmtId="49" fontId="0" fillId="5" borderId="3" xfId="0" quotePrefix="1" applyNumberFormat="1" applyFill="1" applyBorder="1" applyAlignment="1">
      <alignment horizontal="left"/>
    </xf>
    <xf numFmtId="166" fontId="0" fillId="5" borderId="0" xfId="0" applyNumberFormat="1" applyFill="1" applyAlignment="1">
      <alignment horizontal="left"/>
    </xf>
    <xf numFmtId="168" fontId="0" fillId="0" borderId="0" xfId="0" applyNumberFormat="1" applyAlignment="1">
      <alignment horizontal="left"/>
    </xf>
    <xf numFmtId="37" fontId="41" fillId="4" borderId="10" xfId="0" applyNumberFormat="1" applyFont="1" applyFill="1" applyBorder="1"/>
    <xf numFmtId="49" fontId="0" fillId="5" borderId="0" xfId="0" quotePrefix="1" applyNumberFormat="1" applyFill="1" applyAlignment="1">
      <alignment horizontal="left"/>
    </xf>
    <xf numFmtId="37" fontId="41" fillId="0" borderId="2" xfId="0" applyNumberFormat="1" applyFont="1" applyBorder="1"/>
    <xf numFmtId="1" fontId="0" fillId="5" borderId="0" xfId="0" applyNumberFormat="1" applyFill="1"/>
    <xf numFmtId="1" fontId="0" fillId="0" borderId="0" xfId="0" applyNumberFormat="1"/>
    <xf numFmtId="168" fontId="27" fillId="0" borderId="0" xfId="0" applyNumberFormat="1" applyFont="1" applyAlignment="1">
      <alignment horizontal="left"/>
    </xf>
    <xf numFmtId="168" fontId="14" fillId="5" borderId="0" xfId="0" applyNumberFormat="1" applyFont="1" applyFill="1"/>
    <xf numFmtId="168" fontId="0" fillId="5" borderId="10" xfId="0" applyNumberFormat="1" applyFill="1" applyBorder="1" applyAlignment="1">
      <alignment horizontal="center"/>
    </xf>
    <xf numFmtId="168" fontId="28" fillId="5" borderId="0" xfId="0" applyNumberFormat="1" applyFont="1" applyFill="1"/>
    <xf numFmtId="49" fontId="14" fillId="5" borderId="0" xfId="0" applyNumberFormat="1" applyFont="1" applyFill="1" applyAlignment="1">
      <alignment horizontal="right"/>
    </xf>
    <xf numFmtId="168" fontId="0" fillId="5" borderId="15" xfId="0" applyNumberFormat="1" applyFill="1" applyBorder="1" applyAlignment="1">
      <alignment horizontal="center"/>
    </xf>
    <xf numFmtId="49" fontId="0" fillId="5" borderId="0" xfId="0" applyNumberFormat="1" applyFill="1" applyAlignment="1">
      <alignment horizontal="right"/>
    </xf>
    <xf numFmtId="168" fontId="0" fillId="5" borderId="5" xfId="0" applyNumberFormat="1" applyFill="1" applyBorder="1" applyAlignment="1">
      <alignment horizontal="center"/>
    </xf>
    <xf numFmtId="168" fontId="0" fillId="5" borderId="14" xfId="0" quotePrefix="1" applyNumberFormat="1" applyFill="1" applyBorder="1" applyAlignment="1">
      <alignment horizontal="right"/>
    </xf>
    <xf numFmtId="49" fontId="0" fillId="5" borderId="0" xfId="0" applyNumberFormat="1" applyFill="1" applyAlignment="1">
      <alignment horizontal="left"/>
    </xf>
    <xf numFmtId="168" fontId="0" fillId="0" borderId="2" xfId="0" applyNumberFormat="1" applyBorder="1" applyAlignment="1">
      <alignment horizontal="center"/>
    </xf>
    <xf numFmtId="0" fontId="0" fillId="0" borderId="0" xfId="0" quotePrefix="1"/>
    <xf numFmtId="0" fontId="27" fillId="0" borderId="0" xfId="0" quotePrefix="1" applyFont="1" applyAlignment="1">
      <alignment horizontal="right"/>
    </xf>
    <xf numFmtId="1" fontId="0" fillId="5" borderId="0" xfId="0" applyNumberFormat="1" applyFill="1" applyAlignment="1">
      <alignment horizontal="center"/>
    </xf>
    <xf numFmtId="38" fontId="0" fillId="0" borderId="0" xfId="0" applyNumberFormat="1" applyAlignment="1">
      <alignment horizontal="center"/>
    </xf>
    <xf numFmtId="168" fontId="0" fillId="0" borderId="1" xfId="0" applyNumberFormat="1" applyBorder="1" applyAlignment="1">
      <alignment horizontal="center"/>
    </xf>
    <xf numFmtId="168" fontId="14" fillId="0" borderId="0" xfId="0" applyNumberFormat="1" applyFont="1"/>
    <xf numFmtId="168" fontId="0" fillId="0" borderId="5" xfId="0" applyNumberFormat="1" applyBorder="1" applyAlignment="1">
      <alignment horizontal="center"/>
    </xf>
    <xf numFmtId="168" fontId="27" fillId="5" borderId="0" xfId="0" quotePrefix="1" applyNumberFormat="1" applyFont="1" applyFill="1" applyAlignment="1">
      <alignment horizontal="right"/>
    </xf>
    <xf numFmtId="49" fontId="23" fillId="5" borderId="0" xfId="0" applyNumberFormat="1" applyFont="1" applyFill="1" applyAlignment="1">
      <alignment horizontal="left"/>
    </xf>
    <xf numFmtId="168" fontId="28" fillId="0" borderId="0" xfId="0" applyNumberFormat="1" applyFont="1" applyAlignment="1">
      <alignment vertical="top" wrapText="1"/>
    </xf>
    <xf numFmtId="0" fontId="0" fillId="5" borderId="0" xfId="0" applyFill="1"/>
    <xf numFmtId="168" fontId="0" fillId="4" borderId="0" xfId="0" applyNumberFormat="1" applyFill="1"/>
    <xf numFmtId="168" fontId="0" fillId="5" borderId="0" xfId="0" quotePrefix="1" applyNumberFormat="1" applyFill="1"/>
    <xf numFmtId="168" fontId="0" fillId="5" borderId="0" xfId="0" applyNumberFormat="1" applyFill="1" applyAlignment="1">
      <alignment horizontal="right"/>
    </xf>
    <xf numFmtId="38" fontId="0" fillId="0" borderId="2" xfId="0" applyNumberFormat="1" applyBorder="1"/>
    <xf numFmtId="0" fontId="0" fillId="0" borderId="12" xfId="0" applyBorder="1" applyAlignment="1">
      <alignment horizontal="center"/>
    </xf>
    <xf numFmtId="0" fontId="0" fillId="0" borderId="13" xfId="0" applyBorder="1" applyAlignment="1">
      <alignment horizontal="center"/>
    </xf>
    <xf numFmtId="0" fontId="0" fillId="0" borderId="15" xfId="0" applyBorder="1" applyAlignment="1">
      <alignment horizontal="center"/>
    </xf>
    <xf numFmtId="0" fontId="0" fillId="0" borderId="14" xfId="0" applyBorder="1" applyAlignment="1">
      <alignment horizontal="center"/>
    </xf>
    <xf numFmtId="0" fontId="0" fillId="0" borderId="5" xfId="0" applyBorder="1" applyAlignment="1">
      <alignment horizontal="center"/>
    </xf>
    <xf numFmtId="37" fontId="41" fillId="7" borderId="2" xfId="0" applyNumberFormat="1" applyFont="1" applyFill="1" applyBorder="1"/>
    <xf numFmtId="37" fontId="41" fillId="0" borderId="11" xfId="0" applyNumberFormat="1" applyFont="1" applyBorder="1"/>
    <xf numFmtId="37" fontId="41" fillId="4" borderId="11" xfId="0" applyNumberFormat="1" applyFont="1" applyFill="1" applyBorder="1"/>
    <xf numFmtId="37" fontId="41" fillId="4" borderId="18" xfId="0" applyNumberFormat="1" applyFont="1" applyFill="1" applyBorder="1"/>
    <xf numFmtId="37" fontId="0" fillId="7" borderId="2" xfId="0" applyNumberFormat="1" applyFill="1" applyBorder="1"/>
    <xf numFmtId="37" fontId="0" fillId="6" borderId="2" xfId="0" applyNumberFormat="1" applyFill="1" applyBorder="1"/>
    <xf numFmtId="37" fontId="0" fillId="8" borderId="2" xfId="0" applyNumberFormat="1" applyFill="1" applyBorder="1"/>
    <xf numFmtId="37" fontId="0" fillId="6" borderId="10" xfId="0" applyNumberFormat="1" applyFill="1" applyBorder="1"/>
    <xf numFmtId="49" fontId="0" fillId="0" borderId="0" xfId="0" quotePrefix="1" applyNumberFormat="1" applyAlignment="1">
      <alignment horizontal="right"/>
    </xf>
    <xf numFmtId="37" fontId="0" fillId="6" borderId="11" xfId="0" applyNumberFormat="1" applyFill="1" applyBorder="1"/>
    <xf numFmtId="37" fontId="0" fillId="6" borderId="18" xfId="0" applyNumberFormat="1" applyFill="1" applyBorder="1"/>
    <xf numFmtId="49" fontId="27" fillId="0" borderId="0" xfId="0" applyNumberFormat="1" applyFont="1" applyAlignment="1">
      <alignment horizontal="right"/>
    </xf>
    <xf numFmtId="49" fontId="27" fillId="0" borderId="0" xfId="0" applyNumberFormat="1" applyFont="1"/>
    <xf numFmtId="37" fontId="41" fillId="4" borderId="21" xfId="0" applyNumberFormat="1" applyFont="1" applyFill="1" applyBorder="1"/>
    <xf numFmtId="49" fontId="0" fillId="0" borderId="1" xfId="0" applyNumberFormat="1" applyBorder="1" applyAlignment="1">
      <alignment horizontal="centerContinuous"/>
    </xf>
    <xf numFmtId="37" fontId="0" fillId="0" borderId="4" xfId="0" applyNumberFormat="1" applyBorder="1"/>
    <xf numFmtId="37" fontId="0" fillId="0" borderId="20" xfId="0" applyNumberFormat="1" applyBorder="1"/>
    <xf numFmtId="37" fontId="0" fillId="0" borderId="18" xfId="0" applyNumberFormat="1" applyBorder="1"/>
    <xf numFmtId="0" fontId="0" fillId="4" borderId="0" xfId="0" applyFill="1"/>
    <xf numFmtId="37" fontId="0" fillId="4" borderId="0" xfId="0" applyNumberFormat="1" applyFill="1" applyAlignment="1">
      <alignment horizontal="right"/>
    </xf>
    <xf numFmtId="37" fontId="0" fillId="4" borderId="0" xfId="0" applyNumberFormat="1" applyFill="1" applyAlignment="1">
      <alignment horizontal="right" vertical="center"/>
    </xf>
    <xf numFmtId="0" fontId="0" fillId="15" borderId="0" xfId="0" applyFill="1" applyAlignment="1">
      <alignment wrapText="1"/>
    </xf>
    <xf numFmtId="49" fontId="0" fillId="15" borderId="0" xfId="0" applyNumberFormat="1" applyFill="1" applyAlignment="1">
      <alignment horizontal="right" vertical="top"/>
    </xf>
    <xf numFmtId="49" fontId="0" fillId="0" borderId="0" xfId="0" applyNumberFormat="1" applyAlignment="1">
      <alignment horizontal="left" vertical="top"/>
    </xf>
    <xf numFmtId="37" fontId="41" fillId="0" borderId="2" xfId="0" applyNumberFormat="1" applyFont="1" applyBorder="1" applyAlignment="1">
      <alignment vertical="center"/>
    </xf>
    <xf numFmtId="0" fontId="3" fillId="0" borderId="0" xfId="0" applyFont="1" applyAlignment="1">
      <alignment horizontal="centerContinuous"/>
    </xf>
    <xf numFmtId="164" fontId="0" fillId="0" borderId="0" xfId="0" applyNumberFormat="1" applyAlignment="1">
      <alignment horizontal="center"/>
    </xf>
    <xf numFmtId="0" fontId="35" fillId="4" borderId="0" xfId="0" applyFont="1" applyFill="1"/>
    <xf numFmtId="37" fontId="0" fillId="0" borderId="0" xfId="0" applyNumberFormat="1" applyAlignment="1">
      <alignment horizontal="right"/>
    </xf>
    <xf numFmtId="0" fontId="4" fillId="0" borderId="10" xfId="0" applyFont="1" applyBorder="1" applyAlignment="1">
      <alignment horizontal="center" wrapText="1"/>
    </xf>
    <xf numFmtId="0" fontId="4" fillId="0" borderId="15" xfId="0" applyFont="1" applyBorder="1" applyAlignment="1">
      <alignment horizontal="center" wrapText="1"/>
    </xf>
    <xf numFmtId="0" fontId="4" fillId="0" borderId="5" xfId="0" applyFont="1" applyBorder="1" applyAlignment="1">
      <alignment horizontal="center" wrapText="1"/>
    </xf>
    <xf numFmtId="37" fontId="0" fillId="0" borderId="2" xfId="0" applyNumberFormat="1" applyBorder="1" applyAlignment="1">
      <alignment horizontal="right"/>
    </xf>
    <xf numFmtId="37" fontId="41" fillId="0" borderId="18" xfId="0" applyNumberFormat="1" applyFont="1" applyBorder="1"/>
    <xf numFmtId="37" fontId="0" fillId="7" borderId="12" xfId="0" applyNumberFormat="1" applyFill="1" applyBorder="1"/>
    <xf numFmtId="37" fontId="0" fillId="7" borderId="7" xfId="0" applyNumberFormat="1" applyFill="1" applyBorder="1"/>
    <xf numFmtId="37" fontId="0" fillId="7" borderId="13" xfId="0" applyNumberFormat="1" applyFill="1" applyBorder="1"/>
    <xf numFmtId="37" fontId="0" fillId="7" borderId="10" xfId="0" applyNumberFormat="1" applyFill="1" applyBorder="1"/>
    <xf numFmtId="0" fontId="5" fillId="0" borderId="0" xfId="0" applyFont="1"/>
    <xf numFmtId="37" fontId="0" fillId="0" borderId="19" xfId="0" applyNumberFormat="1" applyBorder="1"/>
    <xf numFmtId="49" fontId="13" fillId="0" borderId="0" xfId="0" applyNumberFormat="1" applyFont="1" applyAlignment="1">
      <alignment horizontal="right"/>
    </xf>
    <xf numFmtId="3" fontId="41" fillId="0" borderId="1" xfId="0" applyNumberFormat="1" applyFont="1" applyBorder="1"/>
    <xf numFmtId="3" fontId="41" fillId="0" borderId="4" xfId="0" applyNumberFormat="1" applyFont="1" applyBorder="1"/>
    <xf numFmtId="3" fontId="41" fillId="4" borderId="7" xfId="0" applyNumberFormat="1" applyFont="1" applyFill="1" applyBorder="1"/>
    <xf numFmtId="49" fontId="0" fillId="0" borderId="0" xfId="0" quotePrefix="1" applyNumberFormat="1" applyAlignment="1">
      <alignment horizontal="left"/>
    </xf>
    <xf numFmtId="168" fontId="0" fillId="0" borderId="0" xfId="0" applyNumberFormat="1" applyAlignment="1">
      <alignment horizontal="center"/>
    </xf>
    <xf numFmtId="170" fontId="41" fillId="4" borderId="19" xfId="0" applyNumberFormat="1" applyFont="1" applyFill="1" applyBorder="1"/>
    <xf numFmtId="0" fontId="10" fillId="0" borderId="0" xfId="0" applyFont="1"/>
    <xf numFmtId="0" fontId="41" fillId="0" borderId="7" xfId="0" applyFont="1" applyBorder="1"/>
    <xf numFmtId="0" fontId="0" fillId="0" borderId="3" xfId="0" applyBorder="1" applyAlignment="1">
      <alignment horizontal="center"/>
    </xf>
    <xf numFmtId="0" fontId="0" fillId="0" borderId="15" xfId="0" applyBorder="1"/>
    <xf numFmtId="0" fontId="0" fillId="0" borderId="16" xfId="0" applyBorder="1"/>
    <xf numFmtId="167" fontId="0" fillId="0" borderId="17" xfId="0" applyNumberFormat="1" applyBorder="1"/>
    <xf numFmtId="167" fontId="0" fillId="0" borderId="17" xfId="0" applyNumberFormat="1" applyBorder="1" applyAlignment="1">
      <alignment horizontal="center"/>
    </xf>
    <xf numFmtId="0" fontId="0" fillId="0" borderId="5" xfId="0" applyBorder="1" applyAlignment="1">
      <alignment horizontal="center" vertical="center"/>
    </xf>
    <xf numFmtId="0" fontId="0" fillId="0" borderId="1" xfId="0" applyBorder="1" applyAlignment="1">
      <alignment horizontal="center" vertical="center"/>
    </xf>
    <xf numFmtId="167" fontId="0" fillId="0" borderId="14" xfId="0" applyNumberFormat="1" applyBorder="1"/>
    <xf numFmtId="167" fontId="0" fillId="0" borderId="0" xfId="9" applyNumberFormat="1" applyFont="1" applyAlignment="1">
      <alignment horizontal="left"/>
    </xf>
    <xf numFmtId="0" fontId="0" fillId="0" borderId="3" xfId="0" applyBorder="1"/>
    <xf numFmtId="37" fontId="0" fillId="8" borderId="10" xfId="0" applyNumberFormat="1" applyFill="1" applyBorder="1"/>
    <xf numFmtId="167" fontId="0" fillId="0" borderId="0" xfId="0" applyNumberFormat="1"/>
    <xf numFmtId="37" fontId="0" fillId="9" borderId="10" xfId="0" applyNumberFormat="1" applyFill="1" applyBorder="1"/>
    <xf numFmtId="37" fontId="0" fillId="9" borderId="12" xfId="0" applyNumberFormat="1" applyFill="1" applyBorder="1"/>
    <xf numFmtId="37" fontId="0" fillId="4" borderId="10" xfId="0" applyNumberFormat="1" applyFill="1" applyBorder="1"/>
    <xf numFmtId="37" fontId="0" fillId="9" borderId="13" xfId="0" applyNumberFormat="1" applyFill="1" applyBorder="1"/>
    <xf numFmtId="37" fontId="0" fillId="9" borderId="15" xfId="0" applyNumberFormat="1" applyFill="1" applyBorder="1"/>
    <xf numFmtId="37" fontId="0" fillId="9" borderId="3" xfId="0" applyNumberFormat="1" applyFill="1" applyBorder="1"/>
    <xf numFmtId="37" fontId="0" fillId="4" borderId="15" xfId="0" applyNumberFormat="1" applyFill="1" applyBorder="1"/>
    <xf numFmtId="37" fontId="0" fillId="9" borderId="14" xfId="0" applyNumberFormat="1" applyFill="1" applyBorder="1"/>
    <xf numFmtId="37" fontId="0" fillId="9" borderId="5" xfId="0" applyNumberFormat="1" applyFill="1" applyBorder="1"/>
    <xf numFmtId="37" fontId="0" fillId="9" borderId="16" xfId="0" applyNumberFormat="1" applyFill="1" applyBorder="1"/>
    <xf numFmtId="37" fontId="0" fillId="9" borderId="17" xfId="0" applyNumberFormat="1" applyFill="1" applyBorder="1"/>
    <xf numFmtId="37" fontId="0" fillId="9" borderId="2" xfId="0" applyNumberFormat="1" applyFill="1" applyBorder="1"/>
    <xf numFmtId="37" fontId="0" fillId="9" borderId="9" xfId="0" applyNumberFormat="1" applyFill="1" applyBorder="1"/>
    <xf numFmtId="37" fontId="0" fillId="8" borderId="9" xfId="0" applyNumberFormat="1" applyFill="1" applyBorder="1"/>
    <xf numFmtId="37" fontId="0" fillId="9" borderId="8" xfId="0" applyNumberFormat="1" applyFill="1" applyBorder="1"/>
    <xf numFmtId="37" fontId="0" fillId="9" borderId="1" xfId="0" applyNumberFormat="1" applyFill="1" applyBorder="1"/>
    <xf numFmtId="37" fontId="0" fillId="8" borderId="1" xfId="0" applyNumberFormat="1" applyFill="1" applyBorder="1"/>
    <xf numFmtId="37" fontId="41" fillId="4" borderId="15" xfId="0" applyNumberFormat="1" applyFont="1" applyFill="1" applyBorder="1"/>
    <xf numFmtId="0" fontId="0" fillId="0" borderId="9" xfId="0" applyBorder="1"/>
    <xf numFmtId="0" fontId="0" fillId="0" borderId="4" xfId="0" applyBorder="1"/>
    <xf numFmtId="167" fontId="0" fillId="0" borderId="8" xfId="0" applyNumberFormat="1" applyBorder="1"/>
    <xf numFmtId="167" fontId="0" fillId="0" borderId="13" xfId="9" applyNumberFormat="1" applyFont="1" applyBorder="1"/>
    <xf numFmtId="37" fontId="0" fillId="8" borderId="5" xfId="0" applyNumberFormat="1" applyFill="1" applyBorder="1"/>
    <xf numFmtId="37" fontId="0" fillId="8" borderId="12" xfId="0" applyNumberFormat="1" applyFill="1" applyBorder="1"/>
    <xf numFmtId="37" fontId="0" fillId="8" borderId="3" xfId="0" applyNumberFormat="1" applyFill="1" applyBorder="1"/>
    <xf numFmtId="37" fontId="0" fillId="8" borderId="16" xfId="0" applyNumberFormat="1" applyFill="1" applyBorder="1"/>
    <xf numFmtId="0" fontId="0" fillId="0" borderId="12" xfId="9" applyFont="1" applyBorder="1"/>
    <xf numFmtId="167" fontId="0" fillId="0" borderId="7" xfId="9" applyNumberFormat="1" applyFont="1" applyBorder="1"/>
    <xf numFmtId="38" fontId="0" fillId="0" borderId="0" xfId="9" applyNumberFormat="1" applyFont="1" applyAlignment="1">
      <alignment horizontal="right"/>
    </xf>
    <xf numFmtId="167" fontId="0" fillId="0" borderId="0" xfId="9" applyNumberFormat="1" applyFont="1" applyAlignment="1">
      <alignment horizontal="right"/>
    </xf>
    <xf numFmtId="168" fontId="0" fillId="5" borderId="16" xfId="0" applyNumberFormat="1" applyFill="1" applyBorder="1"/>
    <xf numFmtId="168" fontId="0" fillId="0" borderId="1" xfId="0" applyNumberFormat="1" applyBorder="1"/>
    <xf numFmtId="167" fontId="0" fillId="0" borderId="17" xfId="9" applyNumberFormat="1" applyFont="1" applyBorder="1" applyAlignment="1">
      <alignment horizontal="right"/>
    </xf>
    <xf numFmtId="37" fontId="41" fillId="4" borderId="8" xfId="0" applyNumberFormat="1" applyFont="1" applyFill="1" applyBorder="1"/>
    <xf numFmtId="38" fontId="0" fillId="5" borderId="0" xfId="0" applyNumberFormat="1" applyFill="1"/>
    <xf numFmtId="167" fontId="0" fillId="0" borderId="7" xfId="9" applyNumberFormat="1" applyFont="1" applyBorder="1" applyAlignment="1">
      <alignment horizontal="right"/>
    </xf>
    <xf numFmtId="38" fontId="0" fillId="5" borderId="10" xfId="0" applyNumberFormat="1" applyFill="1" applyBorder="1" applyAlignment="1">
      <alignment horizontal="right"/>
    </xf>
    <xf numFmtId="167" fontId="27" fillId="0" borderId="1" xfId="9" applyNumberFormat="1" applyFont="1" applyBorder="1" applyAlignment="1">
      <alignment horizontal="right"/>
    </xf>
    <xf numFmtId="38" fontId="0" fillId="5" borderId="5" xfId="0" applyNumberFormat="1" applyFill="1" applyBorder="1" applyAlignment="1">
      <alignment horizontal="center"/>
    </xf>
    <xf numFmtId="167" fontId="27" fillId="0" borderId="0" xfId="9" applyNumberFormat="1" applyFont="1" applyAlignment="1">
      <alignment horizontal="left"/>
    </xf>
    <xf numFmtId="168" fontId="27" fillId="5" borderId="12" xfId="0" applyNumberFormat="1" applyFont="1" applyFill="1" applyBorder="1"/>
    <xf numFmtId="168" fontId="0" fillId="0" borderId="7" xfId="0" applyNumberFormat="1" applyBorder="1"/>
    <xf numFmtId="167" fontId="0" fillId="0" borderId="13" xfId="9" applyNumberFormat="1" applyFont="1" applyBorder="1" applyAlignment="1">
      <alignment horizontal="right"/>
    </xf>
    <xf numFmtId="167" fontId="0" fillId="0" borderId="3" xfId="9" applyNumberFormat="1" applyFont="1" applyBorder="1" applyAlignment="1">
      <alignment horizontal="left"/>
    </xf>
    <xf numFmtId="168" fontId="27" fillId="5" borderId="3" xfId="0" applyNumberFormat="1" applyFont="1" applyFill="1" applyBorder="1"/>
    <xf numFmtId="167" fontId="0" fillId="0" borderId="14" xfId="9" applyNumberFormat="1" applyFont="1" applyBorder="1" applyAlignment="1">
      <alignment horizontal="right"/>
    </xf>
    <xf numFmtId="3" fontId="0" fillId="0" borderId="0" xfId="0" applyNumberFormat="1" applyAlignment="1">
      <alignment horizontal="right"/>
    </xf>
    <xf numFmtId="0" fontId="0" fillId="0" borderId="12" xfId="0" applyBorder="1" applyAlignment="1">
      <alignment horizontal="centerContinuous"/>
    </xf>
    <xf numFmtId="0" fontId="0" fillId="0" borderId="7" xfId="9" applyFont="1" applyBorder="1" applyAlignment="1">
      <alignment horizontal="centerContinuous"/>
    </xf>
    <xf numFmtId="0" fontId="27" fillId="0" borderId="7" xfId="9" applyFont="1" applyBorder="1" applyAlignment="1">
      <alignment horizontal="centerContinuous"/>
    </xf>
    <xf numFmtId="0" fontId="27" fillId="0" borderId="13" xfId="9" applyFont="1" applyBorder="1" applyAlignment="1">
      <alignment horizontal="centerContinuous"/>
    </xf>
    <xf numFmtId="0" fontId="0" fillId="0" borderId="10" xfId="0" applyBorder="1" applyAlignment="1">
      <alignment horizontal="centerContinuous"/>
    </xf>
    <xf numFmtId="0" fontId="27" fillId="0" borderId="3" xfId="0" applyFont="1" applyBorder="1" applyAlignment="1">
      <alignment horizontal="center"/>
    </xf>
    <xf numFmtId="0" fontId="27" fillId="0" borderId="14" xfId="9" applyFont="1" applyBorder="1"/>
    <xf numFmtId="0" fontId="27" fillId="0" borderId="1" xfId="9" applyFont="1" applyBorder="1"/>
    <xf numFmtId="0" fontId="27" fillId="0" borderId="17" xfId="9" applyFont="1" applyBorder="1"/>
    <xf numFmtId="0" fontId="27" fillId="0" borderId="13" xfId="0" applyFont="1" applyBorder="1"/>
    <xf numFmtId="0" fontId="0" fillId="0" borderId="14" xfId="0" quotePrefix="1" applyBorder="1" applyAlignment="1">
      <alignment horizontal="right"/>
    </xf>
    <xf numFmtId="0" fontId="0" fillId="0" borderId="17" xfId="0" quotePrefix="1" applyBorder="1" applyAlignment="1">
      <alignment horizontal="right"/>
    </xf>
    <xf numFmtId="0" fontId="0" fillId="0" borderId="8" xfId="0" applyBorder="1"/>
    <xf numFmtId="0" fontId="27" fillId="0" borderId="7" xfId="0" applyFont="1" applyBorder="1"/>
    <xf numFmtId="0" fontId="0" fillId="0" borderId="7" xfId="0" quotePrefix="1" applyBorder="1" applyAlignment="1">
      <alignment horizontal="right"/>
    </xf>
    <xf numFmtId="0" fontId="0" fillId="0" borderId="0" xfId="0" quotePrefix="1" applyAlignment="1">
      <alignment horizontal="right"/>
    </xf>
    <xf numFmtId="0" fontId="36" fillId="4" borderId="0" xfId="0" applyFont="1" applyFill="1" applyAlignment="1">
      <alignment vertical="center"/>
    </xf>
    <xf numFmtId="0" fontId="0" fillId="0" borderId="1" xfId="0" quotePrefix="1" applyBorder="1" applyAlignment="1">
      <alignment horizontal="right"/>
    </xf>
    <xf numFmtId="0" fontId="3" fillId="0" borderId="1" xfId="0" applyFont="1" applyBorder="1" applyAlignment="1">
      <alignment vertical="center"/>
    </xf>
    <xf numFmtId="0" fontId="3" fillId="0" borderId="12" xfId="0" applyFont="1" applyBorder="1" applyAlignment="1">
      <alignment vertical="center"/>
    </xf>
    <xf numFmtId="0" fontId="3" fillId="0" borderId="7" xfId="0" applyFont="1" applyBorder="1" applyAlignment="1">
      <alignment vertical="center"/>
    </xf>
    <xf numFmtId="0" fontId="3" fillId="0" borderId="3" xfId="0" applyFont="1" applyBorder="1" applyAlignment="1">
      <alignment vertical="center"/>
    </xf>
    <xf numFmtId="0" fontId="3" fillId="0" borderId="0" xfId="0" applyFont="1" applyAlignment="1">
      <alignment vertical="center"/>
    </xf>
    <xf numFmtId="0" fontId="37" fillId="0" borderId="0" xfId="0" applyFont="1" applyAlignment="1">
      <alignment vertical="center"/>
    </xf>
    <xf numFmtId="167" fontId="0" fillId="0" borderId="0" xfId="0" quotePrefix="1" applyNumberFormat="1" applyAlignment="1">
      <alignment horizontal="right"/>
    </xf>
    <xf numFmtId="167" fontId="0" fillId="0" borderId="17" xfId="0" quotePrefix="1" applyNumberFormat="1" applyBorder="1" applyAlignment="1">
      <alignment horizontal="right"/>
    </xf>
    <xf numFmtId="0" fontId="0" fillId="0" borderId="13" xfId="0" applyBorder="1" applyAlignment="1">
      <alignment horizontal="centerContinuous"/>
    </xf>
    <xf numFmtId="0" fontId="0" fillId="0" borderId="15" xfId="0" applyBorder="1" applyAlignment="1">
      <alignment horizontal="centerContinuous"/>
    </xf>
    <xf numFmtId="0" fontId="0" fillId="0" borderId="14" xfId="0" applyBorder="1" applyAlignment="1">
      <alignment horizontal="centerContinuous"/>
    </xf>
    <xf numFmtId="49" fontId="0" fillId="0" borderId="14" xfId="0" applyNumberFormat="1" applyBorder="1" applyAlignment="1">
      <alignment horizontal="right"/>
    </xf>
    <xf numFmtId="37" fontId="0" fillId="0" borderId="12" xfId="0" applyNumberFormat="1" applyBorder="1"/>
    <xf numFmtId="37" fontId="0" fillId="0" borderId="9" xfId="0" applyNumberFormat="1" applyBorder="1"/>
    <xf numFmtId="49" fontId="0" fillId="0" borderId="1" xfId="0" applyNumberFormat="1" applyBorder="1" applyAlignment="1">
      <alignment horizontal="right"/>
    </xf>
    <xf numFmtId="49" fontId="0" fillId="0" borderId="17" xfId="0" applyNumberFormat="1" applyBorder="1" applyAlignment="1">
      <alignment horizontal="right"/>
    </xf>
    <xf numFmtId="10" fontId="41" fillId="4" borderId="0" xfId="0" applyNumberFormat="1" applyFont="1" applyFill="1"/>
    <xf numFmtId="49" fontId="0" fillId="0" borderId="3" xfId="0" applyNumberFormat="1" applyBorder="1" applyAlignment="1">
      <alignment horizontal="right"/>
    </xf>
    <xf numFmtId="49" fontId="0" fillId="0" borderId="8" xfId="0" applyNumberFormat="1" applyBorder="1" applyAlignment="1">
      <alignment horizontal="right"/>
    </xf>
    <xf numFmtId="0" fontId="3" fillId="0" borderId="2" xfId="0" applyFont="1" applyBorder="1" applyAlignment="1">
      <alignment horizontal="center"/>
    </xf>
    <xf numFmtId="0" fontId="4" fillId="0" borderId="0" xfId="0" applyFont="1"/>
    <xf numFmtId="0" fontId="42" fillId="0" borderId="0" xfId="0" applyFont="1"/>
    <xf numFmtId="37" fontId="13" fillId="0" borderId="0" xfId="0" applyNumberFormat="1" applyFont="1" applyAlignment="1">
      <alignment horizontal="left" indent="1"/>
    </xf>
    <xf numFmtId="37" fontId="13" fillId="0" borderId="0" xfId="0" applyNumberFormat="1" applyFont="1"/>
    <xf numFmtId="0" fontId="4" fillId="0" borderId="0" xfId="0" applyFont="1" applyAlignment="1">
      <alignment horizontal="centerContinuous"/>
    </xf>
    <xf numFmtId="0" fontId="5" fillId="0" borderId="0" xfId="0" applyFont="1" applyAlignment="1">
      <alignment horizontal="left"/>
    </xf>
    <xf numFmtId="0" fontId="16" fillId="0" borderId="0" xfId="0" applyFont="1" applyAlignment="1">
      <alignment vertical="top" wrapText="1"/>
    </xf>
    <xf numFmtId="0" fontId="27" fillId="0" borderId="0" xfId="0" applyFont="1" applyAlignment="1">
      <alignment vertical="top" wrapText="1"/>
    </xf>
    <xf numFmtId="0" fontId="4" fillId="0" borderId="0" xfId="0" applyFont="1" applyAlignment="1">
      <alignment vertical="top" wrapText="1"/>
    </xf>
    <xf numFmtId="0" fontId="27" fillId="0" borderId="0" xfId="0" applyFont="1" applyAlignment="1">
      <alignment vertical="center" wrapText="1"/>
    </xf>
    <xf numFmtId="0" fontId="27" fillId="0" borderId="14" xfId="0" applyFont="1" applyBorder="1" applyAlignment="1">
      <alignment vertical="center" wrapText="1"/>
    </xf>
    <xf numFmtId="0" fontId="51" fillId="0" borderId="0" xfId="0" applyFont="1"/>
    <xf numFmtId="0" fontId="0" fillId="0" borderId="0" xfId="0" applyAlignment="1">
      <alignment horizontal="justify" vertical="top" wrapText="1"/>
    </xf>
    <xf numFmtId="0" fontId="0" fillId="0" borderId="0" xfId="0" applyAlignment="1">
      <alignment horizontal="justify" vertical="top"/>
    </xf>
    <xf numFmtId="168" fontId="27" fillId="0" borderId="0" xfId="10" applyNumberFormat="1" applyFont="1" applyAlignment="1">
      <alignment vertical="center" wrapText="1"/>
    </xf>
    <xf numFmtId="168" fontId="27" fillId="0" borderId="0" xfId="10" quotePrefix="1" applyNumberFormat="1" applyFont="1" applyAlignment="1">
      <alignment vertical="center" wrapText="1"/>
    </xf>
    <xf numFmtId="49" fontId="29" fillId="0" borderId="1" xfId="0" applyNumberFormat="1" applyFont="1" applyBorder="1"/>
    <xf numFmtId="0" fontId="29" fillId="0" borderId="0" xfId="0" applyFont="1" applyAlignment="1">
      <alignment wrapText="1"/>
    </xf>
    <xf numFmtId="0" fontId="12" fillId="0" borderId="0" xfId="0" applyFont="1"/>
    <xf numFmtId="0" fontId="41" fillId="0" borderId="3" xfId="0" applyFont="1" applyBorder="1"/>
    <xf numFmtId="0" fontId="41" fillId="0" borderId="16" xfId="0" applyFont="1" applyBorder="1"/>
    <xf numFmtId="0" fontId="41" fillId="0" borderId="1" xfId="0" applyFont="1" applyBorder="1"/>
    <xf numFmtId="0" fontId="41" fillId="0" borderId="12" xfId="0" applyFont="1" applyBorder="1"/>
    <xf numFmtId="37" fontId="0" fillId="7" borderId="5" xfId="0" applyNumberFormat="1" applyFill="1" applyBorder="1"/>
    <xf numFmtId="0" fontId="41" fillId="0" borderId="13" xfId="0" applyFont="1" applyBorder="1" applyAlignment="1">
      <alignment horizontal="center"/>
    </xf>
    <xf numFmtId="0" fontId="41" fillId="0" borderId="15" xfId="0" applyFont="1" applyBorder="1" applyAlignment="1">
      <alignment horizontal="center"/>
    </xf>
    <xf numFmtId="0" fontId="41" fillId="0" borderId="5" xfId="0" applyFont="1" applyBorder="1" applyAlignment="1">
      <alignment horizontal="center"/>
    </xf>
    <xf numFmtId="49" fontId="41" fillId="0" borderId="0" xfId="0" applyNumberFormat="1" applyFont="1" applyAlignment="1">
      <alignment horizontal="center"/>
    </xf>
    <xf numFmtId="49" fontId="41" fillId="0" borderId="0" xfId="0" applyNumberFormat="1" applyFont="1"/>
    <xf numFmtId="0" fontId="29" fillId="4" borderId="6" xfId="0" applyFont="1" applyFill="1" applyBorder="1"/>
    <xf numFmtId="0" fontId="41" fillId="0" borderId="2" xfId="0" applyFont="1" applyBorder="1" applyAlignment="1">
      <alignment horizontal="center" wrapText="1"/>
    </xf>
    <xf numFmtId="49" fontId="41" fillId="0" borderId="0" xfId="0" applyNumberFormat="1" applyFont="1" applyAlignment="1">
      <alignment horizontal="right"/>
    </xf>
    <xf numFmtId="0" fontId="41" fillId="0" borderId="0" xfId="0" applyFont="1" applyAlignment="1">
      <alignment vertical="top"/>
    </xf>
    <xf numFmtId="37" fontId="41" fillId="0" borderId="15" xfId="0" applyNumberFormat="1" applyFont="1" applyBorder="1"/>
    <xf numFmtId="0" fontId="41" fillId="15" borderId="0" xfId="0" applyFont="1" applyFill="1"/>
    <xf numFmtId="0" fontId="41" fillId="0" borderId="10" xfId="0" applyFont="1" applyBorder="1" applyAlignment="1">
      <alignment horizontal="center"/>
    </xf>
    <xf numFmtId="0" fontId="41" fillId="0" borderId="0" xfId="0" applyFont="1" applyAlignment="1">
      <alignment horizontal="right"/>
    </xf>
    <xf numFmtId="49" fontId="41" fillId="0" borderId="0" xfId="0" quotePrefix="1" applyNumberFormat="1" applyFont="1" applyAlignment="1">
      <alignment horizontal="right"/>
    </xf>
    <xf numFmtId="49" fontId="41" fillId="0" borderId="0" xfId="0" applyNumberFormat="1" applyFont="1" applyAlignment="1">
      <alignment horizontal="center" wrapText="1"/>
    </xf>
    <xf numFmtId="2" fontId="41" fillId="0" borderId="0" xfId="0" applyNumberFormat="1" applyFont="1" applyAlignment="1">
      <alignment horizontal="center"/>
    </xf>
    <xf numFmtId="1" fontId="41" fillId="0" borderId="0" xfId="0" applyNumberFormat="1" applyFont="1" applyAlignment="1">
      <alignment horizontal="center"/>
    </xf>
    <xf numFmtId="168" fontId="41" fillId="0" borderId="10" xfId="0" applyNumberFormat="1" applyFont="1" applyBorder="1"/>
    <xf numFmtId="168" fontId="41" fillId="0" borderId="0" xfId="0" applyNumberFormat="1" applyFont="1"/>
    <xf numFmtId="168" fontId="41" fillId="0" borderId="15" xfId="0" applyNumberFormat="1" applyFont="1" applyBorder="1"/>
    <xf numFmtId="168" fontId="41" fillId="0" borderId="15" xfId="0" applyNumberFormat="1" applyFont="1" applyBorder="1" applyAlignment="1">
      <alignment horizontal="center"/>
    </xf>
    <xf numFmtId="168" fontId="41" fillId="0" borderId="5" xfId="0" applyNumberFormat="1" applyFont="1" applyBorder="1" applyAlignment="1">
      <alignment horizontal="center"/>
    </xf>
    <xf numFmtId="168" fontId="23" fillId="5" borderId="0" xfId="0" applyNumberFormat="1" applyFont="1" applyFill="1"/>
    <xf numFmtId="168" fontId="43" fillId="5" borderId="0" xfId="0" applyNumberFormat="1" applyFont="1" applyFill="1" applyAlignment="1">
      <alignment horizontal="center"/>
    </xf>
    <xf numFmtId="14" fontId="23" fillId="5" borderId="0" xfId="0" applyNumberFormat="1" applyFont="1" applyFill="1" applyAlignment="1">
      <alignment horizontal="left"/>
    </xf>
    <xf numFmtId="168" fontId="23" fillId="5" borderId="13" xfId="0" applyNumberFormat="1" applyFont="1" applyFill="1" applyBorder="1"/>
    <xf numFmtId="168" fontId="43" fillId="5" borderId="2" xfId="0" applyNumberFormat="1" applyFont="1" applyFill="1" applyBorder="1" applyAlignment="1">
      <alignment horizontal="center"/>
    </xf>
    <xf numFmtId="165" fontId="0" fillId="5" borderId="15" xfId="0" applyNumberFormat="1" applyFill="1" applyBorder="1" applyAlignment="1">
      <alignment horizontal="center"/>
    </xf>
    <xf numFmtId="0" fontId="41" fillId="0" borderId="0" xfId="0" applyFont="1" applyAlignment="1">
      <alignment horizontal="center" vertical="center"/>
    </xf>
    <xf numFmtId="165" fontId="0" fillId="5" borderId="5" xfId="0" applyNumberFormat="1" applyFill="1" applyBorder="1" applyAlignment="1">
      <alignment horizontal="center"/>
    </xf>
    <xf numFmtId="168" fontId="23" fillId="5" borderId="12" xfId="0" applyNumberFormat="1" applyFont="1" applyFill="1" applyBorder="1" applyAlignment="1">
      <alignment horizontal="left"/>
    </xf>
    <xf numFmtId="168" fontId="23" fillId="5" borderId="7" xfId="0" applyNumberFormat="1" applyFont="1" applyFill="1" applyBorder="1" applyAlignment="1">
      <alignment horizontal="left"/>
    </xf>
    <xf numFmtId="168" fontId="23" fillId="5" borderId="13" xfId="0" quotePrefix="1" applyNumberFormat="1" applyFont="1" applyFill="1" applyBorder="1" applyAlignment="1">
      <alignment horizontal="right"/>
    </xf>
    <xf numFmtId="37" fontId="23" fillId="7" borderId="2" xfId="0" applyNumberFormat="1" applyFont="1" applyFill="1" applyBorder="1" applyAlignment="1">
      <alignment horizontal="right" vertical="center"/>
    </xf>
    <xf numFmtId="168" fontId="23" fillId="5" borderId="0" xfId="0" quotePrefix="1" applyNumberFormat="1" applyFont="1" applyFill="1" applyAlignment="1">
      <alignment horizontal="left"/>
    </xf>
    <xf numFmtId="168" fontId="23" fillId="5" borderId="3" xfId="0" applyNumberFormat="1" applyFont="1" applyFill="1" applyBorder="1" applyAlignment="1">
      <alignment horizontal="left"/>
    </xf>
    <xf numFmtId="168" fontId="23" fillId="5" borderId="14" xfId="0" quotePrefix="1" applyNumberFormat="1" applyFont="1" applyFill="1" applyBorder="1" applyAlignment="1">
      <alignment horizontal="right"/>
    </xf>
    <xf numFmtId="37" fontId="41" fillId="0" borderId="2" xfId="0" applyNumberFormat="1" applyFont="1" applyBorder="1" applyAlignment="1">
      <alignment horizontal="right" vertical="center"/>
    </xf>
    <xf numFmtId="168" fontId="27" fillId="10" borderId="0" xfId="0" applyNumberFormat="1" applyFont="1" applyFill="1"/>
    <xf numFmtId="1" fontId="23" fillId="5" borderId="3" xfId="0" applyNumberFormat="1" applyFont="1" applyFill="1" applyBorder="1" applyAlignment="1">
      <alignment horizontal="left"/>
    </xf>
    <xf numFmtId="1" fontId="23" fillId="5" borderId="0" xfId="0" applyNumberFormat="1" applyFont="1" applyFill="1" applyAlignment="1">
      <alignment horizontal="left"/>
    </xf>
    <xf numFmtId="49" fontId="23" fillId="5" borderId="14" xfId="0" quotePrefix="1" applyNumberFormat="1" applyFont="1" applyFill="1" applyBorder="1" applyAlignment="1">
      <alignment horizontal="right"/>
    </xf>
    <xf numFmtId="49" fontId="23" fillId="5" borderId="0" xfId="0" quotePrefix="1" applyNumberFormat="1" applyFont="1" applyFill="1" applyAlignment="1">
      <alignment horizontal="left"/>
    </xf>
    <xf numFmtId="49" fontId="41" fillId="0" borderId="14" xfId="0" quotePrefix="1" applyNumberFormat="1" applyFont="1" applyBorder="1" applyAlignment="1">
      <alignment horizontal="right"/>
    </xf>
    <xf numFmtId="49" fontId="23" fillId="5" borderId="17" xfId="0" quotePrefix="1" applyNumberFormat="1" applyFont="1" applyFill="1" applyBorder="1" applyAlignment="1">
      <alignment horizontal="right"/>
    </xf>
    <xf numFmtId="49" fontId="23" fillId="5" borderId="0" xfId="0" quotePrefix="1" applyNumberFormat="1" applyFont="1" applyFill="1" applyAlignment="1">
      <alignment horizontal="right"/>
    </xf>
    <xf numFmtId="168" fontId="43" fillId="5" borderId="9" xfId="0" applyNumberFormat="1" applyFont="1" applyFill="1" applyBorder="1"/>
    <xf numFmtId="168" fontId="43" fillId="5" borderId="4" xfId="0" applyNumberFormat="1" applyFont="1" applyFill="1" applyBorder="1"/>
    <xf numFmtId="168" fontId="23" fillId="5" borderId="8" xfId="0" applyNumberFormat="1" applyFont="1" applyFill="1" applyBorder="1" applyAlignment="1">
      <alignment horizontal="center"/>
    </xf>
    <xf numFmtId="168" fontId="23" fillId="5" borderId="16" xfId="0" applyNumberFormat="1" applyFont="1" applyFill="1" applyBorder="1"/>
    <xf numFmtId="168" fontId="23" fillId="5" borderId="1" xfId="0" applyNumberFormat="1" applyFont="1" applyFill="1" applyBorder="1"/>
    <xf numFmtId="168" fontId="23" fillId="5" borderId="17" xfId="0" applyNumberFormat="1" applyFont="1" applyFill="1" applyBorder="1"/>
    <xf numFmtId="37" fontId="23" fillId="5" borderId="2" xfId="0" quotePrefix="1" applyNumberFormat="1" applyFont="1" applyFill="1" applyBorder="1"/>
    <xf numFmtId="168" fontId="23" fillId="5" borderId="9" xfId="0" applyNumberFormat="1" applyFont="1" applyFill="1" applyBorder="1"/>
    <xf numFmtId="168" fontId="23" fillId="5" borderId="4" xfId="0" applyNumberFormat="1" applyFont="1" applyFill="1" applyBorder="1"/>
    <xf numFmtId="168" fontId="23" fillId="5" borderId="8" xfId="0" applyNumberFormat="1" applyFont="1" applyFill="1" applyBorder="1"/>
    <xf numFmtId="37" fontId="23" fillId="5" borderId="2" xfId="0" applyNumberFormat="1" applyFont="1" applyFill="1" applyBorder="1"/>
    <xf numFmtId="168" fontId="23" fillId="5" borderId="12" xfId="0" applyNumberFormat="1" applyFont="1" applyFill="1" applyBorder="1"/>
    <xf numFmtId="168" fontId="23" fillId="5" borderId="7" xfId="0" applyNumberFormat="1" applyFont="1" applyFill="1" applyBorder="1"/>
    <xf numFmtId="0" fontId="41" fillId="0" borderId="9" xfId="0" applyFont="1" applyBorder="1"/>
    <xf numFmtId="168" fontId="41" fillId="0" borderId="4" xfId="0" applyNumberFormat="1" applyFont="1" applyBorder="1"/>
    <xf numFmtId="168" fontId="41" fillId="0" borderId="8" xfId="0" applyNumberFormat="1" applyFont="1" applyBorder="1"/>
    <xf numFmtId="168" fontId="23" fillId="5" borderId="0" xfId="0" quotePrefix="1" applyNumberFormat="1" applyFont="1" applyFill="1"/>
    <xf numFmtId="168" fontId="23" fillId="5" borderId="9" xfId="0" quotePrefix="1" applyNumberFormat="1" applyFont="1" applyFill="1" applyBorder="1"/>
    <xf numFmtId="0" fontId="23" fillId="0" borderId="0" xfId="0" quotePrefix="1" applyFont="1" applyAlignment="1">
      <alignment horizontal="left"/>
    </xf>
    <xf numFmtId="0" fontId="26" fillId="0" borderId="0" xfId="0" applyFont="1"/>
    <xf numFmtId="0" fontId="37" fillId="0" borderId="0" xfId="0" quotePrefix="1" applyFont="1" applyAlignment="1">
      <alignment vertical="center" wrapText="1"/>
    </xf>
    <xf numFmtId="168" fontId="37" fillId="4" borderId="0" xfId="0" applyNumberFormat="1" applyFont="1" applyFill="1" applyAlignment="1">
      <alignment vertical="center" wrapText="1"/>
    </xf>
    <xf numFmtId="165" fontId="23" fillId="0" borderId="0" xfId="0" applyNumberFormat="1" applyFont="1" applyAlignment="1">
      <alignment vertical="center" wrapText="1"/>
    </xf>
    <xf numFmtId="165" fontId="27" fillId="0" borderId="0" xfId="0" applyNumberFormat="1" applyFont="1" applyAlignment="1">
      <alignment horizontal="center" vertical="center" wrapText="1"/>
    </xf>
    <xf numFmtId="168" fontId="41" fillId="0" borderId="9" xfId="0" applyNumberFormat="1" applyFont="1" applyBorder="1" applyAlignment="1">
      <alignment horizontal="left"/>
    </xf>
    <xf numFmtId="165" fontId="41" fillId="0" borderId="4" xfId="0" applyNumberFormat="1" applyFont="1" applyBorder="1" applyAlignment="1">
      <alignment horizontal="left"/>
    </xf>
    <xf numFmtId="37" fontId="23" fillId="16" borderId="2" xfId="0" applyNumberFormat="1" applyFont="1" applyFill="1" applyBorder="1"/>
    <xf numFmtId="168" fontId="41" fillId="0" borderId="4" xfId="0" applyNumberFormat="1" applyFont="1" applyBorder="1" applyAlignment="1">
      <alignment horizontal="left"/>
    </xf>
    <xf numFmtId="168" fontId="41" fillId="5" borderId="0" xfId="0" applyNumberFormat="1" applyFont="1" applyFill="1" applyAlignment="1">
      <alignment horizontal="right"/>
    </xf>
    <xf numFmtId="5" fontId="48" fillId="0" borderId="0" xfId="0" applyNumberFormat="1" applyFont="1"/>
    <xf numFmtId="168" fontId="3" fillId="5" borderId="0" xfId="0" applyNumberFormat="1" applyFont="1" applyFill="1" applyAlignment="1">
      <alignment horizontal="left"/>
    </xf>
    <xf numFmtId="37" fontId="45" fillId="0" borderId="0" xfId="0" applyNumberFormat="1" applyFont="1" applyAlignment="1">
      <alignment horizontal="center" vertical="center"/>
    </xf>
    <xf numFmtId="172" fontId="0" fillId="0" borderId="2" xfId="0" applyNumberFormat="1" applyBorder="1"/>
    <xf numFmtId="0" fontId="0" fillId="0" borderId="0" xfId="0" applyAlignment="1">
      <alignment horizontal="right" vertical="center"/>
    </xf>
    <xf numFmtId="37" fontId="21" fillId="5" borderId="0" xfId="0" applyNumberFormat="1" applyFont="1" applyFill="1" applyAlignment="1">
      <alignment horizontal="left" vertical="center"/>
    </xf>
    <xf numFmtId="168" fontId="0" fillId="5" borderId="22" xfId="0" applyNumberFormat="1" applyFill="1" applyBorder="1"/>
    <xf numFmtId="37" fontId="39" fillId="5" borderId="24" xfId="0" applyNumberFormat="1" applyFont="1" applyFill="1" applyBorder="1" applyAlignment="1">
      <alignment horizontal="center"/>
    </xf>
    <xf numFmtId="37" fontId="39" fillId="5" borderId="25" xfId="0" applyNumberFormat="1" applyFont="1" applyFill="1" applyBorder="1" applyAlignment="1">
      <alignment horizontal="left"/>
    </xf>
    <xf numFmtId="37" fontId="39" fillId="5" borderId="15" xfId="0" applyNumberFormat="1" applyFont="1" applyFill="1" applyBorder="1" applyAlignment="1">
      <alignment horizontal="center"/>
    </xf>
    <xf numFmtId="37" fontId="39" fillId="5" borderId="27" xfId="0" applyNumberFormat="1" applyFont="1" applyFill="1" applyBorder="1" applyAlignment="1">
      <alignment horizontal="center"/>
    </xf>
    <xf numFmtId="38" fontId="39" fillId="5" borderId="5" xfId="0" applyNumberFormat="1" applyFont="1" applyFill="1" applyBorder="1" applyAlignment="1">
      <alignment horizontal="center"/>
    </xf>
    <xf numFmtId="37" fontId="39" fillId="5" borderId="29" xfId="0" applyNumberFormat="1" applyFont="1" applyFill="1" applyBorder="1" applyAlignment="1">
      <alignment horizontal="left"/>
    </xf>
    <xf numFmtId="37" fontId="39" fillId="6" borderId="2" xfId="0" applyNumberFormat="1" applyFont="1" applyFill="1" applyBorder="1"/>
    <xf numFmtId="37" fontId="39" fillId="6" borderId="5" xfId="0" applyNumberFormat="1" applyFont="1" applyFill="1" applyBorder="1"/>
    <xf numFmtId="37" fontId="39" fillId="6" borderId="16" xfId="0" applyNumberFormat="1" applyFont="1" applyFill="1" applyBorder="1"/>
    <xf numFmtId="37" fontId="40" fillId="7" borderId="9" xfId="0" applyNumberFormat="1" applyFont="1" applyFill="1" applyBorder="1" applyAlignment="1">
      <alignment horizontal="center"/>
    </xf>
    <xf numFmtId="37" fontId="39" fillId="5" borderId="24" xfId="0" applyNumberFormat="1" applyFont="1" applyFill="1" applyBorder="1"/>
    <xf numFmtId="37" fontId="39" fillId="5" borderId="13" xfId="0" applyNumberFormat="1" applyFont="1" applyFill="1" applyBorder="1"/>
    <xf numFmtId="37" fontId="40" fillId="7" borderId="8" xfId="0" applyNumberFormat="1" applyFont="1" applyFill="1" applyBorder="1" applyAlignment="1">
      <alignment horizontal="center"/>
    </xf>
    <xf numFmtId="37" fontId="39" fillId="6" borderId="9" xfId="0" applyNumberFormat="1" applyFont="1" applyFill="1" applyBorder="1"/>
    <xf numFmtId="37" fontId="39" fillId="5" borderId="30" xfId="0" applyNumberFormat="1" applyFont="1" applyFill="1" applyBorder="1"/>
    <xf numFmtId="37" fontId="39" fillId="5" borderId="26" xfId="0" applyNumberFormat="1" applyFont="1" applyFill="1" applyBorder="1" applyAlignment="1">
      <alignment horizontal="left"/>
    </xf>
    <xf numFmtId="37" fontId="39" fillId="6" borderId="10" xfId="0" applyNumberFormat="1" applyFont="1" applyFill="1" applyBorder="1"/>
    <xf numFmtId="37" fontId="39" fillId="6" borderId="12" xfId="0" applyNumberFormat="1" applyFont="1" applyFill="1" applyBorder="1"/>
    <xf numFmtId="37" fontId="39" fillId="5" borderId="32" xfId="0" applyNumberFormat="1" applyFont="1" applyFill="1" applyBorder="1"/>
    <xf numFmtId="42" fontId="0" fillId="5" borderId="1" xfId="0" applyNumberFormat="1" applyFill="1" applyBorder="1"/>
    <xf numFmtId="37" fontId="40" fillId="7" borderId="2" xfId="0" applyNumberFormat="1" applyFont="1" applyFill="1" applyBorder="1" applyAlignment="1">
      <alignment horizontal="center"/>
    </xf>
    <xf numFmtId="37" fontId="39" fillId="5" borderId="16" xfId="0" applyNumberFormat="1" applyFont="1" applyFill="1" applyBorder="1"/>
    <xf numFmtId="37" fontId="39" fillId="6" borderId="2" xfId="0" applyNumberFormat="1" applyFont="1" applyFill="1" applyBorder="1" applyAlignment="1">
      <alignment horizontal="center"/>
    </xf>
    <xf numFmtId="37" fontId="39" fillId="5" borderId="2" xfId="0" applyNumberFormat="1" applyFont="1" applyFill="1" applyBorder="1"/>
    <xf numFmtId="37" fontId="0" fillId="5" borderId="12" xfId="0" applyNumberFormat="1" applyFill="1" applyBorder="1"/>
    <xf numFmtId="37" fontId="39" fillId="5" borderId="4" xfId="0" applyNumberFormat="1" applyFont="1" applyFill="1" applyBorder="1"/>
    <xf numFmtId="37" fontId="39" fillId="5" borderId="8" xfId="0" applyNumberFormat="1" applyFont="1" applyFill="1" applyBorder="1"/>
    <xf numFmtId="37" fontId="39" fillId="5" borderId="9" xfId="0" applyNumberFormat="1" applyFont="1" applyFill="1" applyBorder="1"/>
    <xf numFmtId="168" fontId="41" fillId="0" borderId="0" xfId="0" quotePrefix="1" applyNumberFormat="1" applyFont="1" applyAlignment="1">
      <alignment horizontal="right"/>
    </xf>
    <xf numFmtId="0" fontId="41" fillId="0" borderId="0" xfId="0" applyFont="1" applyAlignment="1">
      <alignment horizontal="left" vertical="top"/>
    </xf>
    <xf numFmtId="0" fontId="41" fillId="0" borderId="0" xfId="0" quotePrefix="1" applyFont="1" applyAlignment="1">
      <alignment horizontal="left" vertical="top"/>
    </xf>
    <xf numFmtId="169" fontId="0" fillId="0" borderId="0" xfId="0" applyNumberFormat="1" applyAlignment="1">
      <alignment vertical="top"/>
    </xf>
    <xf numFmtId="0" fontId="32" fillId="8" borderId="2" xfId="0" applyFont="1" applyFill="1" applyBorder="1"/>
    <xf numFmtId="0" fontId="31" fillId="8" borderId="2" xfId="0" applyFont="1" applyFill="1" applyBorder="1"/>
    <xf numFmtId="0" fontId="33" fillId="2" borderId="2" xfId="0" applyFont="1" applyFill="1" applyBorder="1" applyAlignment="1">
      <alignment horizontal="center"/>
    </xf>
    <xf numFmtId="40" fontId="33" fillId="2" borderId="2" xfId="0" applyNumberFormat="1" applyFont="1" applyFill="1" applyBorder="1" applyAlignment="1">
      <alignment horizontal="center"/>
    </xf>
    <xf numFmtId="0" fontId="33" fillId="2" borderId="3" xfId="0" applyFont="1" applyFill="1" applyBorder="1" applyAlignment="1">
      <alignment horizontal="center"/>
    </xf>
    <xf numFmtId="0" fontId="2" fillId="3" borderId="3" xfId="0" applyFont="1" applyFill="1" applyBorder="1" applyAlignment="1">
      <alignment horizontal="left" vertical="top"/>
    </xf>
    <xf numFmtId="0" fontId="2" fillId="3" borderId="0" xfId="0" applyFont="1" applyFill="1"/>
    <xf numFmtId="0" fontId="29" fillId="4" borderId="0" xfId="0" applyFont="1" applyFill="1"/>
    <xf numFmtId="0" fontId="29" fillId="3" borderId="0" xfId="0" applyFont="1" applyFill="1"/>
    <xf numFmtId="0" fontId="29" fillId="3" borderId="0" xfId="0" applyFont="1" applyFill="1" applyAlignment="1">
      <alignment horizontal="left" vertical="top"/>
    </xf>
    <xf numFmtId="0" fontId="2" fillId="3" borderId="0" xfId="0" applyFont="1" applyFill="1" applyAlignment="1">
      <alignment horizontal="left"/>
    </xf>
    <xf numFmtId="0" fontId="0" fillId="0" borderId="1" xfId="0" applyBorder="1"/>
    <xf numFmtId="0" fontId="29" fillId="0" borderId="0" xfId="0" applyFont="1"/>
    <xf numFmtId="0" fontId="0" fillId="0" borderId="1" xfId="11" applyFont="1" applyBorder="1" applyAlignment="1">
      <alignment horizontal="center"/>
    </xf>
    <xf numFmtId="37" fontId="41" fillId="0" borderId="1" xfId="0" applyNumberFormat="1" applyFont="1" applyBorder="1"/>
    <xf numFmtId="0" fontId="0" fillId="0" borderId="7" xfId="0" applyBorder="1" applyAlignment="1">
      <alignment horizontal="center"/>
    </xf>
    <xf numFmtId="0" fontId="29" fillId="0" borderId="1" xfId="0" applyFont="1" applyBorder="1"/>
    <xf numFmtId="0" fontId="0" fillId="0" borderId="7" xfId="0" applyBorder="1" applyAlignment="1">
      <alignment horizontal="center" vertical="top"/>
    </xf>
    <xf numFmtId="0" fontId="0" fillId="0" borderId="0" xfId="0"/>
    <xf numFmtId="0" fontId="0" fillId="0" borderId="0" xfId="0" applyAlignment="1">
      <alignment horizontal="center" vertical="top"/>
    </xf>
    <xf numFmtId="0" fontId="51" fillId="0" borderId="0" xfId="0" applyFont="1" applyAlignment="1">
      <alignment horizontal="center" wrapText="1"/>
    </xf>
    <xf numFmtId="0" fontId="0" fillId="0" borderId="0" xfId="11" applyFont="1" applyAlignment="1">
      <alignment horizontal="center"/>
    </xf>
    <xf numFmtId="0" fontId="27" fillId="0" borderId="0" xfId="0" applyFont="1" applyAlignment="1">
      <alignment horizontal="left" vertical="center" wrapText="1"/>
    </xf>
    <xf numFmtId="0" fontId="27" fillId="0" borderId="14" xfId="0" applyFont="1" applyBorder="1" applyAlignment="1">
      <alignment horizontal="left" vertical="center" wrapText="1"/>
    </xf>
    <xf numFmtId="0" fontId="41" fillId="0" borderId="0" xfId="0" applyFont="1" applyAlignment="1">
      <alignment horizontal="center" wrapText="1"/>
    </xf>
    <xf numFmtId="0" fontId="41" fillId="0" borderId="0" xfId="0" applyFont="1"/>
    <xf numFmtId="0" fontId="0" fillId="0" borderId="0" xfId="0" applyAlignment="1">
      <alignment horizontal="justify" wrapText="1"/>
    </xf>
    <xf numFmtId="0" fontId="41" fillId="0" borderId="0" xfId="0" applyFont="1" applyAlignment="1">
      <alignment horizontal="center"/>
    </xf>
    <xf numFmtId="0" fontId="0" fillId="0" borderId="1" xfId="0" applyBorder="1" applyAlignment="1">
      <alignment horizontal="left"/>
    </xf>
    <xf numFmtId="0" fontId="0" fillId="0" borderId="17" xfId="0" applyBorder="1" applyAlignment="1">
      <alignment horizontal="left"/>
    </xf>
    <xf numFmtId="0" fontId="4" fillId="0" borderId="0" xfId="6" applyFont="1" applyFill="1" applyAlignment="1" applyProtection="1">
      <alignment horizontal="center" wrapText="1"/>
    </xf>
    <xf numFmtId="0" fontId="7" fillId="0" borderId="0" xfId="0" applyFont="1" applyAlignment="1">
      <alignment horizontal="center"/>
    </xf>
    <xf numFmtId="0" fontId="8" fillId="0" borderId="0" xfId="0" applyFont="1" applyAlignment="1">
      <alignment horizontal="center"/>
    </xf>
    <xf numFmtId="0" fontId="3" fillId="0" borderId="0" xfId="0" applyFont="1" applyAlignment="1">
      <alignment horizontal="left"/>
    </xf>
    <xf numFmtId="49" fontId="29" fillId="4" borderId="1" xfId="0" applyNumberFormat="1" applyFont="1" applyFill="1" applyBorder="1"/>
    <xf numFmtId="49" fontId="0" fillId="4" borderId="1" xfId="0" applyNumberFormat="1" applyFill="1" applyBorder="1"/>
    <xf numFmtId="0" fontId="3" fillId="0" borderId="0" xfId="13" applyFont="1"/>
    <xf numFmtId="0" fontId="17" fillId="0" borderId="2" xfId="0" applyFont="1" applyBorder="1" applyAlignment="1">
      <alignment horizontal="center" wrapText="1"/>
    </xf>
    <xf numFmtId="6" fontId="17" fillId="0" borderId="2" xfId="0" applyNumberFormat="1" applyFont="1" applyBorder="1" applyAlignment="1">
      <alignment horizontal="center"/>
    </xf>
    <xf numFmtId="49" fontId="0" fillId="0" borderId="1" xfId="0" applyNumberFormat="1" applyBorder="1" applyAlignment="1">
      <alignment horizontal="center"/>
    </xf>
    <xf numFmtId="0" fontId="0" fillId="0" borderId="0" xfId="0" applyAlignment="1">
      <alignment horizontal="left"/>
    </xf>
    <xf numFmtId="10" fontId="41" fillId="4" borderId="2" xfId="0" applyNumberFormat="1" applyFont="1" applyFill="1" applyBorder="1"/>
    <xf numFmtId="10" fontId="0" fillId="4" borderId="2" xfId="0" applyNumberFormat="1" applyFill="1" applyBorder="1"/>
    <xf numFmtId="0" fontId="0" fillId="0" borderId="0" xfId="0" applyAlignment="1">
      <alignment horizontal="left" wrapText="1"/>
    </xf>
    <xf numFmtId="37" fontId="41" fillId="0" borderId="10" xfId="0" applyNumberFormat="1" applyFont="1" applyBorder="1" applyAlignment="1">
      <alignment horizontal="right"/>
    </xf>
    <xf numFmtId="37" fontId="41" fillId="0" borderId="5" xfId="0" applyNumberFormat="1" applyFont="1" applyBorder="1" applyAlignment="1">
      <alignment horizontal="right"/>
    </xf>
    <xf numFmtId="10" fontId="0" fillId="4" borderId="2" xfId="0" applyNumberFormat="1" applyFill="1" applyBorder="1" applyAlignment="1">
      <alignment horizontal="right"/>
    </xf>
    <xf numFmtId="0" fontId="0" fillId="0" borderId="10" xfId="0" applyBorder="1" applyAlignment="1">
      <alignment horizontal="center"/>
    </xf>
    <xf numFmtId="0" fontId="0" fillId="0" borderId="10" xfId="0" applyBorder="1" applyAlignment="1">
      <alignment horizontal="center" wrapText="1"/>
    </xf>
    <xf numFmtId="0" fontId="0" fillId="0" borderId="15" xfId="0" applyBorder="1" applyAlignment="1">
      <alignment horizontal="center" wrapText="1"/>
    </xf>
    <xf numFmtId="0" fontId="0" fillId="0" borderId="5" xfId="0" applyBorder="1" applyAlignment="1">
      <alignment horizontal="center" wrapText="1"/>
    </xf>
    <xf numFmtId="10" fontId="41" fillId="4" borderId="15" xfId="0" applyNumberFormat="1" applyFont="1" applyFill="1" applyBorder="1"/>
    <xf numFmtId="10" fontId="0" fillId="4" borderId="5" xfId="0" applyNumberFormat="1" applyFill="1" applyBorder="1"/>
    <xf numFmtId="0" fontId="0" fillId="0" borderId="9" xfId="9" applyFont="1" applyBorder="1" applyAlignment="1">
      <alignment horizontal="center"/>
    </xf>
    <xf numFmtId="0" fontId="0" fillId="0" borderId="8" xfId="0" applyBorder="1" applyAlignment="1">
      <alignment horizontal="center"/>
    </xf>
    <xf numFmtId="0" fontId="19" fillId="0" borderId="0" xfId="0" applyFont="1" applyAlignment="1">
      <alignment horizontal="left" vertical="center" wrapText="1"/>
    </xf>
    <xf numFmtId="0" fontId="3" fillId="0" borderId="1" xfId="6" applyFont="1" applyFill="1" applyBorder="1" applyProtection="1"/>
    <xf numFmtId="37" fontId="0" fillId="8" borderId="2" xfId="0" applyNumberFormat="1" applyFill="1" applyBorder="1" applyAlignment="1">
      <alignment horizontal="center"/>
    </xf>
    <xf numFmtId="37" fontId="0" fillId="8" borderId="10" xfId="0" applyNumberFormat="1" applyFill="1" applyBorder="1" applyAlignment="1">
      <alignment horizontal="center"/>
    </xf>
    <xf numFmtId="37" fontId="0" fillId="8" borderId="5" xfId="0" applyNumberFormat="1" applyFill="1" applyBorder="1" applyAlignment="1">
      <alignment horizontal="center"/>
    </xf>
    <xf numFmtId="37" fontId="0" fillId="8" borderId="3" xfId="0" applyNumberFormat="1" applyFill="1" applyBorder="1" applyAlignment="1">
      <alignment horizontal="center"/>
    </xf>
    <xf numFmtId="37" fontId="0" fillId="8" borderId="12" xfId="0" applyNumberFormat="1" applyFill="1" applyBorder="1" applyAlignment="1">
      <alignment horizontal="center"/>
    </xf>
    <xf numFmtId="37" fontId="0" fillId="8" borderId="16" xfId="0" applyNumberFormat="1" applyFill="1" applyBorder="1" applyAlignment="1">
      <alignment horizontal="center"/>
    </xf>
    <xf numFmtId="0" fontId="3" fillId="0" borderId="1" xfId="0" applyFont="1" applyBorder="1" applyAlignment="1">
      <alignment horizontal="center"/>
    </xf>
    <xf numFmtId="0" fontId="3" fillId="0" borderId="0" xfId="0" applyFont="1" applyAlignment="1">
      <alignment horizontal="center"/>
    </xf>
    <xf numFmtId="37" fontId="0" fillId="8" borderId="15" xfId="0" applyNumberFormat="1" applyFill="1" applyBorder="1" applyAlignment="1">
      <alignment horizontal="center"/>
    </xf>
    <xf numFmtId="37" fontId="0" fillId="9" borderId="10" xfId="0" applyNumberFormat="1" applyFill="1" applyBorder="1" applyAlignment="1">
      <alignment horizontal="center"/>
    </xf>
    <xf numFmtId="37" fontId="0" fillId="9" borderId="5" xfId="0" applyNumberFormat="1" applyFill="1" applyBorder="1" applyAlignment="1">
      <alignment horizontal="center"/>
    </xf>
    <xf numFmtId="37" fontId="41" fillId="0" borderId="5" xfId="0" applyNumberFormat="1" applyFont="1" applyBorder="1"/>
    <xf numFmtId="37" fontId="0" fillId="0" borderId="2" xfId="0" applyNumberFormat="1" applyBorder="1"/>
    <xf numFmtId="37" fontId="41" fillId="4" borderId="2" xfId="0" applyNumberFormat="1" applyFont="1" applyFill="1" applyBorder="1"/>
    <xf numFmtId="37" fontId="0" fillId="4" borderId="2" xfId="0" applyNumberFormat="1" applyFill="1" applyBorder="1"/>
    <xf numFmtId="0" fontId="41" fillId="0" borderId="10" xfId="0" applyFont="1" applyBorder="1" applyAlignment="1">
      <alignment horizontal="center" wrapText="1"/>
    </xf>
    <xf numFmtId="0" fontId="41" fillId="0" borderId="15" xfId="0" applyFont="1" applyBorder="1" applyAlignment="1">
      <alignment horizontal="center" wrapText="1"/>
    </xf>
    <xf numFmtId="0" fontId="41" fillId="0" borderId="5" xfId="0" applyFont="1" applyBorder="1" applyAlignment="1">
      <alignment horizontal="center" wrapText="1"/>
    </xf>
    <xf numFmtId="0" fontId="0" fillId="0" borderId="4" xfId="0" applyBorder="1" applyAlignment="1">
      <alignment horizontal="center"/>
    </xf>
    <xf numFmtId="49" fontId="41" fillId="4" borderId="12" xfId="0" applyNumberFormat="1" applyFont="1" applyFill="1" applyBorder="1" applyAlignment="1">
      <alignment vertical="top" wrapText="1"/>
    </xf>
    <xf numFmtId="49" fontId="0" fillId="4" borderId="7" xfId="0" applyNumberFormat="1" applyFill="1" applyBorder="1" applyAlignment="1">
      <alignment horizontal="left" vertical="top" wrapText="1"/>
    </xf>
    <xf numFmtId="49" fontId="0" fillId="4" borderId="13" xfId="0" applyNumberFormat="1" applyFill="1" applyBorder="1" applyAlignment="1">
      <alignment horizontal="left" vertical="top" wrapText="1"/>
    </xf>
    <xf numFmtId="49" fontId="0" fillId="4" borderId="16" xfId="0" applyNumberFormat="1" applyFill="1" applyBorder="1" applyAlignment="1">
      <alignment horizontal="left" vertical="top" wrapText="1"/>
    </xf>
    <xf numFmtId="49" fontId="0" fillId="4" borderId="1" xfId="0" applyNumberFormat="1" applyFill="1" applyBorder="1" applyAlignment="1">
      <alignment horizontal="left" vertical="top" wrapText="1"/>
    </xf>
    <xf numFmtId="49" fontId="0" fillId="4" borderId="14" xfId="0" applyNumberFormat="1" applyFill="1" applyBorder="1" applyAlignment="1">
      <alignment horizontal="left" vertical="top" wrapText="1"/>
    </xf>
    <xf numFmtId="49" fontId="41" fillId="0" borderId="0" xfId="0" applyNumberFormat="1" applyFont="1" applyAlignment="1">
      <alignment horizontal="left" vertical="top" wrapText="1"/>
    </xf>
    <xf numFmtId="0" fontId="41" fillId="0" borderId="0" xfId="0" applyFont="1" applyAlignment="1">
      <alignment horizontal="left" vertical="top" wrapText="1"/>
    </xf>
    <xf numFmtId="37" fontId="0" fillId="0" borderId="9" xfId="0" applyNumberFormat="1" applyBorder="1" applyAlignment="1">
      <alignment horizontal="right"/>
    </xf>
    <xf numFmtId="37" fontId="0" fillId="0" borderId="4" xfId="0" applyNumberFormat="1" applyBorder="1" applyAlignment="1">
      <alignment horizontal="right"/>
    </xf>
    <xf numFmtId="37" fontId="0" fillId="0" borderId="8" xfId="0" applyNumberFormat="1" applyBorder="1" applyAlignment="1">
      <alignment horizontal="right"/>
    </xf>
    <xf numFmtId="37" fontId="0" fillId="0" borderId="12" xfId="0" applyNumberFormat="1" applyBorder="1" applyAlignment="1">
      <alignment horizontal="right"/>
    </xf>
    <xf numFmtId="37" fontId="0" fillId="0" borderId="7" xfId="0" applyNumberFormat="1" applyBorder="1" applyAlignment="1">
      <alignment horizontal="right"/>
    </xf>
    <xf numFmtId="37" fontId="0" fillId="0" borderId="13" xfId="0" applyNumberFormat="1" applyBorder="1" applyAlignment="1">
      <alignment horizontal="right"/>
    </xf>
    <xf numFmtId="0" fontId="41" fillId="0" borderId="0" xfId="0" applyFont="1" applyAlignment="1">
      <alignment wrapText="1"/>
    </xf>
    <xf numFmtId="37" fontId="0" fillId="0" borderId="16" xfId="0" applyNumberFormat="1" applyBorder="1" applyAlignment="1">
      <alignment horizontal="right"/>
    </xf>
    <xf numFmtId="37" fontId="0" fillId="0" borderId="1" xfId="0" applyNumberFormat="1" applyBorder="1" applyAlignment="1">
      <alignment horizontal="right"/>
    </xf>
    <xf numFmtId="37" fontId="0" fillId="0" borderId="17" xfId="0" applyNumberFormat="1" applyBorder="1" applyAlignment="1">
      <alignment horizontal="right"/>
    </xf>
    <xf numFmtId="0" fontId="4" fillId="0" borderId="16" xfId="0" applyFont="1" applyBorder="1" applyAlignment="1">
      <alignment horizontal="center" wrapText="1"/>
    </xf>
    <xf numFmtId="0" fontId="4" fillId="0" borderId="1" xfId="0" applyFont="1" applyBorder="1" applyAlignment="1">
      <alignment horizontal="center" wrapText="1"/>
    </xf>
    <xf numFmtId="0" fontId="4" fillId="0" borderId="17" xfId="0" applyFont="1" applyBorder="1" applyAlignment="1">
      <alignment horizontal="center" wrapText="1"/>
    </xf>
    <xf numFmtId="0" fontId="4" fillId="0" borderId="12" xfId="0" applyFont="1" applyBorder="1" applyAlignment="1">
      <alignment horizontal="center" wrapText="1"/>
    </xf>
    <xf numFmtId="0" fontId="4" fillId="0" borderId="7" xfId="0" applyFont="1" applyBorder="1" applyAlignment="1">
      <alignment horizontal="center" wrapText="1"/>
    </xf>
    <xf numFmtId="0" fontId="4" fillId="0" borderId="13" xfId="0" applyFont="1" applyBorder="1" applyAlignment="1">
      <alignment horizontal="center" wrapText="1"/>
    </xf>
    <xf numFmtId="0" fontId="4" fillId="0" borderId="3" xfId="0" applyFont="1" applyBorder="1" applyAlignment="1">
      <alignment horizontal="center" wrapText="1"/>
    </xf>
    <xf numFmtId="0" fontId="4" fillId="0" borderId="14" xfId="0" applyFont="1" applyBorder="1" applyAlignment="1">
      <alignment horizontal="center" wrapText="1"/>
    </xf>
    <xf numFmtId="0" fontId="0" fillId="15" borderId="0" xfId="0" applyFill="1" applyAlignment="1">
      <alignment vertical="top" wrapText="1"/>
    </xf>
    <xf numFmtId="0" fontId="0" fillId="15" borderId="14" xfId="0" applyFill="1" applyBorder="1" applyAlignment="1">
      <alignment vertical="top" wrapText="1"/>
    </xf>
    <xf numFmtId="37" fontId="41" fillId="0" borderId="10" xfId="0" applyNumberFormat="1" applyFont="1" applyBorder="1"/>
    <xf numFmtId="37" fontId="0" fillId="0" borderId="5" xfId="0" applyNumberFormat="1" applyBorder="1" applyAlignment="1">
      <alignment horizontal="right"/>
    </xf>
    <xf numFmtId="37" fontId="41" fillId="0" borderId="10" xfId="0" applyNumberFormat="1" applyFont="1" applyBorder="1" applyAlignment="1">
      <alignment vertical="center"/>
    </xf>
    <xf numFmtId="37" fontId="0" fillId="0" borderId="5" xfId="0" applyNumberFormat="1" applyBorder="1" applyAlignment="1">
      <alignment horizontal="right" vertical="center"/>
    </xf>
    <xf numFmtId="0" fontId="0" fillId="15" borderId="0" xfId="0" applyFill="1" applyAlignment="1">
      <alignment horizontal="left" vertical="top" wrapText="1"/>
    </xf>
    <xf numFmtId="0" fontId="0" fillId="15" borderId="14" xfId="0" applyFill="1" applyBorder="1" applyAlignment="1">
      <alignment horizontal="left" vertical="top" wrapText="1"/>
    </xf>
    <xf numFmtId="0" fontId="41" fillId="0" borderId="0" xfId="0" applyFont="1" applyAlignment="1">
      <alignment horizontal="left"/>
    </xf>
    <xf numFmtId="0" fontId="41" fillId="0" borderId="0" xfId="0" applyFont="1" applyAlignment="1">
      <alignment horizontal="left" vertical="center" wrapText="1"/>
    </xf>
    <xf numFmtId="37" fontId="41" fillId="4" borderId="5" xfId="0" applyNumberFormat="1" applyFont="1" applyFill="1" applyBorder="1"/>
    <xf numFmtId="37" fontId="0" fillId="4" borderId="21" xfId="0" applyNumberFormat="1" applyFill="1" applyBorder="1"/>
    <xf numFmtId="0" fontId="41" fillId="0" borderId="0" xfId="0" applyFont="1" applyAlignment="1">
      <alignment vertical="top" wrapText="1"/>
    </xf>
    <xf numFmtId="0" fontId="12" fillId="0" borderId="0" xfId="6" applyFont="1" applyFill="1" applyAlignment="1" applyProtection="1">
      <alignment horizontal="center"/>
    </xf>
    <xf numFmtId="0" fontId="0" fillId="0" borderId="16" xfId="0" applyBorder="1" applyAlignment="1">
      <alignment horizontal="center"/>
    </xf>
    <xf numFmtId="0" fontId="0" fillId="0" borderId="17" xfId="0" applyBorder="1" applyAlignment="1">
      <alignment horizontal="center"/>
    </xf>
    <xf numFmtId="0" fontId="0" fillId="0" borderId="0" xfId="0" applyAlignment="1">
      <alignment wrapText="1"/>
    </xf>
    <xf numFmtId="168" fontId="0" fillId="5" borderId="0" xfId="0" applyNumberFormat="1" applyFill="1" applyAlignment="1">
      <alignment horizontal="left"/>
    </xf>
    <xf numFmtId="168" fontId="0" fillId="5" borderId="14" xfId="0" applyNumberFormat="1" applyFill="1" applyBorder="1" applyAlignment="1">
      <alignment horizontal="left"/>
    </xf>
    <xf numFmtId="168" fontId="23" fillId="5" borderId="0" xfId="0" applyNumberFormat="1" applyFont="1" applyFill="1" applyAlignment="1">
      <alignment horizontal="left"/>
    </xf>
    <xf numFmtId="168" fontId="41" fillId="0" borderId="0" xfId="0" applyNumberFormat="1" applyFont="1" applyAlignment="1">
      <alignment horizontal="left"/>
    </xf>
    <xf numFmtId="168" fontId="41" fillId="5" borderId="0" xfId="0" applyNumberFormat="1" applyFont="1" applyFill="1" applyAlignment="1">
      <alignment horizontal="left"/>
    </xf>
    <xf numFmtId="168" fontId="41" fillId="5" borderId="14" xfId="0" applyNumberFormat="1" applyFont="1" applyFill="1" applyBorder="1" applyAlignment="1">
      <alignment horizontal="left"/>
    </xf>
    <xf numFmtId="0" fontId="0" fillId="0" borderId="0" xfId="0" quotePrefix="1" applyAlignment="1">
      <alignment horizontal="left"/>
    </xf>
    <xf numFmtId="168" fontId="23" fillId="5" borderId="14" xfId="0" applyNumberFormat="1" applyFont="1" applyFill="1" applyBorder="1" applyAlignment="1">
      <alignment horizontal="left"/>
    </xf>
    <xf numFmtId="168" fontId="3" fillId="5" borderId="0" xfId="0" applyNumberFormat="1" applyFont="1" applyFill="1" applyAlignment="1">
      <alignment horizontal="center"/>
    </xf>
    <xf numFmtId="0" fontId="0" fillId="0" borderId="2" xfId="0" applyBorder="1" applyAlignment="1">
      <alignment horizontal="center"/>
    </xf>
    <xf numFmtId="0" fontId="23" fillId="0" borderId="9" xfId="10" applyFont="1" applyBorder="1"/>
    <xf numFmtId="0" fontId="23" fillId="0" borderId="4" xfId="10" applyFont="1" applyBorder="1"/>
    <xf numFmtId="0" fontId="23" fillId="0" borderId="8" xfId="0" applyFont="1" applyBorder="1"/>
    <xf numFmtId="0" fontId="0" fillId="0" borderId="9" xfId="0" applyBorder="1" applyAlignment="1">
      <alignment horizontal="left"/>
    </xf>
    <xf numFmtId="0" fontId="0" fillId="0" borderId="4" xfId="0" applyBorder="1" applyAlignment="1">
      <alignment horizontal="left"/>
    </xf>
    <xf numFmtId="0" fontId="0" fillId="0" borderId="8" xfId="0" applyBorder="1" applyAlignment="1">
      <alignment horizontal="left"/>
    </xf>
    <xf numFmtId="0" fontId="23" fillId="0" borderId="9" xfId="10" applyFont="1" applyBorder="1" applyAlignment="1">
      <alignment horizontal="left"/>
    </xf>
    <xf numFmtId="0" fontId="23" fillId="0" borderId="4" xfId="10" applyFont="1" applyBorder="1" applyAlignment="1">
      <alignment horizontal="left"/>
    </xf>
    <xf numFmtId="0" fontId="23" fillId="0" borderId="8" xfId="10" applyFont="1" applyBorder="1" applyAlignment="1">
      <alignment horizontal="left"/>
    </xf>
    <xf numFmtId="0" fontId="3" fillId="0" borderId="9" xfId="6" applyFont="1" applyFill="1" applyBorder="1" applyProtection="1"/>
    <xf numFmtId="0" fontId="3" fillId="0" borderId="4" xfId="10" applyFont="1" applyBorder="1"/>
    <xf numFmtId="0" fontId="3" fillId="0" borderId="8" xfId="10" applyFont="1" applyBorder="1"/>
    <xf numFmtId="168" fontId="27" fillId="0" borderId="0" xfId="10" applyNumberFormat="1" applyFont="1" applyAlignment="1">
      <alignment horizontal="center" wrapText="1"/>
    </xf>
    <xf numFmtId="0" fontId="3" fillId="0" borderId="12" xfId="6" applyFont="1" applyFill="1" applyBorder="1" applyProtection="1"/>
    <xf numFmtId="0" fontId="3" fillId="0" borderId="7" xfId="6" applyFont="1" applyFill="1" applyBorder="1" applyProtection="1"/>
    <xf numFmtId="0" fontId="3" fillId="0" borderId="13" xfId="6" applyFont="1" applyFill="1" applyBorder="1" applyProtection="1"/>
    <xf numFmtId="0" fontId="3" fillId="0" borderId="16" xfId="0" applyFont="1" applyBorder="1"/>
    <xf numFmtId="0" fontId="3" fillId="0" borderId="17" xfId="6" applyFont="1" applyFill="1" applyBorder="1" applyProtection="1"/>
    <xf numFmtId="168" fontId="3" fillId="0" borderId="10" xfId="12" applyNumberFormat="1" applyFont="1" applyFill="1" applyBorder="1" applyAlignment="1" applyProtection="1">
      <alignment horizontal="center" wrapText="1"/>
    </xf>
    <xf numFmtId="168" fontId="3" fillId="0" borderId="5" xfId="12" applyNumberFormat="1" applyFont="1" applyFill="1" applyBorder="1" applyAlignment="1" applyProtection="1">
      <alignment horizontal="center" wrapText="1"/>
    </xf>
    <xf numFmtId="0" fontId="23" fillId="0" borderId="1" xfId="10" applyFont="1" applyBorder="1" applyAlignment="1">
      <alignment horizontal="center"/>
    </xf>
    <xf numFmtId="168" fontId="37" fillId="0" borderId="7" xfId="12" applyNumberFormat="1" applyFont="1" applyFill="1" applyBorder="1" applyAlignment="1" applyProtection="1">
      <alignment horizontal="left" vertical="top"/>
    </xf>
    <xf numFmtId="168" fontId="37" fillId="0" borderId="0" xfId="0" applyNumberFormat="1" applyFont="1" applyAlignment="1">
      <alignment horizontal="left" vertical="top"/>
    </xf>
    <xf numFmtId="0" fontId="43" fillId="0" borderId="9" xfId="10" applyFont="1" applyBorder="1" applyAlignment="1">
      <alignment horizontal="center"/>
    </xf>
    <xf numFmtId="0" fontId="43" fillId="0" borderId="4" xfId="10" applyFont="1" applyBorder="1" applyAlignment="1">
      <alignment horizontal="center"/>
    </xf>
    <xf numFmtId="0" fontId="43" fillId="0" borderId="8" xfId="10" applyFont="1" applyBorder="1" applyAlignment="1">
      <alignment horizontal="center"/>
    </xf>
    <xf numFmtId="168" fontId="23" fillId="5" borderId="10" xfId="0" applyNumberFormat="1" applyFont="1" applyFill="1" applyBorder="1" applyAlignment="1">
      <alignment horizontal="center" vertical="center"/>
    </xf>
    <xf numFmtId="168" fontId="23" fillId="5" borderId="15" xfId="0" applyNumberFormat="1" applyFont="1" applyFill="1" applyBorder="1" applyAlignment="1">
      <alignment horizontal="center" vertical="center"/>
    </xf>
    <xf numFmtId="168" fontId="23" fillId="5" borderId="5" xfId="0" applyNumberFormat="1" applyFont="1" applyFill="1" applyBorder="1" applyAlignment="1">
      <alignment horizontal="center" vertical="center"/>
    </xf>
    <xf numFmtId="168" fontId="43" fillId="5" borderId="0" xfId="0" applyNumberFormat="1" applyFont="1" applyFill="1"/>
    <xf numFmtId="168" fontId="43" fillId="5" borderId="14" xfId="0" applyNumberFormat="1" applyFont="1" applyFill="1" applyBorder="1"/>
    <xf numFmtId="168" fontId="43" fillId="5" borderId="1" xfId="0" applyNumberFormat="1" applyFont="1" applyFill="1" applyBorder="1"/>
    <xf numFmtId="168" fontId="43" fillId="5" borderId="17" xfId="0" applyNumberFormat="1" applyFont="1" applyFill="1" applyBorder="1"/>
    <xf numFmtId="49" fontId="0" fillId="5" borderId="3" xfId="0" applyNumberFormat="1" applyFill="1" applyBorder="1" applyAlignment="1">
      <alignment horizontal="left" wrapText="1"/>
    </xf>
    <xf numFmtId="49" fontId="0" fillId="5" borderId="0" xfId="0" applyNumberFormat="1" applyFill="1" applyAlignment="1">
      <alignment horizontal="left" wrapText="1"/>
    </xf>
    <xf numFmtId="49" fontId="0" fillId="5" borderId="16" xfId="0" applyNumberFormat="1" applyFill="1" applyBorder="1" applyAlignment="1">
      <alignment wrapText="1"/>
    </xf>
    <xf numFmtId="49" fontId="0" fillId="5" borderId="1" xfId="0" applyNumberFormat="1" applyFill="1" applyBorder="1" applyAlignment="1">
      <alignment wrapText="1"/>
    </xf>
    <xf numFmtId="37" fontId="0" fillId="0" borderId="10" xfId="0" applyNumberFormat="1" applyBorder="1"/>
    <xf numFmtId="37" fontId="0" fillId="0" borderId="5" xfId="0" applyNumberFormat="1" applyBorder="1"/>
    <xf numFmtId="0" fontId="48" fillId="0" borderId="10" xfId="6" applyFont="1" applyFill="1" applyBorder="1" applyAlignment="1" applyProtection="1">
      <alignment horizontal="center"/>
    </xf>
    <xf numFmtId="0" fontId="48" fillId="0" borderId="5" xfId="6" applyFont="1" applyFill="1" applyBorder="1" applyAlignment="1" applyProtection="1">
      <alignment horizontal="center"/>
    </xf>
    <xf numFmtId="0" fontId="48" fillId="0" borderId="10" xfId="6" applyFont="1" applyFill="1" applyBorder="1" applyAlignment="1" applyProtection="1">
      <alignment horizontal="center" wrapText="1"/>
    </xf>
    <xf numFmtId="0" fontId="48" fillId="0" borderId="5" xfId="6" applyFont="1" applyFill="1" applyBorder="1" applyAlignment="1" applyProtection="1">
      <alignment horizontal="center" wrapText="1"/>
    </xf>
    <xf numFmtId="0" fontId="3" fillId="0" borderId="0" xfId="0" applyFont="1" applyAlignment="1">
      <alignment horizontal="right"/>
    </xf>
    <xf numFmtId="0" fontId="49" fillId="0" borderId="0" xfId="0" applyFont="1" applyAlignment="1">
      <alignment horizontal="center"/>
    </xf>
    <xf numFmtId="37" fontId="39" fillId="0" borderId="22" xfId="13" applyNumberFormat="1" applyFont="1" applyBorder="1" applyAlignment="1">
      <alignment horizontal="center" wrapText="1"/>
    </xf>
    <xf numFmtId="37" fontId="39" fillId="0" borderId="25" xfId="13" applyNumberFormat="1" applyFont="1" applyBorder="1" applyAlignment="1">
      <alignment horizontal="center" wrapText="1"/>
    </xf>
    <xf numFmtId="37" fontId="39" fillId="0" borderId="27" xfId="13" applyNumberFormat="1" applyFont="1" applyBorder="1" applyAlignment="1">
      <alignment horizontal="center" wrapText="1"/>
    </xf>
    <xf numFmtId="38" fontId="39" fillId="0" borderId="24" xfId="13" applyNumberFormat="1" applyFont="1" applyBorder="1" applyAlignment="1">
      <alignment horizontal="center" wrapText="1"/>
    </xf>
    <xf numFmtId="38" fontId="39" fillId="0" borderId="15" xfId="13" applyNumberFormat="1" applyFont="1" applyBorder="1" applyAlignment="1">
      <alignment horizontal="center" wrapText="1"/>
    </xf>
    <xf numFmtId="38" fontId="39" fillId="0" borderId="10" xfId="13" applyNumberFormat="1" applyFont="1" applyBorder="1" applyAlignment="1">
      <alignment horizontal="center" wrapText="1"/>
    </xf>
    <xf numFmtId="9" fontId="0" fillId="0" borderId="12" xfId="0" applyNumberFormat="1" applyBorder="1" applyAlignment="1">
      <alignment vertical="top" wrapText="1"/>
    </xf>
    <xf numFmtId="9" fontId="0" fillId="0" borderId="7" xfId="0" applyNumberFormat="1" applyBorder="1" applyAlignment="1">
      <alignment vertical="top" wrapText="1"/>
    </xf>
    <xf numFmtId="9" fontId="0" fillId="0" borderId="13" xfId="0" applyNumberFormat="1" applyBorder="1" applyAlignment="1">
      <alignment vertical="top" wrapText="1"/>
    </xf>
    <xf numFmtId="9" fontId="0" fillId="0" borderId="3" xfId="0" applyNumberFormat="1" applyBorder="1" applyAlignment="1">
      <alignment vertical="top" wrapText="1"/>
    </xf>
    <xf numFmtId="9" fontId="0" fillId="0" borderId="0" xfId="0" applyNumberFormat="1" applyAlignment="1">
      <alignment vertical="top" wrapText="1"/>
    </xf>
    <xf numFmtId="9" fontId="0" fillId="0" borderId="14" xfId="0" applyNumberFormat="1" applyBorder="1" applyAlignment="1">
      <alignment vertical="top" wrapText="1"/>
    </xf>
    <xf numFmtId="9" fontId="0" fillId="0" borderId="16" xfId="0" applyNumberFormat="1" applyBorder="1" applyAlignment="1">
      <alignment vertical="top" wrapText="1"/>
    </xf>
    <xf numFmtId="9" fontId="0" fillId="0" borderId="1" xfId="0" applyNumberFormat="1" applyBorder="1" applyAlignment="1">
      <alignment vertical="top" wrapText="1"/>
    </xf>
    <xf numFmtId="9" fontId="0" fillId="0" borderId="17" xfId="0" applyNumberFormat="1" applyBorder="1" applyAlignment="1">
      <alignment vertical="top" wrapText="1"/>
    </xf>
    <xf numFmtId="0" fontId="3" fillId="0" borderId="9" xfId="0" applyFont="1" applyBorder="1" applyAlignment="1">
      <alignment horizontal="left" wrapText="1"/>
    </xf>
    <xf numFmtId="0" fontId="3" fillId="0" borderId="4" xfId="0" applyFont="1" applyBorder="1" applyAlignment="1">
      <alignment horizontal="left" wrapText="1"/>
    </xf>
    <xf numFmtId="0" fontId="3" fillId="0" borderId="8" xfId="0" applyFont="1" applyBorder="1" applyAlignment="1">
      <alignment horizontal="left" wrapText="1"/>
    </xf>
    <xf numFmtId="9" fontId="0" fillId="0" borderId="9" xfId="0" applyNumberFormat="1" applyBorder="1" applyAlignment="1">
      <alignment horizontal="center" wrapText="1"/>
    </xf>
    <xf numFmtId="9" fontId="0" fillId="0" borderId="4" xfId="0" applyNumberFormat="1" applyBorder="1" applyAlignment="1">
      <alignment horizontal="center" wrapText="1"/>
    </xf>
    <xf numFmtId="9" fontId="0" fillId="0" borderId="8" xfId="0" applyNumberFormat="1" applyBorder="1" applyAlignment="1">
      <alignment horizontal="center" wrapText="1"/>
    </xf>
    <xf numFmtId="0" fontId="0" fillId="0" borderId="9" xfId="0" applyBorder="1" applyAlignment="1">
      <alignment horizontal="center" wrapText="1"/>
    </xf>
    <xf numFmtId="0" fontId="0" fillId="0" borderId="4" xfId="0" applyBorder="1" applyAlignment="1">
      <alignment horizontal="center" wrapText="1"/>
    </xf>
    <xf numFmtId="0" fontId="0" fillId="0" borderId="8" xfId="0" applyBorder="1" applyAlignment="1">
      <alignment horizontal="center" wrapText="1"/>
    </xf>
    <xf numFmtId="0" fontId="0" fillId="0" borderId="0" xfId="0" quotePrefix="1" applyAlignment="1">
      <alignment horizontal="right" vertical="top"/>
    </xf>
    <xf numFmtId="0" fontId="23" fillId="0" borderId="0" xfId="0" applyFont="1" applyAlignment="1">
      <alignment horizontal="left" vertical="top" wrapText="1"/>
    </xf>
    <xf numFmtId="0" fontId="23" fillId="0" borderId="14" xfId="0" applyFont="1" applyBorder="1" applyAlignment="1">
      <alignment horizontal="left" vertical="top" wrapText="1"/>
    </xf>
    <xf numFmtId="0" fontId="43" fillId="0" borderId="0" xfId="0" applyFont="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37" fontId="3" fillId="0" borderId="0" xfId="8" applyNumberFormat="1" applyFont="1" applyAlignment="1">
      <alignment horizontal="left" wrapText="1"/>
    </xf>
    <xf numFmtId="168" fontId="3" fillId="0" borderId="0" xfId="0" applyNumberFormat="1" applyFont="1" applyAlignment="1">
      <alignment horizontal="left"/>
    </xf>
    <xf numFmtId="0" fontId="43" fillId="0" borderId="0" xfId="0" applyFont="1"/>
    <xf numFmtId="0" fontId="46" fillId="0" borderId="2" xfId="7" applyFont="1" applyBorder="1" applyAlignment="1">
      <alignment horizontal="center"/>
    </xf>
  </cellXfs>
  <cellStyles count="15">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6" xr:uid="{00000000-0005-0000-0000-000006000000}"/>
    <cellStyle name="Hyperlink 2" xfId="12" xr:uid="{00000000-0005-0000-0000-00000C000000}"/>
    <cellStyle name="Hyperlink 3" xfId="14" xr:uid="{00000000-0005-0000-0000-00000E000000}"/>
    <cellStyle name="Normal" xfId="0" builtinId="0"/>
    <cellStyle name="Normal 2" xfId="7" xr:uid="{00000000-0005-0000-0000-000007000000}"/>
    <cellStyle name="Normal 2 2" xfId="11" xr:uid="{00000000-0005-0000-0000-00000B000000}"/>
    <cellStyle name="Normal 3" xfId="8" xr:uid="{00000000-0005-0000-0000-000008000000}"/>
    <cellStyle name="Normal 4" xfId="10" xr:uid="{00000000-0005-0000-0000-00000A000000}"/>
    <cellStyle name="Normal 5" xfId="13" xr:uid="{00000000-0005-0000-0000-00000D000000}"/>
    <cellStyle name="Normal_budget03" xfId="9" xr:uid="{00000000-0005-0000-0000-000009000000}"/>
    <cellStyle name="Percent" xfId="1" xr:uid="{00000000-0005-0000-0000-000001000000}"/>
  </cellStyles>
  <dxfs count="12">
    <dxf>
      <fill>
        <patternFill patternType="solid">
          <fgColor auto="1"/>
          <bgColor rgb="FFFF0000"/>
        </patternFill>
      </fill>
    </dxf>
    <dxf>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ill>
        <patternFill patternType="solid">
          <fgColor auto="1"/>
          <bgColor rgb="FFFF0000"/>
        </patternFill>
      </fill>
    </dxf>
    <dxf>
      <fill>
        <patternFill patternType="solid">
          <fgColor auto="1"/>
          <bgColor rgb="FFFF5050"/>
        </patternFill>
      </fill>
    </dxf>
    <dxf>
      <fill>
        <patternFill patternType="solid">
          <fgColor auto="1"/>
          <bgColor rgb="FFFF5050"/>
        </patternFill>
      </fill>
    </dxf>
    <dxf>
      <fill>
        <patternFill patternType="solid">
          <fgColor auto="1"/>
          <bgColor rgb="FFFF0000"/>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EE37A-9784-4E92-A38B-92FC1796372E}">
  <sheetPr>
    <pageSetUpPr fitToPage="1"/>
  </sheetPr>
  <dimension ref="A1:Z35"/>
  <sheetViews>
    <sheetView showGridLines="0" topLeftCell="A16" workbookViewId="0">
      <selection activeCell="B18" sqref="B18:J18"/>
    </sheetView>
  </sheetViews>
  <sheetFormatPr defaultColWidth="9.33203125" defaultRowHeight="13.2" x14ac:dyDescent="0.25"/>
  <cols>
    <col min="1" max="1" width="22.21875" customWidth="1"/>
    <col min="2" max="2" width="6.33203125" customWidth="1"/>
    <col min="3" max="3" width="5.33203125" customWidth="1"/>
    <col min="4" max="4" width="9.33203125" customWidth="1"/>
    <col min="5" max="5" width="6.33203125" customWidth="1"/>
    <col min="6" max="6" width="13" customWidth="1"/>
    <col min="7" max="7" width="7.77734375" customWidth="1"/>
    <col min="8" max="8" width="3.33203125" customWidth="1"/>
    <col min="9" max="9" width="13" customWidth="1"/>
    <col min="10" max="12" width="9.33203125" customWidth="1"/>
    <col min="13" max="13" width="11" customWidth="1"/>
    <col min="14" max="14" width="20" customWidth="1"/>
    <col min="15" max="15" width="17.33203125" customWidth="1"/>
    <col min="16" max="16" width="7" customWidth="1"/>
    <col min="17" max="17" width="3.33203125" customWidth="1"/>
    <col min="18" max="18" width="16" customWidth="1"/>
    <col min="19" max="26" width="9.33203125" customWidth="1"/>
    <col min="27" max="27" width="18" customWidth="1"/>
    <col min="28" max="28" width="11.77734375" customWidth="1"/>
    <col min="29" max="29" width="9.33203125" customWidth="1"/>
  </cols>
  <sheetData>
    <row r="1" spans="1:18" ht="12.75" customHeight="1" x14ac:dyDescent="0.3">
      <c r="A1" s="629" t="s">
        <v>0</v>
      </c>
      <c r="B1" s="629"/>
      <c r="C1" s="629"/>
      <c r="D1" s="608" t="s">
        <v>1299</v>
      </c>
      <c r="E1" s="609"/>
      <c r="F1" s="609"/>
      <c r="G1" s="609"/>
      <c r="H1" s="609"/>
      <c r="I1" s="609"/>
      <c r="L1" s="39" t="s">
        <v>1</v>
      </c>
      <c r="M1" s="612" t="s">
        <v>1300</v>
      </c>
      <c r="N1" s="609"/>
      <c r="Q1" s="6" t="s">
        <v>2</v>
      </c>
      <c r="R1" s="474" t="s">
        <v>1301</v>
      </c>
    </row>
    <row r="2" spans="1:18" ht="12.75" customHeight="1" x14ac:dyDescent="0.3">
      <c r="A2" s="463"/>
      <c r="B2" s="463"/>
      <c r="C2" s="463"/>
      <c r="D2" s="611" t="s">
        <v>3</v>
      </c>
      <c r="E2" s="611"/>
      <c r="F2" s="611"/>
      <c r="G2" s="611"/>
      <c r="H2" s="611"/>
      <c r="I2" s="611"/>
      <c r="L2" s="62"/>
      <c r="M2" s="464"/>
      <c r="N2" s="464"/>
      <c r="O2" s="464"/>
      <c r="P2" s="464"/>
      <c r="Q2" s="464"/>
      <c r="R2" s="464"/>
    </row>
    <row r="3" spans="1:18" ht="12.75" customHeight="1" x14ac:dyDescent="0.3">
      <c r="A3" s="463"/>
      <c r="B3" s="463"/>
      <c r="C3" s="463"/>
      <c r="D3" s="608" t="s">
        <v>1302</v>
      </c>
      <c r="E3" s="609"/>
      <c r="F3" s="609"/>
      <c r="G3" s="609"/>
      <c r="H3" s="609"/>
      <c r="I3" s="609"/>
      <c r="L3" s="464"/>
      <c r="M3" s="464"/>
      <c r="N3" s="464"/>
      <c r="O3" s="464"/>
      <c r="P3" s="464"/>
      <c r="Q3" s="464"/>
      <c r="R3" s="464"/>
    </row>
    <row r="4" spans="1:18" ht="12.75" customHeight="1" x14ac:dyDescent="0.3">
      <c r="A4" s="463"/>
      <c r="B4" s="463"/>
      <c r="C4" s="463"/>
      <c r="D4" s="611" t="s">
        <v>4</v>
      </c>
      <c r="E4" s="611"/>
      <c r="F4" s="611"/>
      <c r="G4" s="611"/>
      <c r="H4" s="611"/>
      <c r="I4" s="611"/>
      <c r="L4" s="475"/>
      <c r="M4" s="465"/>
      <c r="N4" s="465"/>
      <c r="O4" s="465"/>
      <c r="P4" s="465"/>
      <c r="Q4" s="465"/>
      <c r="R4" s="465"/>
    </row>
    <row r="5" spans="1:18" ht="12.75" customHeight="1" x14ac:dyDescent="0.25">
      <c r="A5" s="92"/>
      <c r="B5" s="463"/>
      <c r="C5" s="463"/>
      <c r="L5" s="465"/>
      <c r="M5" s="465"/>
      <c r="N5" s="465"/>
      <c r="O5" s="465"/>
      <c r="P5" s="465"/>
      <c r="Q5" s="465"/>
      <c r="R5" s="465"/>
    </row>
    <row r="6" spans="1:18" ht="17.25" customHeight="1" x14ac:dyDescent="0.3">
      <c r="A6" s="626"/>
      <c r="B6" s="627" t="s">
        <v>5</v>
      </c>
      <c r="C6" s="627"/>
      <c r="D6" s="627"/>
      <c r="E6" s="627"/>
      <c r="F6" s="627"/>
      <c r="G6" s="627"/>
      <c r="H6" s="627"/>
      <c r="I6" s="627"/>
      <c r="J6" s="448"/>
      <c r="L6" s="465"/>
      <c r="M6" s="465"/>
      <c r="N6" s="465"/>
      <c r="O6" s="465"/>
      <c r="P6" s="465"/>
      <c r="Q6" s="465"/>
      <c r="R6" s="465"/>
    </row>
    <row r="7" spans="1:18" ht="18" customHeight="1" x14ac:dyDescent="0.3">
      <c r="A7" s="626"/>
      <c r="B7" s="627" t="s">
        <v>6</v>
      </c>
      <c r="C7" s="627"/>
      <c r="D7" s="627"/>
      <c r="E7" s="627"/>
      <c r="F7" s="627"/>
      <c r="G7" s="627"/>
      <c r="H7" s="627"/>
      <c r="I7" s="627"/>
      <c r="J7" s="213"/>
      <c r="L7" s="465"/>
      <c r="M7" s="465"/>
      <c r="N7" s="465"/>
      <c r="O7" s="465"/>
      <c r="P7" s="465"/>
      <c r="Q7" s="465"/>
      <c r="R7" s="465"/>
    </row>
    <row r="8" spans="1:18" ht="18" customHeight="1" x14ac:dyDescent="0.3">
      <c r="A8" s="466"/>
      <c r="B8" s="628" t="s">
        <v>7</v>
      </c>
      <c r="C8" s="628"/>
      <c r="D8" s="628"/>
      <c r="E8" s="628"/>
      <c r="F8" s="628"/>
      <c r="G8" s="628"/>
      <c r="H8" s="628"/>
      <c r="I8" s="628"/>
      <c r="J8" s="448"/>
      <c r="L8" s="465"/>
      <c r="M8" s="465"/>
      <c r="N8" s="465"/>
      <c r="O8" s="465"/>
      <c r="P8" s="465"/>
      <c r="Q8" s="465"/>
      <c r="R8" s="465"/>
    </row>
    <row r="9" spans="1:18" ht="12.75" customHeight="1" x14ac:dyDescent="0.3">
      <c r="C9" s="467"/>
      <c r="D9" s="467"/>
      <c r="E9" s="467"/>
      <c r="F9" s="467"/>
      <c r="G9" s="467"/>
      <c r="H9" s="467"/>
      <c r="I9" s="467"/>
      <c r="J9" s="468"/>
      <c r="L9" s="465"/>
      <c r="M9" s="465"/>
      <c r="N9" s="465"/>
      <c r="O9" s="465"/>
      <c r="P9" s="475"/>
      <c r="Q9" s="465"/>
      <c r="R9" s="465"/>
    </row>
    <row r="10" spans="1:18" ht="26.25" customHeight="1" x14ac:dyDescent="0.3">
      <c r="A10" s="62"/>
      <c r="B10" s="618" t="str">
        <f>IF('Page 2'!N9="","","Checking the box to the left certifies the Charter did not incur any expenses for student support services, as defined in the USFRCS and reported on Page 2, Line 2, during the fiscal year.")</f>
        <v/>
      </c>
      <c r="C10" s="618"/>
      <c r="D10" s="618"/>
      <c r="E10" s="618"/>
      <c r="F10" s="618"/>
      <c r="G10" s="618"/>
      <c r="H10" s="618"/>
      <c r="I10" s="618"/>
      <c r="J10" s="619"/>
      <c r="L10" s="465"/>
      <c r="M10" s="465"/>
      <c r="N10" s="465"/>
      <c r="O10" s="465"/>
      <c r="P10" s="465"/>
      <c r="Q10" s="465"/>
      <c r="R10" s="465"/>
    </row>
    <row r="11" spans="1:18" x14ac:dyDescent="0.25">
      <c r="A11" s="623" t="s">
        <v>8</v>
      </c>
      <c r="B11" s="623"/>
      <c r="C11" s="623"/>
      <c r="D11" s="624" t="s">
        <v>1303</v>
      </c>
      <c r="E11" s="624"/>
      <c r="F11" s="624"/>
      <c r="G11" s="624"/>
      <c r="H11" s="624"/>
      <c r="I11" s="624"/>
      <c r="J11" s="625"/>
      <c r="L11" s="465"/>
      <c r="M11" s="465"/>
      <c r="N11" s="465"/>
      <c r="O11" s="465"/>
      <c r="P11" s="465"/>
      <c r="Q11" s="465"/>
      <c r="R11" s="465"/>
    </row>
    <row r="12" spans="1:18" ht="25.5" customHeight="1" x14ac:dyDescent="0.3">
      <c r="A12" s="62"/>
      <c r="B12" s="618" t="str">
        <f>IF('Page 2'!N10="","","Checking the box to the left certifies the Charter did not incur any expenses for instructional support services, as defined in the USFRCS and reported on Page 2, Line 3, during the fiscal year.")</f>
        <v/>
      </c>
      <c r="C12" s="618"/>
      <c r="D12" s="618"/>
      <c r="E12" s="618"/>
      <c r="F12" s="618"/>
      <c r="G12" s="618"/>
      <c r="H12" s="618"/>
      <c r="I12" s="618"/>
      <c r="J12" s="619"/>
      <c r="K12" s="189"/>
      <c r="L12" s="465"/>
      <c r="M12" s="465"/>
      <c r="N12" s="465"/>
      <c r="O12" s="465"/>
      <c r="P12" s="465"/>
      <c r="Q12" s="465"/>
      <c r="R12" s="465"/>
    </row>
    <row r="13" spans="1:18" x14ac:dyDescent="0.25">
      <c r="C13" s="467"/>
      <c r="D13" s="467"/>
      <c r="E13" s="467"/>
      <c r="F13" s="467"/>
      <c r="G13" s="467"/>
      <c r="H13" s="467"/>
      <c r="I13" s="467"/>
      <c r="J13" s="468"/>
      <c r="L13" s="465"/>
      <c r="M13" s="465"/>
      <c r="N13" s="465"/>
      <c r="O13" s="465"/>
      <c r="P13" s="465"/>
      <c r="Q13" s="465"/>
      <c r="R13" s="465"/>
    </row>
    <row r="14" spans="1:18" ht="25.5" customHeight="1" x14ac:dyDescent="0.3">
      <c r="A14" s="62"/>
      <c r="B14" s="618" t="str">
        <f>IF('Page 3'!M12="","","Checking the box to the left certifies the Charter did not incur any expenses for Classroom Site Project, as reported on Page 3, during the fiscal year.")</f>
        <v/>
      </c>
      <c r="C14" s="618"/>
      <c r="D14" s="618"/>
      <c r="E14" s="618"/>
      <c r="F14" s="618"/>
      <c r="G14" s="618"/>
      <c r="H14" s="618"/>
      <c r="I14" s="618"/>
      <c r="J14" s="619"/>
      <c r="L14" s="465"/>
      <c r="M14" s="465"/>
      <c r="N14" s="465"/>
      <c r="O14" s="465"/>
      <c r="P14" s="465"/>
      <c r="Q14" s="465"/>
      <c r="R14" s="465"/>
    </row>
    <row r="15" spans="1:18" x14ac:dyDescent="0.25">
      <c r="C15" s="467"/>
      <c r="D15" s="467"/>
      <c r="E15" s="467"/>
      <c r="F15" s="467"/>
      <c r="G15" s="467"/>
      <c r="H15" s="467"/>
      <c r="I15" s="467"/>
      <c r="J15" s="468"/>
      <c r="L15" s="465"/>
      <c r="M15" s="465"/>
      <c r="N15" s="465"/>
      <c r="O15" s="465"/>
      <c r="P15" s="465"/>
      <c r="Q15" s="465"/>
      <c r="R15" s="465"/>
    </row>
    <row r="16" spans="1:18" ht="39.75" customHeight="1" x14ac:dyDescent="0.3">
      <c r="A16" s="62"/>
      <c r="B16" s="618" t="str">
        <f>IF('Page 6'!H33="","","Checking the box to the left certifies the Charter did not incur any current expenses for student support services, as defined in the USFRCS and reported on Page 6-Section E-Line 4, during the fiscal year.")</f>
        <v/>
      </c>
      <c r="C16" s="618"/>
      <c r="D16" s="618"/>
      <c r="E16" s="618"/>
      <c r="F16" s="618"/>
      <c r="G16" s="618"/>
      <c r="H16" s="618"/>
      <c r="I16" s="618"/>
      <c r="J16" s="619"/>
      <c r="L16" s="465"/>
      <c r="M16" s="465"/>
      <c r="N16" s="465"/>
      <c r="O16" s="465"/>
      <c r="P16" s="465"/>
      <c r="Q16" s="465"/>
      <c r="R16" s="465"/>
    </row>
    <row r="17" spans="1:26" x14ac:dyDescent="0.25">
      <c r="C17" s="467"/>
      <c r="D17" s="467"/>
      <c r="E17" s="467"/>
      <c r="F17" s="467"/>
      <c r="G17" s="467"/>
      <c r="H17" s="467"/>
      <c r="I17" s="467"/>
      <c r="J17" s="468"/>
      <c r="L17" s="465"/>
      <c r="M17" s="465"/>
      <c r="N17" s="465"/>
      <c r="O17" s="465"/>
      <c r="P17" s="465"/>
      <c r="Q17" s="465"/>
      <c r="R17" s="465"/>
    </row>
    <row r="18" spans="1:26" ht="48" customHeight="1" x14ac:dyDescent="0.3">
      <c r="A18" s="62"/>
      <c r="B18" s="618" t="str">
        <f>IF('Page 4'!K10="","","Checking the box to the left certifies the Charter did not incur any expenses for Instructional Improvement Project, as defined in the USFRCS and reported on Page 4, Line 5, during the fiscal year.")</f>
        <v/>
      </c>
      <c r="C18" s="618"/>
      <c r="D18" s="618"/>
      <c r="E18" s="618"/>
      <c r="F18" s="618"/>
      <c r="G18" s="618"/>
      <c r="H18" s="618"/>
      <c r="I18" s="618"/>
      <c r="J18" s="619"/>
      <c r="L18" s="465"/>
      <c r="M18" s="465"/>
      <c r="N18" s="465"/>
      <c r="O18" s="465"/>
      <c r="P18" s="465"/>
      <c r="Q18" s="465"/>
      <c r="R18" s="465"/>
      <c r="S18" s="57"/>
      <c r="T18" s="57"/>
    </row>
    <row r="19" spans="1:26" ht="12.75" customHeight="1" x14ac:dyDescent="0.25">
      <c r="B19" s="620" t="s">
        <v>9</v>
      </c>
      <c r="C19" s="620"/>
      <c r="D19" s="620"/>
      <c r="E19" s="620"/>
      <c r="F19" s="620"/>
      <c r="G19" s="620"/>
      <c r="H19" s="620"/>
      <c r="I19" s="620"/>
      <c r="J19" s="448"/>
      <c r="L19" s="621" t="s">
        <v>10</v>
      </c>
      <c r="M19" s="621"/>
      <c r="N19" s="621"/>
      <c r="O19" s="621"/>
      <c r="P19" s="621"/>
      <c r="Q19" s="621"/>
      <c r="R19" s="621"/>
      <c r="S19" s="57"/>
      <c r="T19" s="57"/>
    </row>
    <row r="20" spans="1:26" ht="25.5" customHeight="1" x14ac:dyDescent="0.3">
      <c r="B20" s="620"/>
      <c r="C20" s="620"/>
      <c r="D20" s="620"/>
      <c r="E20" s="620"/>
      <c r="F20" s="620"/>
      <c r="G20" s="620"/>
      <c r="H20" s="620"/>
      <c r="I20" s="620"/>
      <c r="J20" s="448"/>
      <c r="L20" t="s">
        <v>11</v>
      </c>
      <c r="N20" s="60" t="s">
        <v>1304</v>
      </c>
      <c r="O20" s="622" t="s">
        <v>12</v>
      </c>
      <c r="P20" s="622"/>
      <c r="Q20" s="622"/>
      <c r="R20" s="622"/>
      <c r="T20" s="616"/>
      <c r="U20" s="616"/>
      <c r="V20" s="616"/>
      <c r="W20" s="616"/>
      <c r="X20" s="616"/>
      <c r="Y20" s="469"/>
      <c r="Z20" s="469" t="s">
        <v>1309</v>
      </c>
    </row>
    <row r="21" spans="1:26" ht="12.75" customHeight="1" x14ac:dyDescent="0.25">
      <c r="A21" s="614"/>
      <c r="B21" s="614"/>
      <c r="C21" s="614"/>
      <c r="D21" s="614"/>
      <c r="E21" s="614"/>
      <c r="F21" s="57"/>
      <c r="G21" s="617"/>
      <c r="H21" s="617"/>
      <c r="I21" s="617"/>
      <c r="J21" s="448"/>
      <c r="L21" s="614" t="s">
        <v>13</v>
      </c>
      <c r="M21" s="614"/>
      <c r="N21" s="614"/>
      <c r="O21" s="470"/>
      <c r="P21" s="470"/>
      <c r="Q21" s="470"/>
      <c r="R21" s="470"/>
      <c r="T21" s="616"/>
      <c r="U21" s="616"/>
      <c r="V21" s="616"/>
      <c r="W21" s="616"/>
      <c r="X21" s="616"/>
      <c r="Y21" s="469"/>
      <c r="Z21" s="469"/>
    </row>
    <row r="22" spans="1:26" ht="13.5" customHeight="1" x14ac:dyDescent="0.3">
      <c r="A22" s="607"/>
      <c r="B22" s="607"/>
      <c r="C22" s="607"/>
      <c r="D22" s="607"/>
      <c r="E22" s="607"/>
      <c r="F22" s="57"/>
      <c r="G22" s="612"/>
      <c r="H22" s="609"/>
      <c r="I22" s="609"/>
      <c r="J22" s="448"/>
      <c r="M22" s="470"/>
      <c r="N22" s="470"/>
      <c r="O22" s="470"/>
      <c r="P22" s="470"/>
      <c r="Q22" s="470"/>
      <c r="R22" s="470"/>
      <c r="T22" s="616"/>
      <c r="U22" s="616"/>
      <c r="V22" s="616"/>
      <c r="W22" s="616"/>
      <c r="X22" s="616"/>
      <c r="Y22" s="469"/>
      <c r="Z22" s="469"/>
    </row>
    <row r="23" spans="1:26" ht="12.75" customHeight="1" x14ac:dyDescent="0.3">
      <c r="H23" s="57"/>
      <c r="I23" s="57"/>
      <c r="J23" s="213"/>
      <c r="L23" s="607"/>
      <c r="M23" s="607"/>
      <c r="N23" s="607"/>
      <c r="P23" s="608" t="s">
        <v>1306</v>
      </c>
      <c r="Q23" s="609"/>
      <c r="R23" s="609"/>
      <c r="T23" s="616"/>
      <c r="U23" s="616"/>
      <c r="V23" s="616"/>
      <c r="W23" s="616"/>
      <c r="X23" s="616"/>
      <c r="Y23" s="469"/>
      <c r="Z23" s="469"/>
    </row>
    <row r="24" spans="1:26" ht="14.25" customHeight="1" x14ac:dyDescent="0.3">
      <c r="A24" s="607"/>
      <c r="B24" s="607"/>
      <c r="C24" s="607"/>
      <c r="D24" s="607"/>
      <c r="E24" s="607"/>
      <c r="F24" s="57"/>
      <c r="G24" s="612"/>
      <c r="H24" s="609"/>
      <c r="I24" s="609"/>
      <c r="J24" s="213"/>
      <c r="L24" s="613" t="s">
        <v>14</v>
      </c>
      <c r="M24" s="613"/>
      <c r="N24" s="613"/>
      <c r="P24" s="613" t="s">
        <v>15</v>
      </c>
      <c r="Q24" s="613"/>
      <c r="R24" s="613"/>
    </row>
    <row r="25" spans="1:26" ht="12.75" customHeight="1" x14ac:dyDescent="0.3">
      <c r="J25" s="213"/>
      <c r="L25" s="608" t="s">
        <v>1305</v>
      </c>
      <c r="M25" s="607"/>
      <c r="N25" s="607"/>
    </row>
    <row r="26" spans="1:26" ht="14.25" customHeight="1" x14ac:dyDescent="0.3">
      <c r="A26" s="607"/>
      <c r="B26" s="607"/>
      <c r="C26" s="607"/>
      <c r="D26" s="607"/>
      <c r="E26" s="607"/>
      <c r="F26" s="57"/>
      <c r="G26" s="612"/>
      <c r="H26" s="609"/>
      <c r="I26" s="609"/>
      <c r="J26" s="213"/>
      <c r="L26" s="613" t="s">
        <v>16</v>
      </c>
      <c r="M26" s="613"/>
      <c r="N26" s="613"/>
    </row>
    <row r="27" spans="1:26" ht="12.75" customHeight="1" x14ac:dyDescent="0.25">
      <c r="J27" s="213"/>
      <c r="L27" s="614"/>
      <c r="M27" s="614"/>
      <c r="N27" s="614"/>
      <c r="O27" s="471"/>
      <c r="P27" s="615"/>
      <c r="Q27" s="615"/>
      <c r="R27" s="615"/>
    </row>
    <row r="28" spans="1:26" ht="12.75" customHeight="1" x14ac:dyDescent="0.3">
      <c r="A28" s="607"/>
      <c r="B28" s="607"/>
      <c r="C28" s="607"/>
      <c r="D28" s="607"/>
      <c r="E28" s="607"/>
      <c r="F28" s="57"/>
      <c r="G28" s="612"/>
      <c r="H28" s="609"/>
      <c r="I28" s="609"/>
      <c r="J28" s="213"/>
      <c r="L28" s="607"/>
      <c r="M28" s="607"/>
      <c r="N28" s="607"/>
      <c r="P28" s="608" t="s">
        <v>1308</v>
      </c>
      <c r="Q28" s="609"/>
      <c r="R28" s="609"/>
    </row>
    <row r="29" spans="1:26" ht="14.25" customHeight="1" x14ac:dyDescent="0.25">
      <c r="D29" s="57"/>
      <c r="E29" s="57"/>
      <c r="F29" s="57"/>
      <c r="G29" s="57"/>
      <c r="J29" s="213"/>
      <c r="L29" s="613" t="s">
        <v>14</v>
      </c>
      <c r="M29" s="613"/>
      <c r="N29" s="613"/>
      <c r="P29" s="613" t="s">
        <v>15</v>
      </c>
      <c r="Q29" s="613"/>
      <c r="R29" s="613"/>
    </row>
    <row r="30" spans="1:26" ht="12.75" customHeight="1" x14ac:dyDescent="0.3">
      <c r="A30" s="607"/>
      <c r="B30" s="607"/>
      <c r="C30" s="607"/>
      <c r="D30" s="607"/>
      <c r="E30" s="607"/>
      <c r="F30" s="57"/>
      <c r="G30" s="612"/>
      <c r="H30" s="609"/>
      <c r="I30" s="609"/>
      <c r="K30" s="370"/>
      <c r="L30" s="608" t="s">
        <v>1307</v>
      </c>
      <c r="M30" s="607"/>
      <c r="N30" s="607"/>
    </row>
    <row r="31" spans="1:26" ht="30.75" customHeight="1" x14ac:dyDescent="0.3">
      <c r="A31" s="607"/>
      <c r="B31" s="607"/>
      <c r="C31" s="607"/>
      <c r="D31" s="607"/>
      <c r="E31" s="607"/>
      <c r="F31" s="57"/>
      <c r="G31" s="612"/>
      <c r="H31" s="609"/>
      <c r="I31" s="609"/>
      <c r="J31" s="213"/>
      <c r="K31" s="370"/>
      <c r="L31" s="613" t="s">
        <v>16</v>
      </c>
      <c r="M31" s="613"/>
      <c r="N31" s="613"/>
    </row>
    <row r="32" spans="1:26" ht="12.75" customHeight="1" x14ac:dyDescent="0.25">
      <c r="J32" s="213"/>
      <c r="K32" s="399"/>
      <c r="L32" s="206" t="s">
        <v>17</v>
      </c>
      <c r="M32" s="206"/>
      <c r="N32" s="206"/>
      <c r="O32" s="206"/>
      <c r="P32" s="206"/>
      <c r="Q32" s="206"/>
      <c r="R32" s="206"/>
    </row>
    <row r="33" spans="1:18" ht="12.75" customHeight="1" x14ac:dyDescent="0.3">
      <c r="A33" s="607"/>
      <c r="B33" s="607"/>
      <c r="C33" s="607"/>
      <c r="D33" s="607"/>
      <c r="E33" s="607"/>
      <c r="F33" s="57"/>
      <c r="G33" s="608"/>
      <c r="H33" s="609"/>
      <c r="I33" s="609"/>
      <c r="J33" s="213"/>
      <c r="L33" t="s">
        <v>18</v>
      </c>
      <c r="P33" s="160" t="s">
        <v>19</v>
      </c>
      <c r="Q33" s="610">
        <f>TotExpSchoolwide</f>
        <v>1561660</v>
      </c>
      <c r="R33" s="610"/>
    </row>
    <row r="34" spans="1:18" ht="12.75" customHeight="1" x14ac:dyDescent="0.25">
      <c r="A34" s="611" t="s">
        <v>20</v>
      </c>
      <c r="B34" s="611"/>
      <c r="C34" s="611"/>
      <c r="D34" s="611"/>
      <c r="E34" s="611"/>
      <c r="F34" s="57"/>
      <c r="G34" s="611" t="s">
        <v>21</v>
      </c>
      <c r="H34" s="611"/>
      <c r="I34" s="611"/>
      <c r="J34" s="213"/>
      <c r="L34" t="s">
        <v>22</v>
      </c>
      <c r="P34" s="160" t="s">
        <v>19</v>
      </c>
      <c r="Q34" s="610">
        <f>SP1000ClassSiteProj</f>
        <v>177403</v>
      </c>
      <c r="R34" s="610"/>
    </row>
    <row r="35" spans="1:18" ht="12.75" customHeight="1" x14ac:dyDescent="0.25">
      <c r="J35" s="213"/>
    </row>
  </sheetData>
  <sheetProtection algorithmName="SHA-512" hashValue="C0pkc/qEIe/1SgAMyzqdk9meVIpe7eJyyJv+pgCbxLw3KpauShBsMtzh8aDkQ+YzxA7TIllwk3rIGm1bQHquTA==" saltValue="fI3COmFGVxsmnA6fKtldrw==" spinCount="100000" sheet="1" objects="1"/>
  <mergeCells count="56">
    <mergeCell ref="A1:C1"/>
    <mergeCell ref="D1:I1"/>
    <mergeCell ref="M1:N1"/>
    <mergeCell ref="D2:I2"/>
    <mergeCell ref="D3:I3"/>
    <mergeCell ref="D4:I4"/>
    <mergeCell ref="A6:A7"/>
    <mergeCell ref="B6:I6"/>
    <mergeCell ref="B7:I7"/>
    <mergeCell ref="B8:I8"/>
    <mergeCell ref="B10:J10"/>
    <mergeCell ref="A11:C11"/>
    <mergeCell ref="D11:J11"/>
    <mergeCell ref="B12:J12"/>
    <mergeCell ref="B14:J14"/>
    <mergeCell ref="B16:J16"/>
    <mergeCell ref="B18:J18"/>
    <mergeCell ref="B19:I20"/>
    <mergeCell ref="L19:R19"/>
    <mergeCell ref="O20:R20"/>
    <mergeCell ref="T20:X23"/>
    <mergeCell ref="A21:E21"/>
    <mergeCell ref="G21:I21"/>
    <mergeCell ref="L21:N21"/>
    <mergeCell ref="A22:E22"/>
    <mergeCell ref="G22:I22"/>
    <mergeCell ref="L23:N23"/>
    <mergeCell ref="P23:R23"/>
    <mergeCell ref="A24:E24"/>
    <mergeCell ref="G24:I24"/>
    <mergeCell ref="L24:N24"/>
    <mergeCell ref="P24:R24"/>
    <mergeCell ref="L25:N25"/>
    <mergeCell ref="A26:E26"/>
    <mergeCell ref="G26:I26"/>
    <mergeCell ref="L26:N26"/>
    <mergeCell ref="L27:N27"/>
    <mergeCell ref="P27:R27"/>
    <mergeCell ref="A28:E28"/>
    <mergeCell ref="G28:I28"/>
    <mergeCell ref="L28:N28"/>
    <mergeCell ref="P28:R28"/>
    <mergeCell ref="L29:N29"/>
    <mergeCell ref="P29:R29"/>
    <mergeCell ref="A30:E30"/>
    <mergeCell ref="G30:I30"/>
    <mergeCell ref="L30:N30"/>
    <mergeCell ref="A31:E31"/>
    <mergeCell ref="G31:I31"/>
    <mergeCell ref="L31:N31"/>
    <mergeCell ref="A33:E33"/>
    <mergeCell ref="G33:I33"/>
    <mergeCell ref="Q33:R33"/>
    <mergeCell ref="A34:E34"/>
    <mergeCell ref="G34:I34"/>
    <mergeCell ref="Q34:R34"/>
  </mergeCells>
  <dataValidations xWindow="701" yWindow="156" count="3">
    <dataValidation type="textLength" operator="equal" allowBlank="1" showInputMessage="1" showErrorMessage="1" prompt="This cell will only accept entries equal to 9 digits.  Charter schools must enter their CTD number plus 3 zeros." sqref="R1" xr:uid="{00000000-0002-0000-0000-000000000000}">
      <formula1>9</formula1>
    </dataValidation>
    <dataValidation type="date" operator="greaterThanOrEqual" allowBlank="1" showInputMessage="1" showErrorMessage="1" errorTitle="Date" error="Enter Valid Date_x000a_MM/DD/YYYY" promptTitle="Enter Date as" prompt="MM/DD/YYYY" sqref="N20" xr:uid="{00000000-0002-0000-0000-000001000000}">
      <formula1>42962</formula1>
    </dataValidation>
    <dataValidation type="list" allowBlank="1" showInputMessage="1" showErrorMessage="1" sqref="A10 A12 A14 A16 A18 Z20" xr:uid="{00000000-0002-0000-0000-000002000000}">
      <formula1>"X"</formula1>
    </dataValidation>
  </dataValidations>
  <pageMargins left="0.7" right="0.7" top="0.75" bottom="0.75" header="0.3" footer="0.3"/>
  <pageSetup orientation="landscape" r:id="rId1"/>
  <headerFooter>
    <oddFooter>&amp;LRev. 8/26 Arizona Department of Education and Auditor General&amp;CFY 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4C66D-3F01-418F-9848-776D9E4BD0C0}">
  <dimension ref="A1:AA43"/>
  <sheetViews>
    <sheetView showGridLines="0" topLeftCell="A25" workbookViewId="0">
      <selection sqref="A1:B1 A1:B1"/>
    </sheetView>
  </sheetViews>
  <sheetFormatPr defaultColWidth="9.33203125" defaultRowHeight="13.2" x14ac:dyDescent="0.25"/>
  <cols>
    <col min="1" max="1" width="3.33203125" customWidth="1"/>
    <col min="2" max="2" width="17.77734375" customWidth="1"/>
    <col min="3" max="3" width="33.33203125" customWidth="1"/>
    <col min="4" max="4" width="13.77734375" customWidth="1"/>
    <col min="5" max="5" width="5" customWidth="1"/>
    <col min="6" max="6" width="14" customWidth="1"/>
    <col min="7" max="7" width="7.33203125" customWidth="1"/>
    <col min="8" max="8" width="13.77734375" customWidth="1"/>
    <col min="9" max="11" width="9.33203125" customWidth="1"/>
    <col min="12" max="12" width="10.33203125" customWidth="1"/>
    <col min="13" max="13" width="11.33203125" customWidth="1"/>
    <col min="14" max="17" width="9.33203125" customWidth="1"/>
    <col min="18" max="26" width="9.33203125" hidden="1" customWidth="1"/>
    <col min="27" max="27" width="9.33203125" customWidth="1"/>
  </cols>
  <sheetData>
    <row r="1" spans="1:14" x14ac:dyDescent="0.25">
      <c r="A1" s="629" t="s">
        <v>0</v>
      </c>
      <c r="B1" s="629"/>
      <c r="C1" s="61" t="str">
        <f>'Cover Page'!D1</f>
        <v>Edge School, Inc., The</v>
      </c>
      <c r="G1" s="6" t="s">
        <v>1</v>
      </c>
      <c r="H1" s="609" t="str">
        <f>'Cover Page'!M1</f>
        <v>Pima</v>
      </c>
      <c r="I1" s="609"/>
      <c r="L1" s="6" t="s">
        <v>2</v>
      </c>
      <c r="M1" s="635" t="str">
        <f>'Cover Page'!R1</f>
        <v>108653000</v>
      </c>
      <c r="N1" s="609"/>
    </row>
    <row r="2" spans="1:14" x14ac:dyDescent="0.25">
      <c r="F2" s="57"/>
      <c r="G2" s="57"/>
      <c r="H2" t="s">
        <v>23</v>
      </c>
    </row>
    <row r="3" spans="1:14" x14ac:dyDescent="0.25">
      <c r="A3" s="52" t="s">
        <v>24</v>
      </c>
      <c r="B3" s="52"/>
      <c r="D3" s="476"/>
      <c r="E3" s="476"/>
      <c r="F3" s="476"/>
    </row>
    <row r="4" spans="1:14" x14ac:dyDescent="0.25">
      <c r="A4" s="52" t="s">
        <v>25</v>
      </c>
      <c r="H4" s="457" t="s">
        <v>26</v>
      </c>
      <c r="J4" s="458"/>
      <c r="K4" s="458"/>
      <c r="L4" s="458"/>
    </row>
    <row r="5" spans="1:14" x14ac:dyDescent="0.25">
      <c r="A5" s="160" t="s">
        <v>27</v>
      </c>
      <c r="B5" s="636" t="s">
        <v>28</v>
      </c>
      <c r="C5" s="636"/>
      <c r="D5" s="636"/>
      <c r="H5" s="41">
        <f>-(SUMIFS('Accounting data'!$G$2:$G$37000,'Accounting data'!$K$2:$K$37000,"1310*"))+SUMIFS('Accounting data'!$G$2:$G$37000,'Accounting data'!$H$2:$H$37000,"9999*",'Accounting data'!$K$2:$K$37000,"1310*")</f>
        <v>0</v>
      </c>
      <c r="I5" s="53" t="s">
        <v>27</v>
      </c>
      <c r="J5" s="458"/>
      <c r="K5" s="458"/>
      <c r="L5" s="458"/>
    </row>
    <row r="6" spans="1:14" x14ac:dyDescent="0.25">
      <c r="A6" s="160" t="s">
        <v>29</v>
      </c>
      <c r="B6" s="636" t="s">
        <v>30</v>
      </c>
      <c r="C6" s="636"/>
      <c r="D6" s="636"/>
      <c r="H6" s="41">
        <f>-(SUMIFS('Accounting data'!$G$2:$G$37000,'Accounting data'!$K$2:$K$37000,"1320*"))+SUMIFS('Accounting data'!$G$2:$G$37000,'Accounting data'!$H$2:$H$37000,"9999*",'Accounting data'!$K$2:$K$37000,"1320*")</f>
        <v>0</v>
      </c>
      <c r="I6" s="53" t="s">
        <v>29</v>
      </c>
      <c r="J6" s="458"/>
      <c r="K6" s="458"/>
      <c r="L6" s="458"/>
    </row>
    <row r="7" spans="1:14" ht="12.75" customHeight="1" x14ac:dyDescent="0.25">
      <c r="A7" s="160" t="s">
        <v>31</v>
      </c>
      <c r="B7" s="614" t="s">
        <v>32</v>
      </c>
      <c r="C7" s="614"/>
      <c r="D7" s="614"/>
      <c r="H7" s="41">
        <f>-(SUMIFS('Accounting data'!$G$2:$G$37000,'Accounting data'!$K$2:$K$37000,"1410*"))+SUMIFS('Accounting data'!$G$2:$G$37000,'Accounting data'!$H$2:$H$37000,"9999*",'Accounting data'!$K$2:$K$37000,"1410*")</f>
        <v>0</v>
      </c>
      <c r="I7" s="53" t="s">
        <v>31</v>
      </c>
      <c r="J7" s="633" t="s">
        <v>33</v>
      </c>
      <c r="K7" s="633"/>
      <c r="L7" s="458"/>
    </row>
    <row r="8" spans="1:14" x14ac:dyDescent="0.25">
      <c r="A8" s="160" t="s">
        <v>34</v>
      </c>
      <c r="B8" s="614" t="s">
        <v>35</v>
      </c>
      <c r="C8" s="614"/>
      <c r="D8" s="614"/>
      <c r="H8" s="41">
        <f>-(SUMIFS('Accounting data'!$G$2:$G$37000,'Accounting data'!$K$2:$K$37000,"1420*"))+SUMIFS('Accounting data'!$G$2:$G$37000,'Accounting data'!$H$2:$H$37000,"9999*",'Accounting data'!$K$2:$K$37000,"1420*")</f>
        <v>0</v>
      </c>
      <c r="I8" s="53" t="s">
        <v>34</v>
      </c>
      <c r="J8" s="633"/>
      <c r="K8" s="633"/>
      <c r="L8" s="458"/>
    </row>
    <row r="9" spans="1:14" x14ac:dyDescent="0.25">
      <c r="A9" s="160" t="s">
        <v>36</v>
      </c>
      <c r="B9" s="614" t="s">
        <v>37</v>
      </c>
      <c r="C9" s="614"/>
      <c r="H9" s="41">
        <f>-(SUMIFS('Accounting data'!$G$2:$G$37000,'Accounting data'!$K$2:$K$37000,"1500*"))+SUMIFS('Accounting data'!$G$2:$G$37000,'Accounting data'!$H$2:$H$37000,"9999*",'Accounting data'!$K$2:$K$37000,"1500*")</f>
        <v>651</v>
      </c>
      <c r="I9" s="53" t="s">
        <v>36</v>
      </c>
      <c r="J9" s="633"/>
      <c r="K9" s="633"/>
      <c r="L9" s="458"/>
    </row>
    <row r="10" spans="1:14" x14ac:dyDescent="0.25">
      <c r="A10" s="160" t="s">
        <v>38</v>
      </c>
      <c r="B10" s="614" t="s">
        <v>39</v>
      </c>
      <c r="C10" s="614"/>
      <c r="H10" s="41">
        <f>IF('Food Service'!$E$7="",J10,'Food Service'!$E$7)</f>
        <v>0</v>
      </c>
      <c r="I10" s="53" t="s">
        <v>38</v>
      </c>
      <c r="J10" s="634">
        <f>-(SUMIFS('Accounting data'!$G$2:$G$37000,'Accounting data'!$K$2:$K$37000,"1600*"))+SUMIFS('Accounting data'!$G$2:$G$37000,'Accounting data'!$H$2:$H$37000,"9999*",'Accounting data'!$K$2:$K$37000,"1600*")</f>
        <v>0</v>
      </c>
      <c r="K10" s="634"/>
      <c r="L10" s="458" t="str">
        <f>IF(H10&lt;&gt;J10,"The amount reported for 1600 food service revenue from the Food Service AFR does not agree to the amount in the Accounting Data Tab. Please verify the amounts and ensure they agree.","")</f>
        <v/>
      </c>
    </row>
    <row r="11" spans="1:14" x14ac:dyDescent="0.25">
      <c r="A11" s="160" t="s">
        <v>40</v>
      </c>
      <c r="B11" s="614" t="s">
        <v>41</v>
      </c>
      <c r="C11" s="614"/>
      <c r="H11" s="41">
        <f>-(SUMIFS('Accounting data'!$G$2:$G$37000,'Accounting data'!$K$2:$K$37000,"1700*"))+SUMIFS('Accounting data'!$G$2:$G$37000,'Accounting data'!$H$2:$H$37000,"9999*",'Accounting data'!$K$2:$K$37000,"1700*")</f>
        <v>0</v>
      </c>
      <c r="I11" s="53" t="s">
        <v>40</v>
      </c>
      <c r="J11" s="458"/>
      <c r="K11" s="458"/>
      <c r="L11" s="458"/>
    </row>
    <row r="12" spans="1:14" x14ac:dyDescent="0.25">
      <c r="A12" s="435" t="s">
        <v>42</v>
      </c>
      <c r="B12" s="614" t="s">
        <v>43</v>
      </c>
      <c r="C12" s="614"/>
      <c r="D12" s="614"/>
      <c r="E12" s="614"/>
      <c r="F12" s="614"/>
      <c r="H12" s="41">
        <f>-(SUMIFS('Accounting data'!$G$2:$G$37000,'Accounting data'!$K$2:$K$37000,"1750*"))+SUMIFS('Accounting data'!$G$2:$G$37000,'Accounting data'!$H$2:$H$37000,"9999*",'Accounting data'!$K$2:$K$37000,"1750*")</f>
        <v>0</v>
      </c>
      <c r="I12" s="22" t="s">
        <v>42</v>
      </c>
      <c r="J12" s="458"/>
      <c r="K12" s="458"/>
      <c r="L12" s="458"/>
    </row>
    <row r="13" spans="1:14" x14ac:dyDescent="0.25">
      <c r="A13" s="189" t="s">
        <v>44</v>
      </c>
      <c r="B13" s="614" t="s">
        <v>45</v>
      </c>
      <c r="C13" s="614"/>
      <c r="H13" s="41">
        <f>-(SUMIFS('Accounting data'!$G$2:$G$37000,'Accounting data'!$K$2:$K$37000,"1790*"))+SUMIFS('Accounting data'!$G$2:$G$37000,'Accounting data'!$H$2:$H$37000,"9999*",'Accounting data'!$K$2:$K$37000,"1790*")</f>
        <v>11887</v>
      </c>
      <c r="I13" s="22" t="s">
        <v>44</v>
      </c>
      <c r="J13" s="459"/>
      <c r="K13" s="458"/>
      <c r="L13" s="458"/>
    </row>
    <row r="14" spans="1:14" x14ac:dyDescent="0.25">
      <c r="A14" s="189" t="s">
        <v>46</v>
      </c>
      <c r="B14" s="614" t="s">
        <v>47</v>
      </c>
      <c r="C14" s="614"/>
      <c r="H14" s="40">
        <f>-(SUMIFS('Accounting data'!$G$2:$G$37000,'Accounting data'!$K$2:$K$37000,"1800*"))+SUMIFS('Accounting data'!$G$2:$G$37000,'Accounting data'!$H$2:$H$37000,"9999*",'Accounting data'!$K$2:$K$37000,"1800*")</f>
        <v>0</v>
      </c>
      <c r="I14" s="22" t="s">
        <v>46</v>
      </c>
      <c r="J14" s="458"/>
      <c r="K14" s="458"/>
      <c r="L14" s="458"/>
    </row>
    <row r="15" spans="1:14" x14ac:dyDescent="0.25">
      <c r="A15" s="189" t="s">
        <v>48</v>
      </c>
      <c r="B15" s="191" t="s">
        <v>49</v>
      </c>
      <c r="C15" s="460"/>
      <c r="D15" s="461"/>
      <c r="E15" s="460"/>
      <c r="F15" s="461"/>
      <c r="H15" s="40">
        <f>-(SUMIFS('Accounting data'!$G$2:$G$37000,'Accounting data'!$K$2:$K$37000,"1900*"))+SUMIFS('Accounting data'!$G$2:$G$37000,'Accounting data'!$H$2:$H$37000,"9999*",'Accounting data'!$K$2:$K$37000,"1900*")</f>
        <v>0</v>
      </c>
      <c r="I15" s="22" t="s">
        <v>48</v>
      </c>
      <c r="J15" s="458"/>
      <c r="K15" s="458"/>
      <c r="L15" s="458"/>
    </row>
    <row r="16" spans="1:14" x14ac:dyDescent="0.25">
      <c r="A16" s="189" t="s">
        <v>50</v>
      </c>
      <c r="B16" s="191" t="s">
        <v>51</v>
      </c>
      <c r="C16" s="191"/>
      <c r="D16" s="191"/>
      <c r="E16" s="191"/>
      <c r="F16" s="191"/>
      <c r="H16" s="40">
        <f>-(SUMIFS('Accounting data'!$G$2:$G$37000,'Accounting data'!$K$2:$K$37000,"1910*"))+SUMIFS('Accounting data'!$G$2:$G$37000,'Accounting data'!$H$2:$H$37000,"9999*",'Accounting data'!$K$2:$K$37000,"1910*")</f>
        <v>8342</v>
      </c>
      <c r="I16" s="22" t="s">
        <v>50</v>
      </c>
      <c r="J16" s="458"/>
      <c r="K16" s="458"/>
      <c r="L16" s="458"/>
    </row>
    <row r="17" spans="1:27" x14ac:dyDescent="0.25">
      <c r="A17" s="189" t="s">
        <v>52</v>
      </c>
      <c r="B17" s="614" t="s">
        <v>53</v>
      </c>
      <c r="C17" s="614"/>
      <c r="H17" s="40">
        <f>-(SUMIFS('Accounting data'!$G$2:$G$37000,'Accounting data'!$K$2:$K$37000,"1920*"))+SUMIFS('Accounting data'!$G$2:$G$37000,'Accounting data'!$H$2:$H$37000,"9999*",'Accounting data'!$K$2:$K$37000,"1920*")</f>
        <v>165752</v>
      </c>
      <c r="I17" s="22" t="s">
        <v>52</v>
      </c>
      <c r="J17" s="458"/>
      <c r="K17" s="458"/>
      <c r="L17" s="458"/>
    </row>
    <row r="18" spans="1:27" x14ac:dyDescent="0.25">
      <c r="A18" s="189" t="s">
        <v>54</v>
      </c>
      <c r="B18" s="191" t="s">
        <v>55</v>
      </c>
      <c r="C18" s="191"/>
      <c r="D18" s="191"/>
      <c r="E18" s="191"/>
      <c r="F18" s="191"/>
      <c r="H18" s="40">
        <f>-(SUMIFS('Accounting data'!$G$2:$G$37000,'Accounting data'!$K$2:$K$37000,"1950*"))+SUMIFS('Accounting data'!$G$2:$G$37000,'Accounting data'!$H$2:$H$37000,"9999*",'Accounting data'!$K$2:$K$37000,"1950*")</f>
        <v>0</v>
      </c>
      <c r="I18" s="22" t="s">
        <v>54</v>
      </c>
      <c r="J18" s="458"/>
      <c r="K18" s="458"/>
      <c r="L18" s="458"/>
    </row>
    <row r="19" spans="1:27" x14ac:dyDescent="0.25">
      <c r="A19" s="189" t="s">
        <v>56</v>
      </c>
      <c r="B19" s="191" t="s">
        <v>57</v>
      </c>
      <c r="C19" s="191"/>
      <c r="D19" s="191"/>
      <c r="E19" s="191"/>
      <c r="F19" s="191"/>
      <c r="H19" s="40">
        <f>-(SUMIFS('Accounting data'!$G$2:$G$37000,'Accounting data'!$K$2:$K$37000,"1960*"))+SUMIFS('Accounting data'!$G$2:$G$37000,'Accounting data'!$H$2:$H$37000,"9999*",'Accounting data'!$K$2:$K$37000,"1960*")</f>
        <v>0</v>
      </c>
      <c r="I19" s="22" t="s">
        <v>56</v>
      </c>
      <c r="J19" s="458"/>
      <c r="K19" s="458"/>
      <c r="L19" s="458"/>
    </row>
    <row r="20" spans="1:27" ht="14.25" customHeight="1" x14ac:dyDescent="0.3">
      <c r="A20" s="189" t="s">
        <v>58</v>
      </c>
      <c r="B20" s="614" t="s">
        <v>59</v>
      </c>
      <c r="C20" s="614"/>
      <c r="D20" s="630"/>
      <c r="E20" s="631"/>
      <c r="F20" s="631"/>
      <c r="H20" s="40">
        <f>-(SUMIFS('Accounting data'!$G$2:$G$37000,'Accounting data'!$K$2:$K$37000,"Other Revenue from Local Sources"))+SUMIFS('Accounting data'!$G$2:$G$37000,'Accounting data'!$H$2:$H$37000,"9999*",'Accounting data'!$K$2:$K$37000,"Other Revenue from Local Sources")</f>
        <v>0</v>
      </c>
      <c r="I20" s="22" t="s">
        <v>58</v>
      </c>
      <c r="J20" s="458"/>
      <c r="K20" s="458"/>
      <c r="L20" s="458"/>
      <c r="AA20" s="148" t="str">
        <f>IF(OR(AND(D20="",H20&lt;&gt;0),AND(D25="",H25&lt;&gt;0),AND(D32="",H32&lt;&gt;0),AND(D40="",H40&lt;&gt;0)),"yes","")</f>
        <v/>
      </c>
    </row>
    <row r="21" spans="1:27" x14ac:dyDescent="0.25">
      <c r="A21" s="189" t="s">
        <v>60</v>
      </c>
      <c r="B21" s="614" t="s">
        <v>61</v>
      </c>
      <c r="C21" s="614"/>
      <c r="H21" s="42">
        <f>-(SUMIFS('Accounting data'!$G$2:$G$37000,'Accounting data'!$K$2:$K$37000,"1*"))+SUMIFS('Accounting data'!$G$2:$G$37000,'Accounting data'!$H$2:$H$37000,"9999*",'Accounting data'!$K$2:$K$37000,"1*")+H20</f>
        <v>186633</v>
      </c>
      <c r="I21" s="22" t="s">
        <v>60</v>
      </c>
      <c r="J21" s="458"/>
      <c r="K21" s="458"/>
      <c r="L21" s="458"/>
    </row>
    <row r="22" spans="1:27" x14ac:dyDescent="0.25">
      <c r="A22" s="52" t="s">
        <v>62</v>
      </c>
      <c r="B22" s="52"/>
      <c r="H22" s="191"/>
      <c r="I22" s="53" t="s">
        <v>23</v>
      </c>
      <c r="J22" s="458"/>
      <c r="K22" s="458"/>
      <c r="L22" s="458"/>
    </row>
    <row r="23" spans="1:27" x14ac:dyDescent="0.25">
      <c r="A23" s="189" t="s">
        <v>63</v>
      </c>
      <c r="B23" s="614" t="s">
        <v>64</v>
      </c>
      <c r="C23" s="614"/>
      <c r="H23" s="41">
        <f>-(SUMIFS('Accounting data'!$G$2:$G$37000,'Accounting data'!$K$2:$K$37000,"2100*"))+SUMIFS('Accounting data'!$G$2:$G$37000,'Accounting data'!$H$2:$H$37000,"9999*",'Accounting data'!$K$2:$K$37000,"2100*")</f>
        <v>0</v>
      </c>
      <c r="I23" s="22" t="s">
        <v>63</v>
      </c>
      <c r="J23" s="458"/>
      <c r="K23" s="458"/>
      <c r="L23" s="458"/>
    </row>
    <row r="24" spans="1:27" x14ac:dyDescent="0.25">
      <c r="A24" s="189" t="s">
        <v>65</v>
      </c>
      <c r="B24" s="614" t="s">
        <v>66</v>
      </c>
      <c r="C24" s="614"/>
      <c r="H24" s="41">
        <f>-(SUMIFS('Accounting data'!$G$2:$G$37000,'Accounting data'!$K$2:$K$37000,"2200*"))+SUMIFS('Accounting data'!$G$2:$G$37000,'Accounting data'!$H$2:$H$37000,"9999*",'Accounting data'!$K$2:$K$37000,"2200*")</f>
        <v>0</v>
      </c>
      <c r="I24" s="22" t="s">
        <v>65</v>
      </c>
      <c r="J24" s="458"/>
      <c r="K24" s="458"/>
      <c r="L24" s="458"/>
    </row>
    <row r="25" spans="1:27" ht="14.25" customHeight="1" x14ac:dyDescent="0.3">
      <c r="A25" s="189" t="s">
        <v>67</v>
      </c>
      <c r="B25" s="614" t="s">
        <v>68</v>
      </c>
      <c r="C25" s="614"/>
      <c r="D25" s="630"/>
      <c r="E25" s="631"/>
      <c r="F25" s="631"/>
      <c r="H25" s="41">
        <f>-(SUMIFS('Accounting data'!$G$2:$G$37000,'Accounting data'!$K$2:$K$37000,"Other Revenue from Intermediate Sources"))+SUMIFS('Accounting data'!$G$2:$G$37000,'Accounting data'!$H$2:$H$37000,"9999*",'Accounting data'!$K$2:$K$37000,"Other Revenue from Intermediate Sources")</f>
        <v>0</v>
      </c>
      <c r="I25" s="22" t="s">
        <v>67</v>
      </c>
      <c r="J25" s="462"/>
      <c r="K25" s="462"/>
      <c r="L25" s="462"/>
      <c r="M25" s="188"/>
    </row>
    <row r="26" spans="1:27" x14ac:dyDescent="0.25">
      <c r="A26" s="189" t="s">
        <v>69</v>
      </c>
      <c r="B26" s="614" t="s">
        <v>70</v>
      </c>
      <c r="C26" s="614"/>
      <c r="H26" s="42">
        <f>-(SUMIFS('Accounting data'!$G$2:$G$37000,'Accounting data'!$K$2:$K$37000,"2*"))+SUMIFS('Accounting data'!$G$2:$G$37000,'Accounting data'!$H$2:$H$37000,"9999*",'Accounting data'!$K$2:$K$37000,"2*")+H25</f>
        <v>0</v>
      </c>
      <c r="I26" s="22" t="s">
        <v>69</v>
      </c>
      <c r="J26" s="458"/>
      <c r="K26" s="458"/>
      <c r="L26" s="458"/>
    </row>
    <row r="27" spans="1:27" x14ac:dyDescent="0.25">
      <c r="A27" s="52" t="s">
        <v>71</v>
      </c>
      <c r="B27" s="52"/>
      <c r="H27" s="191"/>
      <c r="I27" s="53"/>
      <c r="J27" s="458"/>
      <c r="K27" s="458"/>
      <c r="L27" s="458"/>
    </row>
    <row r="28" spans="1:27" x14ac:dyDescent="0.25">
      <c r="A28" s="189" t="s">
        <v>72</v>
      </c>
      <c r="B28" s="614" t="s">
        <v>73</v>
      </c>
      <c r="C28" s="614"/>
      <c r="H28" s="41">
        <f>-(SUMIFS('Accounting data'!$G$2:$G$37000,'Accounting data'!$K$2:$K$37000,"3110*"))+SUMIFS('Accounting data'!$G$2:$G$37000,'Accounting data'!$H$2:$H$37000,"9999*",'Accounting data'!$K$2:$K$37000,"3110*")</f>
        <v>1426924</v>
      </c>
      <c r="I28" s="22" t="s">
        <v>72</v>
      </c>
      <c r="J28" s="458"/>
      <c r="K28" s="458"/>
      <c r="L28" s="458"/>
    </row>
    <row r="29" spans="1:27" x14ac:dyDescent="0.25">
      <c r="A29" s="435" t="s">
        <v>74</v>
      </c>
      <c r="B29" s="614" t="s">
        <v>75</v>
      </c>
      <c r="C29" s="614"/>
      <c r="H29" s="41">
        <f>-(SUMIFS('Accounting data'!$G$2:$G$37000,'Accounting data'!$K$2:$K$37000,"3130*"))+SUMIFS('Accounting data'!$G$2:$G$37000,'Accounting data'!$H$2:$H$37000,"9999*",'Accounting data'!$K$2:$K$37000,"3130*")</f>
        <v>19443</v>
      </c>
      <c r="I29" s="22" t="s">
        <v>74</v>
      </c>
      <c r="J29" s="458"/>
      <c r="K29" s="458"/>
      <c r="L29" s="458"/>
    </row>
    <row r="30" spans="1:27" x14ac:dyDescent="0.25">
      <c r="A30" s="435" t="s">
        <v>76</v>
      </c>
      <c r="B30" s="614" t="s">
        <v>77</v>
      </c>
      <c r="C30" s="614"/>
      <c r="H30" s="41">
        <f>-(SUMIFS('Accounting data'!$G$2:$G$37000,'Accounting data'!$K$2:$K$37000,"3200*"))+SUMIFS('Accounting data'!$G$2:$G$37000,'Accounting data'!$H$2:$H$37000,"9999*",'Accounting data'!$K$2:$K$37000,"3200*")</f>
        <v>1576</v>
      </c>
      <c r="I30" s="22" t="s">
        <v>76</v>
      </c>
      <c r="J30" s="462"/>
      <c r="K30" s="462"/>
      <c r="L30" s="462"/>
      <c r="M30" s="188"/>
    </row>
    <row r="31" spans="1:27" x14ac:dyDescent="0.25">
      <c r="A31" s="189" t="s">
        <v>78</v>
      </c>
      <c r="B31" s="614" t="s">
        <v>79</v>
      </c>
      <c r="C31" s="614"/>
      <c r="H31" s="41">
        <f>-(SUMIFS('Accounting data'!$G$2:$G$37000,'Accounting data'!$K$2:$K$37000,"3900*"))+SUMIFS('Accounting data'!$G$2:$G$37000,'Accounting data'!$H$2:$H$37000,"9999*",'Accounting data'!$K$2:$K$37000,"3900*")</f>
        <v>174465</v>
      </c>
      <c r="I31" s="22" t="s">
        <v>78</v>
      </c>
      <c r="J31" s="458"/>
      <c r="K31" s="458"/>
      <c r="L31" s="458"/>
    </row>
    <row r="32" spans="1:27" ht="14.25" customHeight="1" x14ac:dyDescent="0.3">
      <c r="A32" s="189" t="s">
        <v>80</v>
      </c>
      <c r="B32" s="614" t="s">
        <v>81</v>
      </c>
      <c r="C32" s="614"/>
      <c r="D32" s="630"/>
      <c r="E32" s="631"/>
      <c r="F32" s="631"/>
      <c r="H32" s="41">
        <f>-(SUMIFS('Accounting data'!$G$2:$G$37000,'Accounting data'!$K$2:$K$37000,"Other Revenue from State Sources"))+SUMIFS('Accounting data'!$G$2:$G$37000,'Accounting data'!$H$2:$H$37000,"9999*",'Accounting data'!$K$2:$K$37000,"Other Revenue from State Sources")</f>
        <v>0</v>
      </c>
      <c r="I32" s="22" t="s">
        <v>80</v>
      </c>
      <c r="J32" s="458"/>
      <c r="K32" s="458"/>
      <c r="L32" s="458"/>
    </row>
    <row r="33" spans="1:13" x14ac:dyDescent="0.25">
      <c r="A33" s="189" t="s">
        <v>82</v>
      </c>
      <c r="B33" s="614" t="s">
        <v>83</v>
      </c>
      <c r="C33" s="614"/>
      <c r="H33" s="42">
        <f>-(SUMIFS('Accounting data'!$G$2:$G$37000,'Accounting data'!$K$2:$K$37000,"3*"))+SUMIFS('Accounting data'!$G$2:$G$37000,'Accounting data'!$H$2:$H$37000,"9999*",'Accounting data'!$K$2:$K$37000,"3*")+H32</f>
        <v>1622408</v>
      </c>
      <c r="I33" s="22" t="s">
        <v>82</v>
      </c>
      <c r="J33" s="458"/>
      <c r="K33" s="458"/>
      <c r="L33" s="458"/>
    </row>
    <row r="34" spans="1:13" x14ac:dyDescent="0.25">
      <c r="A34" s="63" t="s">
        <v>84</v>
      </c>
      <c r="B34" s="52"/>
      <c r="H34" s="191"/>
      <c r="I34" s="53"/>
      <c r="J34" s="458"/>
      <c r="K34" s="458"/>
      <c r="L34" s="458"/>
    </row>
    <row r="35" spans="1:13" x14ac:dyDescent="0.25">
      <c r="A35" s="189" t="s">
        <v>85</v>
      </c>
      <c r="B35" s="614" t="s">
        <v>86</v>
      </c>
      <c r="C35" s="614"/>
      <c r="D35" s="614"/>
      <c r="E35" s="614"/>
      <c r="F35" s="614"/>
      <c r="H35" s="41">
        <f>-(SUMIFS('Accounting data'!$G$2:$G$37000,'Accounting data'!$K$2:$K$37000,"4100*"))+SUMIFS('Accounting data'!$G$2:$G$37000,'Accounting data'!$H$2:$H$37000,"9999*",'Accounting data'!$K$2:$K$37000,"4100*")</f>
        <v>0</v>
      </c>
      <c r="I35" s="22" t="s">
        <v>85</v>
      </c>
      <c r="J35" s="458"/>
      <c r="K35" s="458"/>
      <c r="L35" s="458"/>
      <c r="M35" s="69"/>
    </row>
    <row r="36" spans="1:13" x14ac:dyDescent="0.25">
      <c r="A36" s="189" t="s">
        <v>87</v>
      </c>
      <c r="B36" s="614" t="s">
        <v>88</v>
      </c>
      <c r="C36" s="614"/>
      <c r="D36" s="614"/>
      <c r="E36" s="614"/>
      <c r="F36" s="614"/>
      <c r="H36" s="41">
        <f>-(SUMIFS('Accounting data'!$G$2:$G$37000,'Accounting data'!$K$2:$K$37000,"4200*"))+SUMIFS('Accounting data'!$G$2:$G$37000,'Accounting data'!$H$2:$H$37000,"9999*",'Accounting data'!$K$2:$K$37000,"4200*")</f>
        <v>139481</v>
      </c>
      <c r="I36" s="22" t="s">
        <v>87</v>
      </c>
      <c r="J36" s="462"/>
      <c r="K36" s="462"/>
      <c r="L36" s="458"/>
    </row>
    <row r="37" spans="1:13" x14ac:dyDescent="0.25">
      <c r="A37" s="320" t="s">
        <v>89</v>
      </c>
      <c r="B37" s="614" t="s">
        <v>90</v>
      </c>
      <c r="C37" s="614"/>
      <c r="D37" s="614"/>
      <c r="E37" s="614"/>
      <c r="F37" s="614"/>
      <c r="G37" s="614"/>
      <c r="H37" s="41">
        <f>-(SUMIFS('Accounting data'!$G$2:$G$37000,'Accounting data'!$K$2:$K$37000,"4700*"))+SUMIFS('Accounting data'!$G$2:$G$37000,'Accounting data'!$H$2:$H$37000,"9999*",'Accounting data'!$K$2:$K$37000,"4700*")</f>
        <v>0</v>
      </c>
      <c r="I37" s="22" t="s">
        <v>89</v>
      </c>
      <c r="J37" s="462"/>
      <c r="K37" s="462"/>
      <c r="L37" s="458"/>
    </row>
    <row r="38" spans="1:13" x14ac:dyDescent="0.25">
      <c r="A38" s="320" t="s">
        <v>91</v>
      </c>
      <c r="B38" s="53" t="s">
        <v>92</v>
      </c>
      <c r="H38" s="41">
        <f>-(SUMIFS('Accounting data'!$G$2:$G$37000,'Accounting data'!$K$2:$K$37000,"4800*"))+SUMIFS('Accounting data'!$G$2:$G$37000,'Accounting data'!$H$2:$H$37000,"9999*",'Accounting data'!$K$2:$K$37000,"4800*")</f>
        <v>0</v>
      </c>
      <c r="I38" s="22" t="s">
        <v>91</v>
      </c>
      <c r="J38" s="458"/>
      <c r="K38" s="458"/>
      <c r="L38" s="458"/>
    </row>
    <row r="39" spans="1:13" x14ac:dyDescent="0.25">
      <c r="A39" s="320" t="s">
        <v>93</v>
      </c>
      <c r="B39" s="614" t="s">
        <v>94</v>
      </c>
      <c r="C39" s="614"/>
      <c r="D39" s="614"/>
      <c r="E39" s="614"/>
      <c r="F39" s="614"/>
      <c r="G39" s="614"/>
      <c r="H39" s="41">
        <f>-(SUMIFS('Accounting data'!$G$2:$G$37000,'Accounting data'!$K$2:$K$37000,"4900*"))+SUMIFS('Accounting data'!$G$2:$G$37000,'Accounting data'!$H$2:$H$37000,"9999*",'Accounting data'!$K$2:$K$37000,"4900*")</f>
        <v>0</v>
      </c>
      <c r="I39" s="22" t="s">
        <v>93</v>
      </c>
      <c r="J39" s="458"/>
      <c r="K39" s="458"/>
      <c r="L39" s="458"/>
    </row>
    <row r="40" spans="1:13" ht="14.25" customHeight="1" x14ac:dyDescent="0.3">
      <c r="A40" s="320" t="s">
        <v>95</v>
      </c>
      <c r="B40" s="614" t="s">
        <v>96</v>
      </c>
      <c r="C40" s="614"/>
      <c r="D40" s="630"/>
      <c r="E40" s="631"/>
      <c r="F40" s="631"/>
      <c r="H40" s="41">
        <f>-(SUMIFS('Accounting data'!$G$2:$G$37000,'Accounting data'!$K$2:$K$37000,"Other Revenue from Federal Sources"))+SUMIFS('Accounting data'!$G$2:$G$37000,'Accounting data'!$H$2:$H$37000,"9999*",'Accounting data'!$K$2:$K$37000,"Other Revenue from Federal Sources")</f>
        <v>0</v>
      </c>
      <c r="I40" s="22" t="s">
        <v>95</v>
      </c>
      <c r="J40" s="458"/>
      <c r="K40" s="458"/>
      <c r="L40" s="458"/>
    </row>
    <row r="41" spans="1:13" x14ac:dyDescent="0.25">
      <c r="A41" s="320" t="s">
        <v>97</v>
      </c>
      <c r="B41" s="614" t="s">
        <v>98</v>
      </c>
      <c r="C41" s="614"/>
      <c r="H41" s="40">
        <f>-(SUMIFS('Accounting data'!$G$2:$G$37000,'Accounting data'!$K$2:$K$37000,"4*"))+SUMIFS('Accounting data'!$G$2:$G$37000,'Accounting data'!$H$2:$H$37000,"9999*",'Accounting data'!$K$2:$K$37000,"4*")+H40</f>
        <v>139481</v>
      </c>
      <c r="I41" s="22" t="s">
        <v>97</v>
      </c>
      <c r="J41" s="458"/>
      <c r="K41" s="458"/>
      <c r="L41" s="458"/>
    </row>
    <row r="42" spans="1:13" x14ac:dyDescent="0.25">
      <c r="A42" s="160"/>
      <c r="B42" s="52"/>
      <c r="H42" s="191"/>
      <c r="I42" s="53"/>
      <c r="J42" s="458"/>
      <c r="K42" s="458"/>
      <c r="L42" s="458"/>
    </row>
    <row r="43" spans="1:13" x14ac:dyDescent="0.25">
      <c r="A43" s="320" t="s">
        <v>99</v>
      </c>
      <c r="B43" s="632" t="s">
        <v>100</v>
      </c>
      <c r="C43" s="632"/>
      <c r="D43" s="632"/>
      <c r="H43" s="41">
        <f>SUM(H21,H26,H33,H41)</f>
        <v>1948522</v>
      </c>
      <c r="I43" s="22" t="s">
        <v>99</v>
      </c>
      <c r="J43" s="458"/>
      <c r="K43" s="458"/>
      <c r="L43" s="458"/>
    </row>
  </sheetData>
  <sheetProtection algorithmName="SHA-512" hashValue="CDPmuAHper7z0clVxq2hqLRB8h5CY0WdJnDpGQPZMLzW0RMjo23St4o4aSNk/0k+pRyorzILSFxF1dj08XZckQ==" saltValue="jRQxU66I3Riv8VXKZ0iw9g==" spinCount="100000" sheet="1" objects="1"/>
  <mergeCells count="40">
    <mergeCell ref="A1:B1"/>
    <mergeCell ref="H1:I1"/>
    <mergeCell ref="M1:N1"/>
    <mergeCell ref="B5:D5"/>
    <mergeCell ref="B6:D6"/>
    <mergeCell ref="B7:D7"/>
    <mergeCell ref="J7:K9"/>
    <mergeCell ref="B8:D8"/>
    <mergeCell ref="B9:C9"/>
    <mergeCell ref="B10:C10"/>
    <mergeCell ref="J10:K10"/>
    <mergeCell ref="B11:C11"/>
    <mergeCell ref="B12:C12"/>
    <mergeCell ref="D12:F12"/>
    <mergeCell ref="B13:C13"/>
    <mergeCell ref="B14:C14"/>
    <mergeCell ref="B17:C17"/>
    <mergeCell ref="B20:C20"/>
    <mergeCell ref="D20:F20"/>
    <mergeCell ref="B21:C21"/>
    <mergeCell ref="B23:C23"/>
    <mergeCell ref="B24:C24"/>
    <mergeCell ref="B25:C25"/>
    <mergeCell ref="D25:F25"/>
    <mergeCell ref="B26:C26"/>
    <mergeCell ref="B28:C28"/>
    <mergeCell ref="B29:C29"/>
    <mergeCell ref="B30:C30"/>
    <mergeCell ref="B31:C31"/>
    <mergeCell ref="B32:C32"/>
    <mergeCell ref="D32:F32"/>
    <mergeCell ref="B40:C40"/>
    <mergeCell ref="D40:F40"/>
    <mergeCell ref="B41:C41"/>
    <mergeCell ref="B43:D43"/>
    <mergeCell ref="B33:C33"/>
    <mergeCell ref="B35:F35"/>
    <mergeCell ref="B36:F36"/>
    <mergeCell ref="B37:G37"/>
    <mergeCell ref="B39:G39"/>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F6C69-F4DB-4029-9EA2-B293F2D70C6A}">
  <dimension ref="A1:AF48"/>
  <sheetViews>
    <sheetView showGridLines="0" topLeftCell="A26" workbookViewId="0"/>
  </sheetViews>
  <sheetFormatPr defaultColWidth="9.33203125" defaultRowHeight="12.75" customHeight="1" x14ac:dyDescent="0.25"/>
  <cols>
    <col min="1" max="1" width="20.77734375" customWidth="1"/>
    <col min="2" max="2" width="34.21875" customWidth="1"/>
    <col min="3" max="3" width="3.77734375" customWidth="1"/>
    <col min="4" max="5" width="12.77734375" customWidth="1"/>
    <col min="6" max="6" width="14.77734375" customWidth="1"/>
    <col min="7" max="12" width="12.77734375" customWidth="1"/>
    <col min="13" max="13" width="3" customWidth="1"/>
    <col min="14" max="14" width="9.33203125" customWidth="1"/>
  </cols>
  <sheetData>
    <row r="1" spans="1:32" ht="12" customHeight="1" x14ac:dyDescent="0.25">
      <c r="A1" s="52" t="s">
        <v>0</v>
      </c>
      <c r="B1" s="609" t="str">
        <f>'Cover Page'!D1</f>
        <v>Edge School, Inc., The</v>
      </c>
      <c r="C1" s="609"/>
      <c r="F1" s="6" t="s">
        <v>1</v>
      </c>
      <c r="G1" s="61" t="str">
        <f>'Cover Page'!M1</f>
        <v>Pima</v>
      </c>
      <c r="J1" s="6"/>
      <c r="K1" s="6" t="s">
        <v>2</v>
      </c>
      <c r="L1" s="54" t="str">
        <f>'Cover Page'!R1</f>
        <v>108653000</v>
      </c>
    </row>
    <row r="2" spans="1:32" ht="3.75" customHeight="1" x14ac:dyDescent="0.25">
      <c r="L2" s="57"/>
    </row>
    <row r="3" spans="1:32" ht="15.75" customHeight="1" x14ac:dyDescent="0.25">
      <c r="A3" s="399"/>
      <c r="B3" s="83"/>
      <c r="C3" s="80"/>
      <c r="D3" s="81"/>
      <c r="E3" s="446" t="s">
        <v>101</v>
      </c>
      <c r="F3" s="51" t="s">
        <v>102</v>
      </c>
      <c r="G3" s="446"/>
      <c r="H3" s="420"/>
      <c r="I3" s="643" t="s">
        <v>103</v>
      </c>
      <c r="J3" s="643"/>
      <c r="K3" s="643"/>
      <c r="L3" s="644" t="s">
        <v>104</v>
      </c>
    </row>
    <row r="4" spans="1:32" ht="12" customHeight="1" x14ac:dyDescent="0.25">
      <c r="A4" s="84" t="s">
        <v>105</v>
      </c>
      <c r="C4" s="213"/>
      <c r="D4" s="361" t="s">
        <v>106</v>
      </c>
      <c r="E4" s="447" t="s">
        <v>107</v>
      </c>
      <c r="F4" s="309" t="s">
        <v>108</v>
      </c>
      <c r="G4" s="448" t="s">
        <v>109</v>
      </c>
      <c r="H4" s="361" t="s">
        <v>110</v>
      </c>
      <c r="I4" s="196"/>
      <c r="J4" s="196"/>
      <c r="K4" s="51" t="s">
        <v>111</v>
      </c>
      <c r="L4" s="645"/>
    </row>
    <row r="5" spans="1:32" ht="11.25" customHeight="1" x14ac:dyDescent="0.25">
      <c r="A5" s="11" t="s">
        <v>112</v>
      </c>
      <c r="B5" s="56"/>
      <c r="C5" s="220"/>
      <c r="D5" s="28">
        <v>6100</v>
      </c>
      <c r="E5" s="311">
        <v>6200</v>
      </c>
      <c r="F5" s="311" t="s">
        <v>113</v>
      </c>
      <c r="G5" s="27">
        <v>6600</v>
      </c>
      <c r="H5" s="28">
        <v>6800</v>
      </c>
      <c r="I5" s="50" t="s">
        <v>114</v>
      </c>
      <c r="J5" s="311" t="s">
        <v>26</v>
      </c>
      <c r="K5" s="311" t="s">
        <v>115</v>
      </c>
      <c r="L5" s="646"/>
    </row>
    <row r="6" spans="1:32" ht="12" customHeight="1" x14ac:dyDescent="0.25">
      <c r="A6" s="13" t="s">
        <v>116</v>
      </c>
      <c r="B6" s="206"/>
      <c r="C6" s="208"/>
      <c r="D6" s="5"/>
      <c r="E6" s="5"/>
      <c r="F6" s="5"/>
      <c r="G6" s="5"/>
      <c r="H6" s="5"/>
      <c r="I6" s="5"/>
      <c r="J6" s="5"/>
      <c r="K6" s="5"/>
      <c r="L6" s="647">
        <f>IF(J7=K7,0,IF(K7&gt;0,(J7-K7)/K7,"--"))</f>
        <v>-0.40410000000000001</v>
      </c>
      <c r="S6" s="69"/>
    </row>
    <row r="7" spans="1:32" ht="12" customHeight="1" x14ac:dyDescent="0.25">
      <c r="A7" s="370" t="s">
        <v>117</v>
      </c>
      <c r="C7" s="449" t="s">
        <v>27</v>
      </c>
      <c r="D7" s="4">
        <f>SUMIFS('Accounting data'!$G$2:$G$37000,'Accounting data'!$H$2:$H$37000,"1000*",'Accounting data'!$I$2:$I$37000,"1*",'Accounting data'!$J$2:$J$37000,"1*",'Accounting data'!$K$2:$K$37000,"61*")+SUMIFS('Accounting data'!$G$2:$G$37000,'Accounting data'!$H$2:$H$37000,"1500*",'Accounting data'!$I$2:$I$37000,"1*",'Accounting data'!$J$2:$J$37000,"1*",'Accounting data'!$K$2:$K$37000,"61*")</f>
        <v>190654</v>
      </c>
      <c r="E7" s="4">
        <f>SUMIFS('Accounting data'!$G$2:$G$37000,'Accounting data'!$H$2:$H$37000,"1000*",'Accounting data'!$I$2:$I$37000,"1*",'Accounting data'!$J$2:$J$37000,"1*",'Accounting data'!$K$2:$K$37000,"62*")+SUMIFS('Accounting data'!$G$2:$G$37000,'Accounting data'!$H$2:$H$37000,"1500*",'Accounting data'!$I$2:$I$37000,"1*",'Accounting data'!$J$2:$J$37000,"1*",'Accounting data'!$K$2:$K$37000,"62*")</f>
        <v>72363</v>
      </c>
      <c r="F7" s="4">
        <f>SUMIFS('Accounting data'!$G$2:$G$37000,'Accounting data'!$H$2:$H$37000,"1000*",'Accounting data'!$I$2:$I$37000,"1*",'Accounting data'!$J$2:$J$37000,"1*",'Accounting data'!$K$2:$K$37000,"63*")+SUMIFS('Accounting data'!$G$2:$G$37000,'Accounting data'!$H$2:$H$37000,"1500*",'Accounting data'!$I$2:$I$37000,"1*",'Accounting data'!$J$2:$J$37000,"1*",'Accounting data'!$K$2:$K$37000,"63*")+SUMIFS('Accounting data'!$G$2:$G$37000,'Accounting data'!$H$2:$H$37000,"1500*",'Accounting data'!$I$2:$I$37000,"1*",'Accounting data'!$J$2:$J$37000,"1*",'Accounting data'!$K$2:$K$37000,"6432*")+SUMIFS('Accounting data'!$G$2:$G$37000,'Accounting data'!$H$2:$H$37000,"1500*",'Accounting data'!$I$2:$I$37000,"1*",'Accounting data'!$J$2:$J$37000,"1*",'Accounting data'!$K$2:$K$37000,"6432*")+SUMIFS('Accounting data'!$G$2:$G$37000,'Accounting data'!$H$2:$H$37000,"1500*",'Accounting data'!$I$2:$I$37000,"1*",'Accounting data'!$J$2:$J$37000,"1*",'Accounting data'!$K$2:$K$37000,"6441*")+SUMIFS('Accounting data'!$G$2:$G$37000,'Accounting data'!$H$2:$H$37000,"1500*",'Accounting data'!$I$2:$I$37000,"1*",'Accounting data'!$J$2:$J$37000,"1*",'Accounting data'!$K$2:$K$37000,"6441*")+SUMIFS('Accounting data'!$G$2:$G$37000,'Accounting data'!$H$2:$H$37000,"1500*",'Accounting data'!$I$2:$I$37000,"1*",'Accounting data'!$J$2:$J$37000,"1*",'Accounting data'!$K$2:$K$37000,"6531*")+SUMIFS('Accounting data'!$G$2:$G$37000,'Accounting data'!$H$2:$H$37000,"1500*",'Accounting data'!$I$2:$I$37000,"1*",'Accounting data'!$J$2:$J$37000,"1*",'Accounting data'!$K$2:$K$37000,"6531*")</f>
        <v>5643</v>
      </c>
      <c r="G7" s="4">
        <f>SUMIFS('Accounting data'!$G$2:$G$37000,'Accounting data'!$H$2:$H$37000,"1000*",'Accounting data'!$I$2:$I$37000,"1*",'Accounting data'!$J$2:$J$37000,"1*",'Accounting data'!$K$2:$K$37000,"66*")+SUMIFS('Accounting data'!$G$2:$G$37000,'Accounting data'!$H$2:$H$37000,"1500*",'Accounting data'!$I$2:$I$37000,"1*",'Accounting data'!$J$2:$J$37000,"1*",'Accounting data'!$K$2:$K$37000,"66*")</f>
        <v>33599</v>
      </c>
      <c r="H7" s="4">
        <f>SUMIFS('Accounting data'!$G$2:$G$37000,'Accounting data'!$H$2:$H$37000,"1000*",'Accounting data'!$I$2:$I$37000,"1*",'Accounting data'!$J$2:$J$37000,"1*",'Accounting data'!$K$2:$K$37000,"68*")+SUMIFS('Accounting data'!$G$2:$G$37000,'Accounting data'!$H$2:$H$37000,"1500*",'Accounting data'!$I$2:$I$37000,"1*",'Accounting data'!$J$2:$J$37000,"1*",'Accounting data'!$K$2:$K$37000,"68*")</f>
        <v>205</v>
      </c>
      <c r="I7" s="4">
        <v>338305</v>
      </c>
      <c r="J7" s="4">
        <f>SUM(D7:H7)</f>
        <v>302464</v>
      </c>
      <c r="K7" s="4">
        <v>507579</v>
      </c>
      <c r="L7" s="648"/>
      <c r="M7" s="190" t="s">
        <v>27</v>
      </c>
      <c r="S7" s="69"/>
    </row>
    <row r="8" spans="1:32" ht="12" customHeight="1" x14ac:dyDescent="0.25">
      <c r="A8" s="370" t="s">
        <v>118</v>
      </c>
      <c r="C8" s="213"/>
      <c r="D8" s="5"/>
      <c r="E8" s="5"/>
      <c r="F8" s="5"/>
      <c r="G8" s="450"/>
      <c r="H8" s="5"/>
      <c r="I8" s="5"/>
      <c r="J8" s="5"/>
      <c r="K8" s="5"/>
      <c r="L8" s="637">
        <f>IF(J9=K9,0,IF(K9&gt;0,(J9-K9)/K9,"--"))</f>
        <v>0.25009999999999999</v>
      </c>
      <c r="M8" s="53"/>
      <c r="S8" s="69"/>
    </row>
    <row r="9" spans="1:32" ht="12" customHeight="1" x14ac:dyDescent="0.25">
      <c r="A9" s="370" t="s">
        <v>119</v>
      </c>
      <c r="C9" s="449" t="s">
        <v>29</v>
      </c>
      <c r="D9" s="4">
        <f>SUMIFS('Accounting data'!$G$2:$G$37000,'Accounting data'!$H$2:$H$37000,"1000*",'Accounting data'!$I$2:$I$37000,"1*",'Accounting data'!$J$2:$J$37000,"21*",'Accounting data'!$K$2:$K$37000,"61*")+SUMIFS('Accounting data'!$G$2:$G$37000,'Accounting data'!$H$2:$H$37000,"1500*",'Accounting data'!$I$2:$I$37000,"1*",'Accounting data'!$J$2:$J$37000,"21*",'Accounting data'!$K$2:$K$37000,"61*")</f>
        <v>145645</v>
      </c>
      <c r="E9" s="4">
        <f>SUMIFS('Accounting data'!$G$2:$G$37000,'Accounting data'!$H$2:$H$37000,"1000*",'Accounting data'!$I$2:$I$37000,"1*",'Accounting data'!$J$2:$J$37000,"21*",'Accounting data'!$K$2:$K$37000,"62*")+SUMIFS('Accounting data'!$G$2:$G$37000,'Accounting data'!$H$2:$H$37000,"1500*",'Accounting data'!$I$2:$I$37000,"1*",'Accounting data'!$J$2:$J$37000,"21*",'Accounting data'!$K$2:$K$37000,"62*")</f>
        <v>43517</v>
      </c>
      <c r="F9" s="4">
        <f>SUMIFS('Accounting data'!$G$2:$G$37000,'Accounting data'!$H$2:$H$37000,"1000*",'Accounting data'!$I$2:$I$37000,"1*",'Accounting data'!$J$2:$J$37000,"21*",'Accounting data'!$K$2:$K$37000,"63*")+SUMIFS('Accounting data'!$G$2:$G$37000,'Accounting data'!$H$2:$H$37000,"1500*",'Accounting data'!$I$2:$I$37000,"1*",'Accounting data'!$J$2:$J$37000,"21*",'Accounting data'!$K$2:$K$37000,"63*")</f>
        <v>19918</v>
      </c>
      <c r="G9" s="4">
        <f>SUMIFS('Accounting data'!$G$2:$G$37000,'Accounting data'!$H$2:$H$37000,"1000*",'Accounting data'!$I$2:$I$37000,"1*",'Accounting data'!$J$2:$J$37000,"21*",'Accounting data'!$K$2:$K$37000,"66*")+SUMIFS('Accounting data'!$G$2:$G$37000,'Accounting data'!$H$2:$H$37000,"1500*",'Accounting data'!$I$2:$I$37000,"1*",'Accounting data'!$J$2:$J$37000,"21*",'Accounting data'!$K$2:$K$37000,"66*")</f>
        <v>2177</v>
      </c>
      <c r="H9" s="4">
        <f>SUMIFS('Accounting data'!$G$2:$G$37000,'Accounting data'!$H$2:$H$37000,"1000*",'Accounting data'!$I$2:$I$37000,"1*",'Accounting data'!$J$2:$J$37000,"21*",'Accounting data'!$K$2:$K$37000,"68*")+SUMIFS('Accounting data'!$G$2:$G$37000,'Accounting data'!$H$2:$H$37000,"1500*",'Accounting data'!$I$2:$I$37000,"1*",'Accounting data'!$J$2:$J$37000,"21*",'Accounting data'!$K$2:$K$37000,"68*")</f>
        <v>62</v>
      </c>
      <c r="I9" s="4">
        <v>193815</v>
      </c>
      <c r="J9" s="4">
        <f t="shared" ref="J9:J22" si="0">SUM(D9:H9)</f>
        <v>211319</v>
      </c>
      <c r="K9" s="4">
        <v>169046</v>
      </c>
      <c r="L9" s="638"/>
      <c r="M9" s="190" t="s">
        <v>29</v>
      </c>
      <c r="N9" s="639" t="str">
        <f>IF('Page 2'!J48=0,"",IF(OR('Page 2'!J9&lt;=0),"The Charter did not report any expenses for student support services on line 2. If the Charter did not have any expense, verify by checking the box in A10 on the Cover Page.",""))</f>
        <v/>
      </c>
      <c r="O9" s="639"/>
      <c r="P9" s="639"/>
      <c r="Q9" s="639"/>
      <c r="R9" s="639"/>
      <c r="S9" s="639"/>
      <c r="T9" s="639"/>
      <c r="U9" s="639"/>
      <c r="V9" s="639"/>
      <c r="W9" s="639"/>
      <c r="X9" s="639"/>
      <c r="Y9" s="639"/>
      <c r="Z9" s="639"/>
      <c r="AA9" s="639"/>
      <c r="AB9" s="639"/>
      <c r="AC9" s="639"/>
      <c r="AD9" s="639"/>
      <c r="AE9" s="639"/>
      <c r="AF9" s="639"/>
    </row>
    <row r="10" spans="1:32" ht="12" customHeight="1" x14ac:dyDescent="0.25">
      <c r="A10" s="370" t="s">
        <v>120</v>
      </c>
      <c r="C10" s="449" t="s">
        <v>31</v>
      </c>
      <c r="D10" s="42">
        <f>SUMIFS('Accounting data'!$G$2:$G$37000,'Accounting data'!$H$2:$H$37000,"1000*",'Accounting data'!$I$2:$I$37000,"1*",'Accounting data'!$J$2:$J$37000,"22*",'Accounting data'!$K$2:$K$37000,"61*")+SUMIFS('Accounting data'!$G$2:$G$37000,'Accounting data'!$H$2:$H$37000,"1500*",'Accounting data'!$I$2:$I$37000,"1*",'Accounting data'!$J$2:$J$37000,"22*",'Accounting data'!$K$2:$K$37000,"61*")</f>
        <v>4096</v>
      </c>
      <c r="E10" s="42">
        <f>SUMIFS('Accounting data'!$G$2:$G$37000,'Accounting data'!$H$2:$H$37000,"1000*",'Accounting data'!$I$2:$I$37000,"1*",'Accounting data'!$J$2:$J$37000,"22*",'Accounting data'!$K$2:$K$37000,"62*")+SUMIFS('Accounting data'!$G$2:$G$37000,'Accounting data'!$H$2:$H$37000,"1500*",'Accounting data'!$I$2:$I$37000,"1*",'Accounting data'!$J$2:$J$37000,"22*",'Accounting data'!$K$2:$K$37000,"62*")</f>
        <v>1040</v>
      </c>
      <c r="F10" s="42">
        <f>SUMIFS('Accounting data'!$G$2:$G$37000,'Accounting data'!$H$2:$H$37000,"1000*",'Accounting data'!$I$2:$I$37000,"1*",'Accounting data'!$J$2:$J$37000,"22*",'Accounting data'!$K$2:$K$37000,"63*")+SUMIFS('Accounting data'!$G$2:$G$37000,'Accounting data'!$H$2:$H$37000,"1500*",'Accounting data'!$I$2:$I$37000,"1*",'Accounting data'!$J$2:$J$37000,"22*",'Accounting data'!$K$2:$K$37000,"63*")</f>
        <v>594</v>
      </c>
      <c r="G10" s="42">
        <f>SUMIFS('Accounting data'!$G$2:$G$37000,'Accounting data'!$H$2:$H$37000,"1000*",'Accounting data'!$I$2:$I$37000,"1*",'Accounting data'!$J$2:$J$37000,"22*",'Accounting data'!$K$2:$K$37000,"66*")+SUMIFS('Accounting data'!$G$2:$G$37000,'Accounting data'!$H$2:$H$37000,"1500*",'Accounting data'!$I$2:$I$37000,"1*",'Accounting data'!$J$2:$J$37000,"22*",'Accounting data'!$K$2:$K$37000,"66*")</f>
        <v>1925</v>
      </c>
      <c r="H10" s="42">
        <f>SUMIFS('Accounting data'!$G$2:$G$37000,'Accounting data'!$H$2:$H$37000,"1000*",'Accounting data'!$I$2:$I$37000,"1*",'Accounting data'!$J$2:$J$37000,"22*",'Accounting data'!$K$2:$K$37000,"68*")+SUMIFS('Accounting data'!$G$2:$G$37000,'Accounting data'!$H$2:$H$37000,"1500*",'Accounting data'!$I$2:$I$37000,"1*",'Accounting data'!$J$2:$J$37000,"22*",'Accounting data'!$K$2:$K$37000,"68*")</f>
        <v>0</v>
      </c>
      <c r="I10" s="278">
        <v>6803</v>
      </c>
      <c r="J10" s="41">
        <f t="shared" si="0"/>
        <v>7655</v>
      </c>
      <c r="K10" s="278">
        <v>35602</v>
      </c>
      <c r="L10" s="49">
        <f t="shared" ref="L10:L20" si="1">IF(J10=K10,0,IF(K10&gt;0,(J10-K10)/K10,"--"))</f>
        <v>-0.78500000000000003</v>
      </c>
      <c r="M10" s="190" t="s">
        <v>31</v>
      </c>
      <c r="N10" s="639" t="str">
        <f>IF('Page 2'!J48=0,"",IF(OR('Page 2'!J10&lt;=0),"The Charter did not report any expenses for instructional support services on line 3. If the Charter did not have any expense, verify by checking the box in A12 on the Cover Page.",""))</f>
        <v/>
      </c>
      <c r="O10" s="639"/>
      <c r="P10" s="639"/>
      <c r="Q10" s="639"/>
      <c r="R10" s="639"/>
      <c r="S10" s="639"/>
      <c r="T10" s="639"/>
      <c r="U10" s="639"/>
      <c r="V10" s="639"/>
      <c r="W10" s="639"/>
      <c r="X10" s="639"/>
      <c r="Y10" s="639"/>
      <c r="Z10" s="639"/>
      <c r="AA10" s="639"/>
      <c r="AB10" s="639"/>
      <c r="AC10" s="639"/>
      <c r="AD10" s="639"/>
      <c r="AE10" s="639"/>
      <c r="AF10" s="639"/>
    </row>
    <row r="11" spans="1:32" ht="12" customHeight="1" x14ac:dyDescent="0.25">
      <c r="A11" s="370" t="s">
        <v>121</v>
      </c>
      <c r="C11" s="449" t="s">
        <v>34</v>
      </c>
      <c r="D11" s="42">
        <f>SUMIFS('Accounting data'!$G$2:$G$37000,'Accounting data'!$H$2:$H$37000,"1000*",'Accounting data'!$I$2:$I$37000,"1*",'Accounting data'!$J$2:$J$37000,"23*",'Accounting data'!$K$2:$K$37000,"61*")+SUMIFS('Accounting data'!$G$2:$G$37000,'Accounting data'!$H$2:$H$37000,"1500*",'Accounting data'!$I$2:$I$37000,"1*",'Accounting data'!$J$2:$J$37000,"23*",'Accounting data'!$K$2:$K$37000,"61*")</f>
        <v>0</v>
      </c>
      <c r="E11" s="42">
        <f>SUMIFS('Accounting data'!$G$2:$G$37000,'Accounting data'!$H$2:$H$37000,"1000*",'Accounting data'!$I$2:$I$37000,"1*",'Accounting data'!$J$2:$J$37000,"23*",'Accounting data'!$K$2:$K$37000,"62*")+SUMIFS('Accounting data'!$G$2:$G$37000,'Accounting data'!$H$2:$H$37000,"1500*",'Accounting data'!$I$2:$I$37000,"1*",'Accounting data'!$J$2:$J$37000,"23*",'Accounting data'!$K$2:$K$37000,"62*")</f>
        <v>0</v>
      </c>
      <c r="F11" s="42">
        <f>SUMIFS('Accounting data'!$G$2:$G$37000,'Accounting data'!$H$2:$H$37000,"1000*",'Accounting data'!$I$2:$I$37000,"1*",'Accounting data'!$J$2:$J$37000,"23*",'Accounting data'!$K$2:$K$37000,"63*")+SUMIFS('Accounting data'!$G$2:$G$37000,'Accounting data'!$H$2:$H$37000,"1500*",'Accounting data'!$I$2:$I$37000,"1*",'Accounting data'!$J$2:$J$37000,"23*",'Accounting data'!$K$2:$K$37000,"63*")</f>
        <v>17872</v>
      </c>
      <c r="G11" s="42">
        <f>SUMIFS('Accounting data'!$G$2:$G$37000,'Accounting data'!$H$2:$H$37000,"1000*",'Accounting data'!$I$2:$I$37000,"1*",'Accounting data'!$J$2:$J$37000,"23*",'Accounting data'!$K$2:$K$37000,"66*")+SUMIFS('Accounting data'!$G$2:$G$37000,'Accounting data'!$H$2:$H$37000,"1500*",'Accounting data'!$I$2:$I$37000,"1*",'Accounting data'!$J$2:$J$37000,"23*",'Accounting data'!$K$2:$K$37000,"66*")</f>
        <v>161</v>
      </c>
      <c r="H11" s="42">
        <f>SUMIFS('Accounting data'!$G$2:$G$37000,'Accounting data'!$H$2:$H$37000,"1000*",'Accounting data'!$I$2:$I$37000,"1*",'Accounting data'!$J$2:$J$37000,"23*",'Accounting data'!$K$2:$K$37000,"68*")+SUMIFS('Accounting data'!$G$2:$G$37000,'Accounting data'!$H$2:$H$37000,"1500*",'Accounting data'!$I$2:$I$37000,"1*",'Accounting data'!$J$2:$J$37000,"23*",'Accounting data'!$K$2:$K$37000,"68*")</f>
        <v>1640</v>
      </c>
      <c r="I11" s="278">
        <v>19618</v>
      </c>
      <c r="J11" s="41">
        <f t="shared" si="0"/>
        <v>19673</v>
      </c>
      <c r="K11" s="278">
        <v>23893</v>
      </c>
      <c r="L11" s="49">
        <f t="shared" si="1"/>
        <v>-0.17660000000000001</v>
      </c>
      <c r="M11" s="190" t="s">
        <v>34</v>
      </c>
      <c r="N11" s="19"/>
      <c r="O11" s="19"/>
      <c r="P11" s="19"/>
      <c r="Q11" s="19"/>
      <c r="R11" s="19"/>
      <c r="S11" s="19"/>
      <c r="T11" s="19"/>
      <c r="U11" s="19"/>
    </row>
    <row r="12" spans="1:32" ht="12" customHeight="1" x14ac:dyDescent="0.25">
      <c r="A12" s="370" t="s">
        <v>122</v>
      </c>
      <c r="C12" s="449" t="s">
        <v>36</v>
      </c>
      <c r="D12" s="42">
        <f>SUMIFS('Accounting data'!$G$2:$G$37000,'Accounting data'!$H$2:$H$37000,"1000*",'Accounting data'!$I$2:$I$37000,"1*",'Accounting data'!$J$2:$J$37000,"24*",'Accounting data'!$K$2:$K$37000,"61*")+SUMIFS('Accounting data'!$G$2:$G$37000,'Accounting data'!$H$2:$H$37000,"1500*",'Accounting data'!$I$2:$I$37000,"1*",'Accounting data'!$J$2:$J$37000,"24*",'Accounting data'!$K$2:$K$37000,"61*")</f>
        <v>143938</v>
      </c>
      <c r="E12" s="42">
        <f>SUMIFS('Accounting data'!$G$2:$G$37000,'Accounting data'!$H$2:$H$37000,"1000*",'Accounting data'!$I$2:$I$37000,"1*",'Accounting data'!$J$2:$J$37000,"24*",'Accounting data'!$K$2:$K$37000,"62*")+SUMIFS('Accounting data'!$G$2:$G$37000,'Accounting data'!$H$2:$H$37000,"1500*",'Accounting data'!$I$2:$I$37000,"1*",'Accounting data'!$J$2:$J$37000,"24*",'Accounting data'!$K$2:$K$37000,"62*")</f>
        <v>45850</v>
      </c>
      <c r="F12" s="42">
        <f>SUMIFS('Accounting data'!$G$2:$G$37000,'Accounting data'!$H$2:$H$37000,"1000*",'Accounting data'!$I$2:$I$37000,"1*",'Accounting data'!$J$2:$J$37000,"24*",'Accounting data'!$K$2:$K$37000,"63*")+SUMIFS('Accounting data'!$G$2:$G$37000,'Accounting data'!$H$2:$H$37000,"1500*",'Accounting data'!$I$2:$I$37000,"1*",'Accounting data'!$J$2:$J$37000,"24*",'Accounting data'!$K$2:$K$37000,"63*")</f>
        <v>64833</v>
      </c>
      <c r="G12" s="42">
        <f>SUMIFS('Accounting data'!$G$2:$G$37000,'Accounting data'!$H$2:$H$37000,"1000*",'Accounting data'!$I$2:$I$37000,"1*",'Accounting data'!$J$2:$J$37000,"24*",'Accounting data'!$K$2:$K$37000,"66*")+SUMIFS('Accounting data'!$G$2:$G$37000,'Accounting data'!$H$2:$H$37000,"1500*",'Accounting data'!$I$2:$I$37000,"1*",'Accounting data'!$J$2:$J$37000,"24*",'Accounting data'!$K$2:$K$37000,"66*")</f>
        <v>3266</v>
      </c>
      <c r="H12" s="42">
        <f>SUMIFS('Accounting data'!$G$2:$G$37000,'Accounting data'!$H$2:$H$37000,"1000*",'Accounting data'!$I$2:$I$37000,"1*",'Accounting data'!$J$2:$J$37000,"24*",'Accounting data'!$K$2:$K$37000,"68*")+SUMIFS('Accounting data'!$G$2:$G$37000,'Accounting data'!$H$2:$H$37000,"1500*",'Accounting data'!$I$2:$I$37000,"1*",'Accounting data'!$J$2:$J$37000,"24*",'Accounting data'!$K$2:$K$37000,"68*")</f>
        <v>11182</v>
      </c>
      <c r="I12" s="278">
        <v>264678</v>
      </c>
      <c r="J12" s="41">
        <f t="shared" si="0"/>
        <v>269069</v>
      </c>
      <c r="K12" s="278">
        <v>285313</v>
      </c>
      <c r="L12" s="49">
        <f t="shared" si="1"/>
        <v>-5.6899999999999999E-2</v>
      </c>
      <c r="M12" s="190" t="s">
        <v>36</v>
      </c>
    </row>
    <row r="13" spans="1:32" ht="12" customHeight="1" x14ac:dyDescent="0.25">
      <c r="A13" s="370" t="s">
        <v>123</v>
      </c>
      <c r="C13" s="449" t="s">
        <v>38</v>
      </c>
      <c r="D13" s="42">
        <f>SUMIFS('Accounting data'!$G$2:$G$37000,'Accounting data'!$H$2:$H$37000,"1000*",'Accounting data'!$I$2:$I$37000,"1*",'Accounting data'!$J$2:$J$37000,"25*",'Accounting data'!$K$2:$K$37000,"61*")+SUMIFS('Accounting data'!$G$2:$G$37000,'Accounting data'!$H$2:$H$37000,"1500*",'Accounting data'!$I$2:$I$37000,"1*",'Accounting data'!$J$2:$J$37000,"25*",'Accounting data'!$K$2:$K$37000,"61*")</f>
        <v>54874</v>
      </c>
      <c r="E13" s="42">
        <f>SUMIFS('Accounting data'!$G$2:$G$37000,'Accounting data'!$H$2:$H$37000,"1000*",'Accounting data'!$I$2:$I$37000,"1*",'Accounting data'!$J$2:$J$37000,"25*",'Accounting data'!$K$2:$K$37000,"62*")+SUMIFS('Accounting data'!$G$2:$G$37000,'Accounting data'!$H$2:$H$37000,"1500*",'Accounting data'!$I$2:$I$37000,"1*",'Accounting data'!$J$2:$J$37000,"25*",'Accounting data'!$K$2:$K$37000,"62*")</f>
        <v>15303</v>
      </c>
      <c r="F13" s="42">
        <f>SUMIFS('Accounting data'!$G$2:$G$37000,'Accounting data'!$H$2:$H$37000,"1000*",'Accounting data'!$I$2:$I$37000,"1*",'Accounting data'!$J$2:$J$37000,"25*",'Accounting data'!$K$2:$K$37000,"63*")+SUMIFS('Accounting data'!$G$2:$G$37000,'Accounting data'!$H$2:$H$37000,"1500*",'Accounting data'!$I$2:$I$37000,"1*",'Accounting data'!$J$2:$J$37000,"25*",'Accounting data'!$K$2:$K$37000,"63*")</f>
        <v>46655</v>
      </c>
      <c r="G13" s="42">
        <f>SUMIFS('Accounting data'!$G$2:$G$37000,'Accounting data'!$H$2:$H$37000,"1000*",'Accounting data'!$I$2:$I$37000,"1*",'Accounting data'!$J$2:$J$37000,"25*",'Accounting data'!$K$2:$K$37000,"66*")+SUMIFS('Accounting data'!$G$2:$G$37000,'Accounting data'!$H$2:$H$37000,"1500*",'Accounting data'!$I$2:$I$37000,"1*",'Accounting data'!$J$2:$J$37000,"25*",'Accounting data'!$K$2:$K$37000,"66*")</f>
        <v>224</v>
      </c>
      <c r="H13" s="42">
        <f>SUMIFS('Accounting data'!$G$2:$G$37000,'Accounting data'!$H$2:$H$37000,"1000*",'Accounting data'!$I$2:$I$37000,"1*",'Accounting data'!$J$2:$J$37000,"25*",'Accounting data'!$K$2:$K$37000,"68*")+SUMIFS('Accounting data'!$G$2:$G$37000,'Accounting data'!$H$2:$H$37000,"1500*",'Accounting data'!$I$2:$I$37000,"1*",'Accounting data'!$J$2:$J$37000,"25*",'Accounting data'!$K$2:$K$37000,"68*")</f>
        <v>20396</v>
      </c>
      <c r="I13" s="278">
        <v>127593</v>
      </c>
      <c r="J13" s="41">
        <f t="shared" si="0"/>
        <v>137452</v>
      </c>
      <c r="K13" s="278">
        <v>158160</v>
      </c>
      <c r="L13" s="49">
        <f t="shared" si="1"/>
        <v>-0.13089999999999999</v>
      </c>
      <c r="M13" s="190" t="s">
        <v>38</v>
      </c>
    </row>
    <row r="14" spans="1:32" ht="12" customHeight="1" x14ac:dyDescent="0.25">
      <c r="A14" s="370" t="s">
        <v>124</v>
      </c>
      <c r="C14" s="449" t="s">
        <v>40</v>
      </c>
      <c r="D14" s="42">
        <f>SUMIFS('Accounting data'!$G$2:$G$37000,'Accounting data'!$H$2:$H$37000,"1000*",'Accounting data'!$I$2:$I$37000,"1*",'Accounting data'!$J$2:$J$37000,"26*",'Accounting data'!$K$2:$K$37000,"61*")+SUMIFS('Accounting data'!$G$2:$G$37000,'Accounting data'!$H$2:$H$37000,"1500*",'Accounting data'!$I$2:$I$37000,"1*",'Accounting data'!$J$2:$J$37000,"26*",'Accounting data'!$K$2:$K$37000,"61*")</f>
        <v>0</v>
      </c>
      <c r="E14" s="42">
        <f>SUMIFS('Accounting data'!$G$2:$G$37000,'Accounting data'!$H$2:$H$37000,"1000*",'Accounting data'!$I$2:$I$37000,"1*",'Accounting data'!$J$2:$J$37000,"26*",'Accounting data'!$K$2:$K$37000,"62*")+SUMIFS('Accounting data'!$G$2:$G$37000,'Accounting data'!$H$2:$H$37000,"1500*",'Accounting data'!$I$2:$I$37000,"1*",'Accounting data'!$J$2:$J$37000,"26*",'Accounting data'!$K$2:$K$37000,"62*")</f>
        <v>127</v>
      </c>
      <c r="F14" s="42">
        <f>SUMIFS('Accounting data'!$G$2:$G$37000,'Accounting data'!$H$2:$H$37000,"1000*",'Accounting data'!$I$2:$I$37000,"1*",'Accounting data'!$J$2:$J$37000,"26*",'Accounting data'!$K$2:$K$37000,"63*")+SUMIFS('Accounting data'!$G$2:$G$37000,'Accounting data'!$H$2:$H$37000,"1500*",'Accounting data'!$I$2:$I$37000,"1*",'Accounting data'!$J$2:$J$37000,"26*",'Accounting data'!$K$2:$K$37000,"63*")</f>
        <v>223778</v>
      </c>
      <c r="G14" s="42">
        <f>SUMIFS('Accounting data'!$G$2:$G$37000,'Accounting data'!$H$2:$H$37000,"1000*",'Accounting data'!$I$2:$I$37000,"1*",'Accounting data'!$J$2:$J$37000,"26*",'Accounting data'!$K$2:$K$37000,"66*")+SUMIFS('Accounting data'!$G$2:$G$37000,'Accounting data'!$H$2:$H$37000,"1500*",'Accounting data'!$I$2:$I$37000,"1*",'Accounting data'!$J$2:$J$37000,"26*",'Accounting data'!$K$2:$K$37000,"66*")</f>
        <v>19499</v>
      </c>
      <c r="H14" s="42">
        <f>SUMIFS('Accounting data'!$G$2:$G$37000,'Accounting data'!$H$2:$H$37000,"1000*",'Accounting data'!$I$2:$I$37000,"1*",'Accounting data'!$J$2:$J$37000,"26*",'Accounting data'!$K$2:$K$37000,"68*")+SUMIFS('Accounting data'!$G$2:$G$37000,'Accounting data'!$H$2:$H$37000,"1500*",'Accounting data'!$I$2:$I$37000,"1*",'Accounting data'!$J$2:$J$37000,"26*",'Accounting data'!$K$2:$K$37000,"68*")</f>
        <v>620</v>
      </c>
      <c r="I14" s="278">
        <v>240197</v>
      </c>
      <c r="J14" s="41">
        <f t="shared" si="0"/>
        <v>244024</v>
      </c>
      <c r="K14" s="278">
        <v>272842</v>
      </c>
      <c r="L14" s="49">
        <f t="shared" si="1"/>
        <v>-0.1056</v>
      </c>
      <c r="M14" s="190" t="s">
        <v>40</v>
      </c>
    </row>
    <row r="15" spans="1:32" ht="12" customHeight="1" x14ac:dyDescent="0.25">
      <c r="A15" s="370" t="s">
        <v>125</v>
      </c>
      <c r="C15" s="449" t="s">
        <v>42</v>
      </c>
      <c r="D15" s="42">
        <f>SUMIFS('Accounting data'!$G$2:$G$37000,'Accounting data'!$H$2:$H$37000,"1000*",'Accounting data'!$I$2:$I$37000,"1*",'Accounting data'!$J$2:$J$37000,"29*",'Accounting data'!$K$2:$K$37000,"61*")+SUMIFS('Accounting data'!$G$2:$G$37000,'Accounting data'!$H$2:$H$37000,"1500*",'Accounting data'!$I$2:$I$37000,"1*",'Accounting data'!$J$2:$J$37000,"29*",'Accounting data'!$K$2:$K$37000,"61*")</f>
        <v>0</v>
      </c>
      <c r="E15" s="42">
        <f>SUMIFS('Accounting data'!$G$2:$G$37000,'Accounting data'!$H$2:$H$37000,"1000*",'Accounting data'!$I$2:$I$37000,"1*",'Accounting data'!$J$2:$J$37000,"29*",'Accounting data'!$K$2:$K$37000,"62*")+SUMIFS('Accounting data'!$G$2:$G$37000,'Accounting data'!$H$2:$H$37000,"1500*",'Accounting data'!$I$2:$I$37000,"1*",'Accounting data'!$J$2:$J$37000,"29*",'Accounting data'!$K$2:$K$37000,"62*")</f>
        <v>0</v>
      </c>
      <c r="F15" s="42">
        <f>SUMIFS('Accounting data'!$G$2:$G$37000,'Accounting data'!$H$2:$H$37000,"1000*",'Accounting data'!$I$2:$I$37000,"1*",'Accounting data'!$J$2:$J$37000,"29*",'Accounting data'!$K$2:$K$37000,"63*")+SUMIFS('Accounting data'!$G$2:$G$37000,'Accounting data'!$H$2:$H$37000,"1500*",'Accounting data'!$I$2:$I$37000,"1*",'Accounting data'!$J$2:$J$37000,"29*",'Accounting data'!$K$2:$K$37000,"63*")</f>
        <v>0</v>
      </c>
      <c r="G15" s="42">
        <f>SUMIFS('Accounting data'!$G$2:$G$37000,'Accounting data'!$H$2:$H$37000,"1000*",'Accounting data'!$I$2:$I$37000,"1*",'Accounting data'!$J$2:$J$37000,"29*",'Accounting data'!$K$2:$K$37000,"66*")+SUMIFS('Accounting data'!$G$2:$G$37000,'Accounting data'!$H$2:$H$37000,"1500*",'Accounting data'!$I$2:$I$37000,"1*",'Accounting data'!$J$2:$J$37000,"29*",'Accounting data'!$K$2:$K$37000,"66*")</f>
        <v>0</v>
      </c>
      <c r="H15" s="42">
        <f>SUMIFS('Accounting data'!$G$2:$G$37000,'Accounting data'!$H$2:$H$37000,"1000*",'Accounting data'!$I$2:$I$37000,"1*",'Accounting data'!$J$2:$J$37000,"29*",'Accounting data'!$K$2:$K$37000,"68*")+SUMIFS('Accounting data'!$G$2:$G$37000,'Accounting data'!$H$2:$H$37000,"1500*",'Accounting data'!$I$2:$I$37000,"1*",'Accounting data'!$J$2:$J$37000,"29*",'Accounting data'!$K$2:$K$37000,"68*")</f>
        <v>0</v>
      </c>
      <c r="I15" s="278">
        <v>0</v>
      </c>
      <c r="J15" s="41">
        <f t="shared" si="0"/>
        <v>0</v>
      </c>
      <c r="K15" s="278">
        <v>0</v>
      </c>
      <c r="L15" s="49">
        <f t="shared" si="1"/>
        <v>0</v>
      </c>
      <c r="M15" s="190" t="s">
        <v>42</v>
      </c>
    </row>
    <row r="16" spans="1:32" ht="12" customHeight="1" x14ac:dyDescent="0.25">
      <c r="A16" s="370" t="s">
        <v>126</v>
      </c>
      <c r="C16" s="449" t="s">
        <v>44</v>
      </c>
      <c r="D16" s="42">
        <f>SUMIFS('Accounting data'!$G$2:$G$37000,'Accounting data'!$H$2:$H$37000,"1000*",'Accounting data'!$I$2:$I$37000,"1*",'Accounting data'!$J$2:$J$37000,"3*",'Accounting data'!$K$2:$K$37000,"61*")+SUMIFS('Accounting data'!$G$2:$G$37000,'Accounting data'!$H$2:$H$37000,"1500*",'Accounting data'!$I$2:$I$37000,"1*",'Accounting data'!$J$2:$J$37000,"3*",'Accounting data'!$K$2:$K$37000,"61*")</f>
        <v>0</v>
      </c>
      <c r="E16" s="42">
        <f>SUMIFS('Accounting data'!$G$2:$G$37000,'Accounting data'!$H$2:$H$37000,"1000*",'Accounting data'!$I$2:$I$37000,"1*",'Accounting data'!$J$2:$J$37000,"3*",'Accounting data'!$K$2:$K$37000,"62*")+SUMIFS('Accounting data'!$G$2:$G$37000,'Accounting data'!$H$2:$H$37000,"1500*",'Accounting data'!$I$2:$I$37000,"1*",'Accounting data'!$J$2:$J$37000,"3*",'Accounting data'!$K$2:$K$37000,"62*")</f>
        <v>0</v>
      </c>
      <c r="F16" s="42">
        <f>SUMIFS('Accounting data'!$G$2:$G$37000,'Accounting data'!$H$2:$H$37000,"1000*",'Accounting data'!$I$2:$I$37000,"1*",'Accounting data'!$J$2:$J$37000,"3*",'Accounting data'!$K$2:$K$37000,"63*")+SUMIFS('Accounting data'!$G$2:$G$37000,'Accounting data'!$H$2:$H$37000,"1500*",'Accounting data'!$I$2:$I$37000,"1*",'Accounting data'!$J$2:$J$37000,"3*",'Accounting data'!$K$2:$K$37000,"63*")</f>
        <v>0</v>
      </c>
      <c r="G16" s="42">
        <f>SUMIFS('Accounting data'!$G$2:$G$37000,'Accounting data'!$H$2:$H$37000,"1000*",'Accounting data'!$I$2:$I$37000,"1*",'Accounting data'!$J$2:$J$37000,"3*",'Accounting data'!$K$2:$K$37000,"66*")+SUMIFS('Accounting data'!$G$2:$G$37000,'Accounting data'!$H$2:$H$37000,"1500*",'Accounting data'!$I$2:$I$37000,"1*",'Accounting data'!$J$2:$J$37000,"3*",'Accounting data'!$K$2:$K$37000,"66*")</f>
        <v>0</v>
      </c>
      <c r="H16" s="42">
        <f>SUMIFS('Accounting data'!$G$2:$G$37000,'Accounting data'!$H$2:$H$37000,"1000*",'Accounting data'!$I$2:$I$37000,"1*",'Accounting data'!$J$2:$J$37000,"3*",'Accounting data'!$K$2:$K$37000,"68*")+SUMIFS('Accounting data'!$G$2:$G$37000,'Accounting data'!$H$2:$H$37000,"1500*",'Accounting data'!$I$2:$I$37000,"1*",'Accounting data'!$J$2:$J$37000,"3*",'Accounting data'!$K$2:$K$37000,"68*")</f>
        <v>0</v>
      </c>
      <c r="I16" s="278">
        <v>0</v>
      </c>
      <c r="J16" s="41">
        <f t="shared" si="0"/>
        <v>0</v>
      </c>
      <c r="K16" s="278">
        <v>0</v>
      </c>
      <c r="L16" s="49">
        <f t="shared" si="1"/>
        <v>0</v>
      </c>
      <c r="M16" s="190" t="s">
        <v>44</v>
      </c>
    </row>
    <row r="17" spans="1:25" ht="12" customHeight="1" x14ac:dyDescent="0.25">
      <c r="A17" s="370" t="s">
        <v>127</v>
      </c>
      <c r="C17" s="449" t="s">
        <v>46</v>
      </c>
      <c r="D17" s="42">
        <f>SUMIFS('Accounting data'!$G$2:$G$37000,'Accounting data'!$H$2:$H$37000,"1000*",'Accounting data'!$I$2:$I$37000,"1*",'Accounting data'!$J$2:$J$37000,"4*",'Accounting data'!$K$2:$K$37000,"61*")+SUMIFS('Accounting data'!$G$2:$G$37000,'Accounting data'!$H$2:$H$37000,"1500*",'Accounting data'!$I$2:$I$37000,"1*",'Accounting data'!$J$2:$J$37000,"4*",'Accounting data'!$K$2:$K$37000,"61*")</f>
        <v>0</v>
      </c>
      <c r="E17" s="42">
        <f>SUMIFS('Accounting data'!$G$2:$G$37000,'Accounting data'!$H$2:$H$37000,"1000*",'Accounting data'!$I$2:$I$37000,"1*",'Accounting data'!$J$2:$J$37000,"4*",'Accounting data'!$K$2:$K$37000,"62*")+SUMIFS('Accounting data'!$G$2:$G$37000,'Accounting data'!$H$2:$H$37000,"1500*",'Accounting data'!$I$2:$I$37000,"1*",'Accounting data'!$J$2:$J$37000,"4*",'Accounting data'!$K$2:$K$37000,"62*")</f>
        <v>0</v>
      </c>
      <c r="F17" s="42">
        <f>SUMIFS('Accounting data'!$G$2:$G$37000,'Accounting data'!$H$2:$H$37000,"1000*",'Accounting data'!$I$2:$I$37000,"1*",'Accounting data'!$J$2:$J$37000,"4*",'Accounting data'!$K$2:$K$37000,"63*")+SUMIFS('Accounting data'!$G$2:$G$37000,'Accounting data'!$H$2:$H$37000,"1500*",'Accounting data'!$I$2:$I$37000,"1*",'Accounting data'!$J$2:$J$37000,"4*",'Accounting data'!$K$2:$K$37000,"63*")</f>
        <v>0</v>
      </c>
      <c r="G17" s="42">
        <f>SUMIFS('Accounting data'!$G$2:$G$37000,'Accounting data'!$H$2:$H$37000,"1000*",'Accounting data'!$I$2:$I$37000,"1*",'Accounting data'!$J$2:$J$37000,"4*",'Accounting data'!$K$2:$K$37000,"66*")+SUMIFS('Accounting data'!$G$2:$G$37000,'Accounting data'!$H$2:$H$37000,"1500*",'Accounting data'!$I$2:$I$37000,"1*",'Accounting data'!$J$2:$J$37000,"4*",'Accounting data'!$K$2:$K$37000,"66*")</f>
        <v>0</v>
      </c>
      <c r="H17" s="42">
        <f>SUMIFS('Accounting data'!$G$2:$G$37000,'Accounting data'!$H$2:$H$37000,"1000*",'Accounting data'!$I$2:$I$37000,"1*",'Accounting data'!$J$2:$J$37000,"4*",'Accounting data'!$K$2:$K$37000,"68*")+SUMIFS('Accounting data'!$G$2:$G$37000,'Accounting data'!$H$2:$H$37000,"1500*",'Accounting data'!$I$2:$I$37000,"1*",'Accounting data'!$J$2:$J$37000,"4*",'Accounting data'!$K$2:$K$37000,"68*")</f>
        <v>0</v>
      </c>
      <c r="I17" s="278">
        <v>0</v>
      </c>
      <c r="J17" s="41">
        <f t="shared" si="0"/>
        <v>0</v>
      </c>
      <c r="K17" s="278">
        <v>0</v>
      </c>
      <c r="L17" s="49">
        <f t="shared" si="1"/>
        <v>0</v>
      </c>
      <c r="M17" s="190" t="s">
        <v>46</v>
      </c>
    </row>
    <row r="18" spans="1:25" ht="12" customHeight="1" x14ac:dyDescent="0.25">
      <c r="A18" s="370" t="s">
        <v>128</v>
      </c>
      <c r="C18" s="449" t="s">
        <v>48</v>
      </c>
      <c r="D18" s="42">
        <f>SUMIFS('Accounting data'!$G$2:$G$37000,'Accounting data'!$H$2:$H$37000,"1000*",'Accounting data'!$I$2:$I$37000,"1*",'Accounting data'!$J$2:$J$37000,"5*",'Accounting data'!$K$2:$K$37000,"61*")+SUMIFS('Accounting data'!$G$2:$G$37000,'Accounting data'!$H$2:$H$37000,"1500*",'Accounting data'!$I$2:$I$37000,"1*",'Accounting data'!$J$2:$J$37000,"5*",'Accounting data'!$K$2:$K$37000,"61*")</f>
        <v>0</v>
      </c>
      <c r="E18" s="42">
        <f>SUMIFS('Accounting data'!$G$2:$G$37000,'Accounting data'!$H$2:$H$37000,"1000*",'Accounting data'!$I$2:$I$37000,"1*",'Accounting data'!$J$2:$J$37000,"5*",'Accounting data'!$K$2:$K$37000,"62*")+SUMIFS('Accounting data'!$G$2:$G$37000,'Accounting data'!$H$2:$H$37000,"1500*",'Accounting data'!$I$2:$I$37000,"1*",'Accounting data'!$J$2:$J$37000,"5*",'Accounting data'!$K$2:$K$37000,"62*")</f>
        <v>0</v>
      </c>
      <c r="F18" s="42">
        <f>SUMIFS('Accounting data'!$G$2:$G$37000,'Accounting data'!$H$2:$H$37000,"1000*",'Accounting data'!$I$2:$I$37000,"1*",'Accounting data'!$J$2:$J$37000,"5*",'Accounting data'!$K$2:$K$37000,"63*")+SUMIFS('Accounting data'!$G$2:$G$37000,'Accounting data'!$H$2:$H$37000,"1500*",'Accounting data'!$I$2:$I$37000,"1*",'Accounting data'!$J$2:$J$37000,"5*",'Accounting data'!$K$2:$K$37000,"63*")</f>
        <v>0</v>
      </c>
      <c r="G18" s="42">
        <f>SUMIFS('Accounting data'!$G$2:$G$37000,'Accounting data'!$H$2:$H$37000,"1000*",'Accounting data'!$I$2:$I$37000,"1*",'Accounting data'!$J$2:$J$37000,"5*",'Accounting data'!$K$2:$K$37000,"66*")+SUMIFS('Accounting data'!$G$2:$G$37000,'Accounting data'!$H$2:$H$37000,"1500*",'Accounting data'!$I$2:$I$37000,"1*",'Accounting data'!$J$2:$J$37000,"5*",'Accounting data'!$K$2:$K$37000,"66*")</f>
        <v>0</v>
      </c>
      <c r="H18" s="42">
        <f>SUMIFS('Accounting data'!$G$2:$G$37000,'Accounting data'!$H$2:$H$37000,"1000*",'Accounting data'!$I$2:$I$37000,"1*",'Accounting data'!$J$2:$J$37000,"5*",'Accounting data'!$K$2:$K$37000,"68*")+SUMIFS('Accounting data'!$G$2:$G$37000,'Accounting data'!$H$2:$H$37000,"1500*",'Accounting data'!$I$2:$I$37000,"1*",'Accounting data'!$J$2:$J$37000,"5*",'Accounting data'!$K$2:$K$37000,"68*")</f>
        <v>173872</v>
      </c>
      <c r="I18" s="278">
        <v>170412</v>
      </c>
      <c r="J18" s="41">
        <f t="shared" si="0"/>
        <v>173872</v>
      </c>
      <c r="K18" s="278">
        <v>182777</v>
      </c>
      <c r="L18" s="49">
        <f t="shared" si="1"/>
        <v>-4.87E-2</v>
      </c>
      <c r="M18" s="190" t="s">
        <v>48</v>
      </c>
    </row>
    <row r="19" spans="1:25" ht="12" customHeight="1" x14ac:dyDescent="0.25">
      <c r="A19" s="370" t="s">
        <v>129</v>
      </c>
      <c r="C19" s="449" t="s">
        <v>50</v>
      </c>
      <c r="D19" s="42">
        <f>SUMIFS('Accounting data'!$G$2:$G$37000,'Accounting data'!$H$2:$H$37000,"1000*",'Accounting data'!$I$2:$I$37000,"61*",'Accounting data'!$K$2:$K$37000,"61*")+SUMIFS('Accounting data'!$G$2:$G$37000,'Accounting data'!$H$2:$H$37000,"1500*",'Accounting data'!$I$2:$I$37000,"61*",'Accounting data'!$K$2:$K$37000,"61*")</f>
        <v>0</v>
      </c>
      <c r="E19" s="42">
        <f>SUMIFS('Accounting data'!$G$2:$G$37000,'Accounting data'!$H$2:$H$37000,"1000*",'Accounting data'!$I$2:$I$37000,"61*",'Accounting data'!$K$2:$K$37000,"62*")+SUMIFS('Accounting data'!$G$2:$G$37000,'Accounting data'!$H$2:$H$37000,"1500*",'Accounting data'!$I$2:$I$37000,"61*",'Accounting data'!$K$2:$K$37000,"62*")</f>
        <v>0</v>
      </c>
      <c r="F19" s="42">
        <f>SUMIFS('Accounting data'!$G$2:$G$37000,'Accounting data'!$H$2:$H$37000,"1000*",'Accounting data'!$I$2:$I$37000,"61*",'Accounting data'!$K$2:$K$37000,"63*")+SUMIFS('Accounting data'!$G$2:$G$37000,'Accounting data'!$H$2:$H$37000,"1500*",'Accounting data'!$I$2:$I$37000,"61*",'Accounting data'!$K$2:$K$37000,"63*")</f>
        <v>0</v>
      </c>
      <c r="G19" s="42">
        <f>SUMIFS('Accounting data'!$G$2:$G$37000,'Accounting data'!$H$2:$H$37000,"1000*",'Accounting data'!$I$2:$I$37000,"61*",'Accounting data'!$K$2:$K$37000,"66*")+SUMIFS('Accounting data'!$G$2:$G$37000,'Accounting data'!$H$2:$H$37000,"1500*",'Accounting data'!$I$2:$I$37000,"61*",'Accounting data'!$K$2:$K$37000,"66*")</f>
        <v>1545</v>
      </c>
      <c r="H19" s="42">
        <f>SUMIFS('Accounting data'!$G$2:$G$37000,'Accounting data'!$H$2:$H$37000,"1000*",'Accounting data'!$I$2:$I$37000,"61*",'Accounting data'!$K$2:$K$37000,"68*")+SUMIFS('Accounting data'!$G$2:$G$37000,'Accounting data'!$H$2:$H$37000,"1500*",'Accounting data'!$I$2:$I$37000,"61*",'Accounting data'!$K$2:$K$37000,"68*")</f>
        <v>0</v>
      </c>
      <c r="I19" s="278">
        <v>0</v>
      </c>
      <c r="J19" s="41">
        <f t="shared" si="0"/>
        <v>1545</v>
      </c>
      <c r="K19" s="278">
        <v>0</v>
      </c>
      <c r="L19" s="49" t="str">
        <f t="shared" si="1"/>
        <v>--</v>
      </c>
      <c r="M19" s="190" t="s">
        <v>50</v>
      </c>
    </row>
    <row r="20" spans="1:25" ht="12" customHeight="1" x14ac:dyDescent="0.25">
      <c r="A20" s="370" t="s">
        <v>130</v>
      </c>
      <c r="C20" s="449" t="s">
        <v>52</v>
      </c>
      <c r="D20" s="42">
        <f>SUMIFS('Accounting data'!$G$2:$G$37000,'Accounting data'!$H$2:$H$37000,"1000*",'Accounting data'!$I$2:$I$37000,"62*",'Accounting data'!$K$2:$K$37000,"61*")+SUMIFS('Accounting data'!$G$2:$G$37000,'Accounting data'!$H$2:$H$37000,"1500*",'Accounting data'!$I$2:$I$37000,"62*",'Accounting data'!$K$2:$K$37000,"61*")</f>
        <v>0</v>
      </c>
      <c r="E20" s="42">
        <f>SUMIFS('Accounting data'!$G$2:$G$37000,'Accounting data'!$H$2:$H$37000,"1000*",'Accounting data'!$I$2:$I$37000,"62*",'Accounting data'!$K$2:$K$37000,"62*")+SUMIFS('Accounting data'!$G$2:$G$37000,'Accounting data'!$H$2:$H$37000,"1500*",'Accounting data'!$I$2:$I$37000,"62*",'Accounting data'!$K$2:$K$37000,"62*")</f>
        <v>0</v>
      </c>
      <c r="F20" s="42">
        <f>SUMIFS('Accounting data'!$G$2:$G$37000,'Accounting data'!$H$2:$H$37000,"1000*",'Accounting data'!$I$2:$I$37000,"62*",'Accounting data'!$K$2:$K$37000,"63*")+SUMIFS('Accounting data'!$G$2:$G$37000,'Accounting data'!$H$2:$H$37000,"1500*",'Accounting data'!$I$2:$I$37000,"62*",'Accounting data'!$K$2:$K$37000,"63*")</f>
        <v>0</v>
      </c>
      <c r="G20" s="42">
        <f>SUMIFS('Accounting data'!$G$2:$G$37000,'Accounting data'!$H$2:$H$37000,"1000*",'Accounting data'!$I$2:$I$37000,"62*",'Accounting data'!$K$2:$K$37000,"66*")+SUMIFS('Accounting data'!$G$2:$G$37000,'Accounting data'!$H$2:$H$37000,"1500*",'Accounting data'!$I$2:$I$37000,"62*",'Accounting data'!$K$2:$K$37000,"66*")</f>
        <v>0</v>
      </c>
      <c r="H20" s="42">
        <f>SUMIFS('Accounting data'!$G$2:$G$37000,'Accounting data'!$H$2:$H$37000,"1000*",'Accounting data'!$I$2:$I$37000,"62*",'Accounting data'!$K$2:$K$37000,"68*")+SUMIFS('Accounting data'!$G$2:$G$37000,'Accounting data'!$H$2:$H$37000,"1500*",'Accounting data'!$I$2:$I$37000,"62*",'Accounting data'!$K$2:$K$37000,"68*")</f>
        <v>0</v>
      </c>
      <c r="I20" s="278">
        <v>0</v>
      </c>
      <c r="J20" s="41">
        <f t="shared" si="0"/>
        <v>0</v>
      </c>
      <c r="K20" s="278">
        <v>0</v>
      </c>
      <c r="L20" s="49">
        <f t="shared" si="1"/>
        <v>0</v>
      </c>
      <c r="M20" s="190" t="s">
        <v>52</v>
      </c>
    </row>
    <row r="21" spans="1:25" ht="12" customHeight="1" x14ac:dyDescent="0.25">
      <c r="A21" s="370" t="s">
        <v>131</v>
      </c>
      <c r="C21" s="449" t="s">
        <v>54</v>
      </c>
      <c r="D21" s="42">
        <f>SUMIFS('Accounting data'!$G$2:$G$37000,'Accounting data'!$H$2:$H$37000,"1000*",'Accounting data'!$I$2:$I$37000,"63*",'Accounting data'!$K$2:$K$37000,"61*")+SUMIFS('Accounting data'!$G$2:$G$37000,'Accounting data'!$H$2:$H$37000,"1500*",'Accounting data'!$I$2:$I$37000,"63*",'Accounting data'!$K$2:$K$37000,"61*")</f>
        <v>0</v>
      </c>
      <c r="E21" s="42">
        <f>SUMIFS('Accounting data'!$G$2:$G$37000,'Accounting data'!$H$2:$H$37000,"1000*",'Accounting data'!$I$2:$I$37000,"63*",'Accounting data'!$K$2:$K$37000,"62*")+SUMIFS('Accounting data'!$G$2:$G$37000,'Accounting data'!$H$2:$H$37000,"1500*",'Accounting data'!$I$2:$I$37000,"63*",'Accounting data'!$K$2:$K$37000,"62*")</f>
        <v>0</v>
      </c>
      <c r="F21" s="42">
        <f>SUMIFS('Accounting data'!$G$2:$G$37000,'Accounting data'!$H$2:$H$37000,"1000*",'Accounting data'!$I$2:$I$37000,"63*",'Accounting data'!$K$2:$K$37000,"63*")+SUMIFS('Accounting data'!$G$2:$G$37000,'Accounting data'!$H$2:$H$37000,"1500*",'Accounting data'!$I$2:$I$37000,"63*",'Accounting data'!$K$2:$K$37000,"63*")</f>
        <v>0</v>
      </c>
      <c r="G21" s="42">
        <f>SUMIFS('Accounting data'!$G$2:$G$37000,'Accounting data'!$H$2:$H$37000,"1000*",'Accounting data'!$I$2:$I$37000,"63*",'Accounting data'!$K$2:$K$37000,"66*")+SUMIFS('Accounting data'!$G$2:$G$37000,'Accounting data'!$H$2:$H$37000,"1500*",'Accounting data'!$I$2:$I$37000,"63*",'Accounting data'!$K$2:$K$37000,"66*")</f>
        <v>0</v>
      </c>
      <c r="H21" s="451">
        <f>SUMIFS('Accounting data'!$G$2:$G$37000,'Accounting data'!$H$2:$H$37000,"1000*",'Accounting data'!$I$2:$I$37000,"63*",'Accounting data'!$K$2:$K$37000,"68*")+SUMIFS('Accounting data'!$G$2:$G$37000,'Accounting data'!$H$2:$H$37000,"1500*",'Accounting data'!$I$2:$I$37000,"63*",'Accounting data'!$K$2:$K$37000,"68*")</f>
        <v>0</v>
      </c>
      <c r="I21" s="640">
        <v>0</v>
      </c>
      <c r="J21" s="406">
        <f t="shared" si="0"/>
        <v>0</v>
      </c>
      <c r="K21" s="278">
        <v>0</v>
      </c>
      <c r="L21" s="637">
        <f>IF(J21+J22=K22,0,IF(K22&gt;0,(J21+J22-K22)/K22,"--"))</f>
        <v>0</v>
      </c>
      <c r="M21" s="189" t="s">
        <v>54</v>
      </c>
    </row>
    <row r="22" spans="1:25" ht="12" customHeight="1" x14ac:dyDescent="0.25">
      <c r="A22" s="370" t="s">
        <v>132</v>
      </c>
      <c r="C22" s="449" t="s">
        <v>56</v>
      </c>
      <c r="D22" s="42">
        <f>SUMIFS('Accounting data'!$G$2:$G$37000,'Accounting data'!$H$2:$H$37000,"1000*",'Accounting data'!$I$2:$I$37000,"7*",'Accounting data'!$K$2:$K$37000,"61*")+SUMIFS('Accounting data'!$G$2:$G$37000,'Accounting data'!$H$2:$H$37000,"1000*",'Accounting data'!$I$2:$I$37000,"8*",'Accounting data'!$K$2:$K$37000,"61*")+SUMIFS('Accounting data'!$G$2:$G$37000,'Accounting data'!$H$2:$H$37000,"1000*",'Accounting data'!$I$2:$I$37000,"9*",'Accounting data'!$K$2:$K$37000,"61*")+SUMIFS('Accounting data'!$G$2:$G$37000,'Accounting data'!$H$2:$H$37000,"1500*",'Accounting data'!$I$2:$I$37000,"7*",'Accounting data'!$K$2:$K$37000,"61*")+SUMIFS('Accounting data'!$G$2:$G$37000,'Accounting data'!$H$2:$H$37000,"1500*",'Accounting data'!$I$2:$I$37000,"8*",'Accounting data'!$K$2:$K$37000,"61*")+SUMIFS('Accounting data'!$G$2:$G$37000,'Accounting data'!$H$2:$H$37000,"1500*",'Accounting data'!$I$2:$I$37000,"9*",'Accounting data'!$K$2:$K$37000,"61*")</f>
        <v>0</v>
      </c>
      <c r="E22" s="42">
        <f>SUMIFS('Accounting data'!$G$2:$G$37000,'Accounting data'!$H$2:$H$37000,"1000*",'Accounting data'!$I$2:$I$37000,"7*",'Accounting data'!$K$2:$K$37000,"62*")+SUMIFS('Accounting data'!$G$2:$G$37000,'Accounting data'!$H$2:$H$37000,"1000*",'Accounting data'!$I$2:$I$37000,"8*",'Accounting data'!$K$2:$K$37000,"62*")+SUMIFS('Accounting data'!$G$2:$G$37000,'Accounting data'!$H$2:$H$37000,"1000*",'Accounting data'!$I$2:$I$37000,"9*",'Accounting data'!$K$2:$K$37000,"62*")+SUMIFS('Accounting data'!$G$2:$G$37000,'Accounting data'!$H$2:$H$37000,"1500*",'Accounting data'!$I$2:$I$37000,"7*",'Accounting data'!$K$2:$K$37000,"62*")+SUMIFS('Accounting data'!$G$2:$G$37000,'Accounting data'!$H$2:$H$37000,"1500*",'Accounting data'!$I$2:$I$37000,"8*",'Accounting data'!$K$2:$K$37000,"62*")+SUMIFS('Accounting data'!$G$2:$G$37000,'Accounting data'!$H$2:$H$37000,"1500*",'Accounting data'!$I$2:$I$37000,"9*",'Accounting data'!$K$2:$K$37000,"62*")</f>
        <v>0</v>
      </c>
      <c r="F22" s="42">
        <f>SUMIFS('Accounting data'!$G$2:$G$37000,'Accounting data'!$H$2:$H$37000,"1000*",'Accounting data'!$I$2:$I$37000,"7*",'Accounting data'!$K$2:$K$37000,"63*")+SUMIFS('Accounting data'!$G$2:$G$37000,'Accounting data'!$H$2:$H$37000,"1000*",'Accounting data'!$I$2:$I$37000,"8*",'Accounting data'!$K$2:$K$37000,"63*")+SUMIFS('Accounting data'!$G$2:$G$37000,'Accounting data'!$H$2:$H$37000,"1000*",'Accounting data'!$I$2:$I$37000,"9*",'Accounting data'!$K$2:$K$37000,"63*")+SUMIFS('Accounting data'!$G$2:$G$37000,'Accounting data'!$H$2:$H$37000,"1500*",'Accounting data'!$I$2:$I$37000,"7*",'Accounting data'!$K$2:$K$37000,"63*")+SUMIFS('Accounting data'!$G$2:$G$37000,'Accounting data'!$H$2:$H$37000,"1500*",'Accounting data'!$I$2:$I$37000,"8*",'Accounting data'!$K$2:$K$37000,"63*")+SUMIFS('Accounting data'!$G$2:$G$37000,'Accounting data'!$H$2:$H$37000,"1500*",'Accounting data'!$I$2:$I$37000,"9*",'Accounting data'!$K$2:$K$37000,"63*")</f>
        <v>0</v>
      </c>
      <c r="G22" s="42">
        <f>SUMIFS('Accounting data'!$G$2:$G$37000,'Accounting data'!$H$2:$H$37000,"1000*",'Accounting data'!$I$2:$I$37000,"7*",'Accounting data'!$K$2:$K$37000,"66*")+SUMIFS('Accounting data'!$G$2:$G$37000,'Accounting data'!$H$2:$H$37000,"1000*",'Accounting data'!$I$2:$I$37000,"8*",'Accounting data'!$K$2:$K$37000,"66*")+SUMIFS('Accounting data'!$G$2:$G$37000,'Accounting data'!$H$2:$H$37000,"1000*",'Accounting data'!$I$2:$I$37000,"9*",'Accounting data'!$K$2:$K$37000,"66*")+SUMIFS('Accounting data'!$G$2:$G$37000,'Accounting data'!$H$2:$H$37000,"1500*",'Accounting data'!$I$2:$I$37000,"7*",'Accounting data'!$K$2:$K$37000,"66*")+SUMIFS('Accounting data'!$G$2:$G$37000,'Accounting data'!$H$2:$H$37000,"1500*",'Accounting data'!$I$2:$I$37000,"8*",'Accounting data'!$K$2:$K$37000,"66*")+SUMIFS('Accounting data'!$G$2:$G$37000,'Accounting data'!$H$2:$H$37000,"1500*",'Accounting data'!$I$2:$I$37000,"9*",'Accounting data'!$K$2:$K$37000,"66*")</f>
        <v>0</v>
      </c>
      <c r="H22" s="42">
        <f>SUMIFS('Accounting data'!$G$2:$G$37000,'Accounting data'!$H$2:$H$37000,"1000*",'Accounting data'!$I$2:$I$37000,"7*",'Accounting data'!$K$2:$K$37000,"68*")+SUMIFS('Accounting data'!$G$2:$G$37000,'Accounting data'!$H$2:$H$37000,"1000*",'Accounting data'!$I$2:$I$37000,"8*",'Accounting data'!$K$2:$K$37000,"68*")+SUMIFS('Accounting data'!$G$2:$G$37000,'Accounting data'!$H$2:$H$37000,"1000*",'Accounting data'!$I$2:$I$37000,"9*",'Accounting data'!$K$2:$K$37000,"68*")+SUMIFS('Accounting data'!$G$2:$G$37000,'Accounting data'!$H$2:$H$37000,"1500*",'Accounting data'!$I$2:$I$37000,"7*",'Accounting data'!$K$2:$K$37000,"68*")+SUMIFS('Accounting data'!$G$2:$G$37000,'Accounting data'!$H$2:$H$37000,"1500*",'Accounting data'!$I$2:$I$37000,"8*",'Accounting data'!$K$2:$K$37000,"68*")+SUMIFS('Accounting data'!$G$2:$G$37000,'Accounting data'!$H$2:$H$37000,"1500*",'Accounting data'!$I$2:$I$37000,"9*",'Accounting data'!$K$2:$K$37000,"68*")</f>
        <v>0</v>
      </c>
      <c r="I22" s="641"/>
      <c r="J22" s="41">
        <f t="shared" si="0"/>
        <v>0</v>
      </c>
      <c r="K22" s="278">
        <v>0</v>
      </c>
      <c r="L22" s="642"/>
      <c r="M22" s="189" t="s">
        <v>56</v>
      </c>
    </row>
    <row r="23" spans="1:25" ht="12" customHeight="1" x14ac:dyDescent="0.25">
      <c r="A23" s="363" t="s">
        <v>133</v>
      </c>
      <c r="B23" s="56"/>
      <c r="C23" s="452" t="s">
        <v>58</v>
      </c>
      <c r="D23" s="42">
        <f>SUM(D6:D22)</f>
        <v>539207</v>
      </c>
      <c r="E23" s="42">
        <f>SUM(E6:E22)</f>
        <v>178200</v>
      </c>
      <c r="F23" s="42">
        <f>SUM(F6:F22)</f>
        <v>379293</v>
      </c>
      <c r="G23" s="42">
        <f>SUM(G6:G22)</f>
        <v>62396</v>
      </c>
      <c r="H23" s="42">
        <f>SUM(H6:H22)</f>
        <v>207977</v>
      </c>
      <c r="I23" s="41">
        <f>SUM(I7:I22)</f>
        <v>1361421</v>
      </c>
      <c r="J23" s="41">
        <f>SUM(J7:J22)</f>
        <v>1367073</v>
      </c>
      <c r="K23" s="41">
        <f>SUM(K7:K22)</f>
        <v>1635212</v>
      </c>
      <c r="L23" s="49">
        <f>IF(J23=K23,0,IF(K23&gt;0,(J23-K23)/K23,"--"))</f>
        <v>-0.16400000000000001</v>
      </c>
      <c r="M23" s="189" t="s">
        <v>58</v>
      </c>
    </row>
    <row r="24" spans="1:25" ht="12" customHeight="1" x14ac:dyDescent="0.25">
      <c r="A24" s="84" t="s">
        <v>134</v>
      </c>
      <c r="C24" s="213"/>
      <c r="D24" s="5"/>
      <c r="E24" s="5"/>
      <c r="F24" s="5"/>
      <c r="G24" s="5"/>
      <c r="H24" s="5"/>
      <c r="I24" s="5"/>
      <c r="J24" s="5"/>
      <c r="K24" s="5"/>
      <c r="L24" s="637">
        <f>IF(J25=K25,0,IF(K25&gt;0,(J25-K25)/K25,"--"))</f>
        <v>-8.5199999999999998E-2</v>
      </c>
      <c r="M24" s="53"/>
    </row>
    <row r="25" spans="1:25" ht="12" customHeight="1" x14ac:dyDescent="0.25">
      <c r="A25" s="370" t="s">
        <v>135</v>
      </c>
      <c r="C25" s="449" t="s">
        <v>60</v>
      </c>
      <c r="D25" s="4">
        <f>SUMIFS('Accounting data'!$G$2:$G$37000,'Accounting data'!$H$2:$H$37000,"1000*",'Accounting data'!$I$2:$I$37000,"200*",'Accounting data'!$J$2:$J$37000,"1*",'Accounting data'!$K$2:$K$37000,"61*")+SUMIFS('Accounting data'!$G$2:$G$37000,'Accounting data'!$H$2:$H$37000,"1500*",'Accounting data'!$I$2:$I$37000,"200*",'Accounting data'!$J$2:$J$37000,"1*",'Accounting data'!$K$2:$K$37000,"61*")+SUMIFS('Accounting data'!$G$2:$G$37000,'Accounting data'!$H$2:$H$37000,"1000*",'Accounting data'!$I$2:$I$37000,"270*",'Accounting data'!$J$2:$J$37000,"1*",'Accounting data'!$K$2:$K$37000,"61*")+SUMIFS('Accounting data'!$G$2:$G$37000,'Accounting data'!$H$2:$H$37000,"1500*",'Accounting data'!$I$2:$I$37000,"270*",'Accounting data'!$J$2:$J$37000,"1*",'Accounting data'!$K$2:$K$37000,"61*")</f>
        <v>117785</v>
      </c>
      <c r="E25" s="4">
        <f>SUMIFS('Accounting data'!$G$2:$G$37000,'Accounting data'!$H$2:$H$37000,"1000*",'Accounting data'!$I$2:$I$37000,"200*",'Accounting data'!$J$2:$J$37000,"1*",'Accounting data'!$K$2:$K$37000,"62*")+SUMIFS('Accounting data'!$G$2:$G$37000,'Accounting data'!$H$2:$H$37000,"1500*",'Accounting data'!$I$2:$I$37000,"200*",'Accounting data'!$J$2:$J$37000,"1*",'Accounting data'!$K$2:$K$37000,"62*")+SUMIFS('Accounting data'!$G$2:$G$37000,'Accounting data'!$H$2:$H$37000,"1000*",'Accounting data'!$I$2:$I$37000,"270*",'Accounting data'!$J$2:$J$37000,"1*",'Accounting data'!$K$2:$K$37000,"62*")+SUMIFS('Accounting data'!$G$2:$G$37000,'Accounting data'!$H$2:$H$37000,"1500*",'Accounting data'!$I$2:$I$37000,"270*",'Accounting data'!$J$2:$J$37000,"1*",'Accounting data'!$K$2:$K$37000,"62*")</f>
        <v>34503</v>
      </c>
      <c r="F25" s="4">
        <f>SUMIFS('Accounting data'!$G$2:$G$37000,'Accounting data'!$H$2:$H$37000,"1000*",'Accounting data'!$I$2:$I$37000,"200*",'Accounting data'!$J$2:$J$37000,"1*",'Accounting data'!$K$2:$K$37000,"63*")+SUMIFS('Accounting data'!$G$2:$G$37000,'Accounting data'!$H$2:$H$37000,"1500*",'Accounting data'!$I$2:$I$37000,"200*",'Accounting data'!$J$2:$J$37000,"1*",'Accounting data'!$K$2:$K$37000,"63*")+SUMIFS('Accounting data'!$G$2:$G$37000,'Accounting data'!$H$2:$H$37000,"1000*",'Accounting data'!$I$2:$I$37000,"270*",'Accounting data'!$J$2:$J$37000,"1*",'Accounting data'!$K$2:$K$37000,"63*")+SUMIFS('Accounting data'!$G$2:$G$37000,'Accounting data'!$H$2:$H$37000,"1500*",'Accounting data'!$I$2:$I$37000,"270*",'Accounting data'!$J$2:$J$37000,"1*",'Accounting data'!$K$2:$K$37000,"63*")</f>
        <v>74</v>
      </c>
      <c r="G25" s="4">
        <f>SUMIFS('Accounting data'!$G$2:$G$37000,'Accounting data'!$H$2:$H$37000,"1000*",'Accounting data'!$I$2:$I$37000,"200*",'Accounting data'!$J$2:$J$37000,"1*",'Accounting data'!$K$2:$K$37000,"66*")+SUMIFS('Accounting data'!$G$2:$G$37000,'Accounting data'!$H$2:$H$37000,"1500*",'Accounting data'!$I$2:$I$37000,"200*",'Accounting data'!$J$2:$J$37000,"1*",'Accounting data'!$K$2:$K$37000,"66*")+SUMIFS('Accounting data'!$G$2:$G$37000,'Accounting data'!$H$2:$H$37000,"1000*",'Accounting data'!$I$2:$I$37000,"270*",'Accounting data'!$J$2:$J$37000,"1*",'Accounting data'!$K$2:$K$37000,"66*")+SUMIFS('Accounting data'!$G$2:$G$37000,'Accounting data'!$H$2:$H$37000,"1500*",'Accounting data'!$I$2:$I$37000,"270*",'Accounting data'!$J$2:$J$37000,"1*",'Accounting data'!$K$2:$K$37000,"66*")</f>
        <v>150</v>
      </c>
      <c r="H25" s="4">
        <f>SUMIFS('Accounting data'!$G$2:$G$37000,'Accounting data'!$H$2:$H$37000,"1000*",'Accounting data'!$I$2:$I$37000,"200*",'Accounting data'!$J$2:$J$37000,"1*",'Accounting data'!$K$2:$K$37000,"68*")+SUMIFS('Accounting data'!$G$2:$G$37000,'Accounting data'!$H$2:$H$37000,"1500*",'Accounting data'!$I$2:$I$37000,"200*",'Accounting data'!$J$2:$J$37000,"1*",'Accounting data'!$K$2:$K$37000,"68*")+SUMIFS('Accounting data'!$G$2:$G$37000,'Accounting data'!$H$2:$H$37000,"1000*",'Accounting data'!$I$2:$I$37000,"270*",'Accounting data'!$J$2:$J$37000,"1*",'Accounting data'!$K$2:$K$37000,"68*")+SUMIFS('Accounting data'!$G$2:$G$37000,'Accounting data'!$H$2:$H$37000,"1500*",'Accounting data'!$I$2:$I$37000,"270*",'Accounting data'!$J$2:$J$37000,"1*",'Accounting data'!$K$2:$K$37000,"68*")</f>
        <v>0</v>
      </c>
      <c r="I25" s="4">
        <v>157987</v>
      </c>
      <c r="J25" s="4">
        <f>SUM(D25:H25)</f>
        <v>152512</v>
      </c>
      <c r="K25" s="4">
        <v>166715</v>
      </c>
      <c r="L25" s="638"/>
      <c r="M25" s="189" t="s">
        <v>60</v>
      </c>
      <c r="Y25" s="69"/>
    </row>
    <row r="26" spans="1:25" ht="12" customHeight="1" x14ac:dyDescent="0.25">
      <c r="A26" s="370" t="s">
        <v>136</v>
      </c>
      <c r="C26" s="449"/>
      <c r="D26" s="5"/>
      <c r="E26" s="5"/>
      <c r="F26" s="5"/>
      <c r="G26" s="5"/>
      <c r="H26" s="5"/>
      <c r="I26" s="5"/>
      <c r="J26" s="5"/>
      <c r="K26" s="5"/>
      <c r="L26" s="637">
        <f>IF(J27=K27,0,IF(K27&gt;0,(J27-K27)/K27,"--"))</f>
        <v>1.1944999999999999</v>
      </c>
      <c r="M26" s="189"/>
      <c r="T26" s="69"/>
    </row>
    <row r="27" spans="1:25" ht="12" customHeight="1" x14ac:dyDescent="0.25">
      <c r="A27" s="370" t="s">
        <v>137</v>
      </c>
      <c r="C27" s="449" t="s">
        <v>63</v>
      </c>
      <c r="D27" s="4">
        <f>SUMIFS('Accounting data'!$G$2:$G$37000,'Accounting data'!$H$2:$H$37000,"1000*",'Accounting data'!$I$2:$I$37000,"200*",'Accounting data'!$J$2:$J$37000,"21*",'Accounting data'!$K$2:$K$37000,"61*")+SUMIFS('Accounting data'!$G$2:$G$37000,'Accounting data'!$H$2:$H$37000,"1500*",'Accounting data'!$I$2:$I$37000,"200*",'Accounting data'!$J$2:$J$37000,"21*",'Accounting data'!$K$2:$K$37000,"61*")+SUMIFS('Accounting data'!$G$2:$G$37000,'Accounting data'!$H$2:$H$37000,"1000*",'Accounting data'!$I$2:$I$37000,"270*",'Accounting data'!$J$2:$J$37000,"21*",'Accounting data'!$K$2:$K$37000,"61*")+SUMIFS('Accounting data'!$G$2:$G$37000,'Accounting data'!$H$2:$H$37000,"1500*",'Accounting data'!$I$2:$I$37000,"270*",'Accounting data'!$J$2:$J$37000,"21*",'Accounting data'!$K$2:$K$37000,"61*")</f>
        <v>4952</v>
      </c>
      <c r="E27" s="4">
        <f>SUMIFS('Accounting data'!$G$2:$G$37000,'Accounting data'!$H$2:$H$37000,"1000*",'Accounting data'!$I$2:$I$37000,"200*",'Accounting data'!$J$2:$J$37000,"21*",'Accounting data'!$K$2:$K$37000,"62*")+SUMIFS('Accounting data'!$G$2:$G$37000,'Accounting data'!$H$2:$H$37000,"1500*",'Accounting data'!$I$2:$I$37000,"200*",'Accounting data'!$J$2:$J$37000,"21*",'Accounting data'!$K$2:$K$37000,"62*")+SUMIFS('Accounting data'!$G$2:$G$37000,'Accounting data'!$H$2:$H$37000,"1000*",'Accounting data'!$I$2:$I$37000,"270*",'Accounting data'!$J$2:$J$37000,"21*",'Accounting data'!$K$2:$K$37000,"62*")+SUMIFS('Accounting data'!$G$2:$G$37000,'Accounting data'!$H$2:$H$37000,"1500*",'Accounting data'!$I$2:$I$37000,"270*",'Accounting data'!$J$2:$J$37000,"21*",'Accounting data'!$K$2:$K$37000,"62*")</f>
        <v>1063</v>
      </c>
      <c r="F27" s="4">
        <f>SUMIFS('Accounting data'!$G$2:$G$37000,'Accounting data'!$H$2:$H$37000,"1000*",'Accounting data'!$I$2:$I$37000,"200*",'Accounting data'!$J$2:$J$37000,"21*",'Accounting data'!$K$2:$K$37000,"63*")+SUMIFS('Accounting data'!$G$2:$G$37000,'Accounting data'!$H$2:$H$37000,"1500*",'Accounting data'!$I$2:$I$37000,"200*",'Accounting data'!$J$2:$J$37000,"21*",'Accounting data'!$K$2:$K$37000,"63*")+SUMIFS('Accounting data'!$G$2:$G$37000,'Accounting data'!$H$2:$H$37000,"1000*",'Accounting data'!$I$2:$I$37000,"270*",'Accounting data'!$J$2:$J$37000,"21*",'Accounting data'!$K$2:$K$37000,"63*")+SUMIFS('Accounting data'!$G$2:$G$37000,'Accounting data'!$H$2:$H$37000,"1500*",'Accounting data'!$I$2:$I$37000,"270*",'Accounting data'!$J$2:$J$37000,"21*",'Accounting data'!$K$2:$K$37000,"63*")</f>
        <v>19428</v>
      </c>
      <c r="G27" s="4">
        <f>SUMIFS('Accounting data'!$G$2:$G$37000,'Accounting data'!$H$2:$H$37000,"1000*",'Accounting data'!$I$2:$I$37000,"200*",'Accounting data'!$J$2:$J$37000,"21*",'Accounting data'!$K$2:$K$37000,"66*")+SUMIFS('Accounting data'!$G$2:$G$37000,'Accounting data'!$H$2:$H$37000,"1500*",'Accounting data'!$I$2:$I$37000,"200*",'Accounting data'!$J$2:$J$37000,"21*",'Accounting data'!$K$2:$K$37000,"66*")+SUMIFS('Accounting data'!$G$2:$G$37000,'Accounting data'!$H$2:$H$37000,"1000*",'Accounting data'!$I$2:$I$37000,"270*",'Accounting data'!$J$2:$J$37000,"21*",'Accounting data'!$K$2:$K$37000,"66*")+SUMIFS('Accounting data'!$G$2:$G$37000,'Accounting data'!$H$2:$H$37000,"1500*",'Accounting data'!$I$2:$I$37000,"270*",'Accounting data'!$J$2:$J$37000,"21*",'Accounting data'!$K$2:$K$37000,"66*")</f>
        <v>2036</v>
      </c>
      <c r="H27" s="4">
        <f>SUMIFS('Accounting data'!$G$2:$G$37000,'Accounting data'!$H$2:$H$37000,"1000*",'Accounting data'!$I$2:$I$37000,"200*",'Accounting data'!$J$2:$J$37000,"21*",'Accounting data'!$K$2:$K$37000,"68*")+SUMIFS('Accounting data'!$G$2:$G$37000,'Accounting data'!$H$2:$H$37000,"1500*",'Accounting data'!$I$2:$I$37000,"200*",'Accounting data'!$J$2:$J$37000,"21*",'Accounting data'!$K$2:$K$37000,"68*")+SUMIFS('Accounting data'!$G$2:$G$37000,'Accounting data'!$H$2:$H$37000,"1000*",'Accounting data'!$I$2:$I$37000,"270*",'Accounting data'!$J$2:$J$37000,"21*",'Accounting data'!$K$2:$K$37000,"68*")+SUMIFS('Accounting data'!$G$2:$G$37000,'Accounting data'!$H$2:$H$37000,"1500*",'Accounting data'!$I$2:$I$37000,"270*",'Accounting data'!$J$2:$J$37000,"21*",'Accounting data'!$K$2:$K$37000,"68*")</f>
        <v>0</v>
      </c>
      <c r="I27" s="4">
        <v>28603</v>
      </c>
      <c r="J27" s="4">
        <f t="shared" ref="J27:J36" si="2">SUM(D27:H27)</f>
        <v>27479</v>
      </c>
      <c r="K27" s="4">
        <v>12522</v>
      </c>
      <c r="L27" s="638"/>
      <c r="M27" s="189" t="s">
        <v>63</v>
      </c>
    </row>
    <row r="28" spans="1:25" ht="12" customHeight="1" x14ac:dyDescent="0.25">
      <c r="A28" s="370" t="s">
        <v>138</v>
      </c>
      <c r="C28" s="449" t="s">
        <v>65</v>
      </c>
      <c r="D28" s="42">
        <f>SUMIFS('Accounting data'!$G$2:$G$37000,'Accounting data'!$H$2:$H$37000,"1000*",'Accounting data'!$I$2:$I$37000,"200*",'Accounting data'!$J$2:$J$37000,"22*",'Accounting data'!$K$2:$K$37000,"61*")+SUMIFS('Accounting data'!$G$2:$G$37000,'Accounting data'!$H$2:$H$37000,"1500*",'Accounting data'!$I$2:$I$37000,"200*",'Accounting data'!$J$2:$J$37000,"22*",'Accounting data'!$K$2:$K$37000,"61*")+SUMIFS('Accounting data'!$G$2:$G$37000,'Accounting data'!$H$2:$H$37000,"1000*",'Accounting data'!$I$2:$I$37000,"270*",'Accounting data'!$J$2:$J$37000,"22*",'Accounting data'!$K$2:$K$37000,"61*")+SUMIFS('Accounting data'!$G$2:$G$37000,'Accounting data'!$H$2:$H$37000,"1500*",'Accounting data'!$I$2:$I$37000,"270*",'Accounting data'!$J$2:$J$37000,"22*",'Accounting data'!$K$2:$K$37000,"61*")</f>
        <v>0</v>
      </c>
      <c r="E28" s="42">
        <f>SUMIFS('Accounting data'!$G$2:$G$37000,'Accounting data'!$H$2:$H$37000,"1000*",'Accounting data'!$I$2:$I$37000,"200*",'Accounting data'!$J$2:$J$37000,"22*",'Accounting data'!$K$2:$K$37000,"62*")+SUMIFS('Accounting data'!$G$2:$G$37000,'Accounting data'!$H$2:$H$37000,"1500*",'Accounting data'!$I$2:$I$37000,"200*",'Accounting data'!$J$2:$J$37000,"22*",'Accounting data'!$K$2:$K$37000,"62*")+SUMIFS('Accounting data'!$G$2:$G$37000,'Accounting data'!$H$2:$H$37000,"1000*",'Accounting data'!$I$2:$I$37000,"270*",'Accounting data'!$J$2:$J$37000,"22*",'Accounting data'!$K$2:$K$37000,"62*")+SUMIFS('Accounting data'!$G$2:$G$37000,'Accounting data'!$H$2:$H$37000,"1500*",'Accounting data'!$I$2:$I$37000,"270*",'Accounting data'!$J$2:$J$37000,"22*",'Accounting data'!$K$2:$K$37000,"62*")</f>
        <v>772</v>
      </c>
      <c r="F28" s="42">
        <f>SUMIFS('Accounting data'!$G$2:$G$37000,'Accounting data'!$H$2:$H$37000,"1000*",'Accounting data'!$I$2:$I$37000,"200*",'Accounting data'!$J$2:$J$37000,"22*",'Accounting data'!$K$2:$K$37000,"63*")+SUMIFS('Accounting data'!$G$2:$G$37000,'Accounting data'!$H$2:$H$37000,"1500*",'Accounting data'!$I$2:$I$37000,"200*",'Accounting data'!$J$2:$J$37000,"22*",'Accounting data'!$K$2:$K$37000,"63*")+SUMIFS('Accounting data'!$G$2:$G$37000,'Accounting data'!$H$2:$H$37000,"1000*",'Accounting data'!$I$2:$I$37000,"270*",'Accounting data'!$J$2:$J$37000,"22*",'Accounting data'!$K$2:$K$37000,"63*")+SUMIFS('Accounting data'!$G$2:$G$37000,'Accounting data'!$H$2:$H$37000,"1500*",'Accounting data'!$I$2:$I$37000,"270*",'Accounting data'!$J$2:$J$37000,"22*",'Accounting data'!$K$2:$K$37000,"63*")</f>
        <v>13824</v>
      </c>
      <c r="G28" s="42">
        <f>SUMIFS('Accounting data'!$G$2:$G$37000,'Accounting data'!$H$2:$H$37000,"1000*",'Accounting data'!$I$2:$I$37000,"200*",'Accounting data'!$J$2:$J$37000,"22*",'Accounting data'!$K$2:$K$37000,"66*")+SUMIFS('Accounting data'!$G$2:$G$37000,'Accounting data'!$H$2:$H$37000,"1500*",'Accounting data'!$I$2:$I$37000,"200*",'Accounting data'!$J$2:$J$37000,"22*",'Accounting data'!$K$2:$K$37000,"66*")+SUMIFS('Accounting data'!$G$2:$G$37000,'Accounting data'!$H$2:$H$37000,"1000*",'Accounting data'!$I$2:$I$37000,"270*",'Accounting data'!$J$2:$J$37000,"22*",'Accounting data'!$K$2:$K$37000,"66*")+SUMIFS('Accounting data'!$G$2:$G$37000,'Accounting data'!$H$2:$H$37000,"1500*",'Accounting data'!$I$2:$I$37000,"270*",'Accounting data'!$J$2:$J$37000,"22*",'Accounting data'!$K$2:$K$37000,"66*")</f>
        <v>0</v>
      </c>
      <c r="H28" s="42">
        <f>SUMIFS('Accounting data'!$G$2:$G$37000,'Accounting data'!$H$2:$H$37000,"1000*",'Accounting data'!$I$2:$I$37000,"200*",'Accounting data'!$J$2:$J$37000,"22*",'Accounting data'!$K$2:$K$37000,"68*")+SUMIFS('Accounting data'!$G$2:$G$37000,'Accounting data'!$H$2:$H$37000,"1500*",'Accounting data'!$I$2:$I$37000,"200*",'Accounting data'!$J$2:$J$37000,"22*",'Accounting data'!$K$2:$K$37000,"68*")+SUMIFS('Accounting data'!$G$2:$G$37000,'Accounting data'!$H$2:$H$37000,"1000*",'Accounting data'!$I$2:$I$37000,"270*",'Accounting data'!$J$2:$J$37000,"22*",'Accounting data'!$K$2:$K$37000,"68*")+SUMIFS('Accounting data'!$G$2:$G$37000,'Accounting data'!$H$2:$H$37000,"1500*",'Accounting data'!$I$2:$I$37000,"270*",'Accounting data'!$J$2:$J$37000,"22*",'Accounting data'!$K$2:$K$37000,"68*")</f>
        <v>0</v>
      </c>
      <c r="I28" s="278">
        <v>14349</v>
      </c>
      <c r="J28" s="41">
        <f t="shared" si="2"/>
        <v>14596</v>
      </c>
      <c r="K28" s="278">
        <v>19894</v>
      </c>
      <c r="L28" s="49">
        <f t="shared" ref="L28:L48" si="3">IF(J28=K28,0,IF(K28&gt;0,(J28-K28)/K28,"--"))</f>
        <v>-0.26629999999999998</v>
      </c>
      <c r="M28" s="189" t="s">
        <v>65</v>
      </c>
    </row>
    <row r="29" spans="1:25" ht="12" customHeight="1" x14ac:dyDescent="0.25">
      <c r="A29" s="370" t="s">
        <v>139</v>
      </c>
      <c r="C29" s="449" t="s">
        <v>67</v>
      </c>
      <c r="D29" s="42">
        <f>SUMIFS('Accounting data'!$G$2:$G$37000,'Accounting data'!$H$2:$H$37000,"1000*",'Accounting data'!$I$2:$I$37000,"200*",'Accounting data'!$J$2:$J$37000,"23*",'Accounting data'!$K$2:$K$37000,"61*")+SUMIFS('Accounting data'!$G$2:$G$37000,'Accounting data'!$H$2:$H$37000,"1500*",'Accounting data'!$I$2:$I$37000,"200*",'Accounting data'!$J$2:$J$37000,"23*",'Accounting data'!$K$2:$K$37000,"61*")+SUMIFS('Accounting data'!$G$2:$G$37000,'Accounting data'!$H$2:$H$37000,"1000*",'Accounting data'!$I$2:$I$37000,"270*",'Accounting data'!$J$2:$J$37000,"23*",'Accounting data'!$K$2:$K$37000,"61*")+SUMIFS('Accounting data'!$G$2:$G$37000,'Accounting data'!$H$2:$H$37000,"1500*",'Accounting data'!$I$2:$I$37000,"270*",'Accounting data'!$J$2:$J$37000,"23*",'Accounting data'!$K$2:$K$37000,"61*")</f>
        <v>0</v>
      </c>
      <c r="E29" s="42">
        <f>SUMIFS('Accounting data'!$G$2:$G$37000,'Accounting data'!$H$2:$H$37000,"1000*",'Accounting data'!$I$2:$I$37000,"200*",'Accounting data'!$J$2:$J$37000,"23*",'Accounting data'!$K$2:$K$37000,"62*")+SUMIFS('Accounting data'!$G$2:$G$37000,'Accounting data'!$H$2:$H$37000,"1500*",'Accounting data'!$I$2:$I$37000,"200*",'Accounting data'!$J$2:$J$37000,"23*",'Accounting data'!$K$2:$K$37000,"62*")+SUMIFS('Accounting data'!$G$2:$G$37000,'Accounting data'!$H$2:$H$37000,"1000*",'Accounting data'!$I$2:$I$37000,"270*",'Accounting data'!$J$2:$J$37000,"23*",'Accounting data'!$K$2:$K$37000,"62*")+SUMIFS('Accounting data'!$G$2:$G$37000,'Accounting data'!$H$2:$H$37000,"1500*",'Accounting data'!$I$2:$I$37000,"270*",'Accounting data'!$J$2:$J$37000,"23*",'Accounting data'!$K$2:$K$37000,"62*")</f>
        <v>0</v>
      </c>
      <c r="F29" s="42">
        <f>SUMIFS('Accounting data'!$G$2:$G$37000,'Accounting data'!$H$2:$H$37000,"1000*",'Accounting data'!$I$2:$I$37000,"200*",'Accounting data'!$J$2:$J$37000,"23*",'Accounting data'!$K$2:$K$37000,"63*")+SUMIFS('Accounting data'!$G$2:$G$37000,'Accounting data'!$H$2:$H$37000,"1500*",'Accounting data'!$I$2:$I$37000,"200*",'Accounting data'!$J$2:$J$37000,"23*",'Accounting data'!$K$2:$K$37000,"63*")+SUMIFS('Accounting data'!$G$2:$G$37000,'Accounting data'!$H$2:$H$37000,"1000*",'Accounting data'!$I$2:$I$37000,"270*",'Accounting data'!$J$2:$J$37000,"23*",'Accounting data'!$K$2:$K$37000,"63*")+SUMIFS('Accounting data'!$G$2:$G$37000,'Accounting data'!$H$2:$H$37000,"1500*",'Accounting data'!$I$2:$I$37000,"270*",'Accounting data'!$J$2:$J$37000,"23*",'Accounting data'!$K$2:$K$37000,"63*")</f>
        <v>0</v>
      </c>
      <c r="G29" s="42">
        <f>SUMIFS('Accounting data'!$G$2:$G$37000,'Accounting data'!$H$2:$H$37000,"1000*",'Accounting data'!$I$2:$I$37000,"200*",'Accounting data'!$J$2:$J$37000,"23*",'Accounting data'!$K$2:$K$37000,"66*")+SUMIFS('Accounting data'!$G$2:$G$37000,'Accounting data'!$H$2:$H$37000,"1500*",'Accounting data'!$I$2:$I$37000,"200*",'Accounting data'!$J$2:$J$37000,"23*",'Accounting data'!$K$2:$K$37000,"66*")+SUMIFS('Accounting data'!$G$2:$G$37000,'Accounting data'!$H$2:$H$37000,"1000*",'Accounting data'!$I$2:$I$37000,"270*",'Accounting data'!$J$2:$J$37000,"23*",'Accounting data'!$K$2:$K$37000,"66*")+SUMIFS('Accounting data'!$G$2:$G$37000,'Accounting data'!$H$2:$H$37000,"1500*",'Accounting data'!$I$2:$I$37000,"270*",'Accounting data'!$J$2:$J$37000,"23*",'Accounting data'!$K$2:$K$37000,"66*")</f>
        <v>0</v>
      </c>
      <c r="H29" s="42">
        <f>SUMIFS('Accounting data'!$G$2:$G$37000,'Accounting data'!$H$2:$H$37000,"1000*",'Accounting data'!$I$2:$I$37000,"200*",'Accounting data'!$J$2:$J$37000,"23*",'Accounting data'!$K$2:$K$37000,"68*")+SUMIFS('Accounting data'!$G$2:$G$37000,'Accounting data'!$H$2:$H$37000,"1500*",'Accounting data'!$I$2:$I$37000,"200*",'Accounting data'!$J$2:$J$37000,"23*",'Accounting data'!$K$2:$K$37000,"68*")+SUMIFS('Accounting data'!$G$2:$G$37000,'Accounting data'!$H$2:$H$37000,"1000*",'Accounting data'!$I$2:$I$37000,"270*",'Accounting data'!$J$2:$J$37000,"23*",'Accounting data'!$K$2:$K$37000,"68*")+SUMIFS('Accounting data'!$G$2:$G$37000,'Accounting data'!$H$2:$H$37000,"1500*",'Accounting data'!$I$2:$I$37000,"270*",'Accounting data'!$J$2:$J$37000,"23*",'Accounting data'!$K$2:$K$37000,"68*")</f>
        <v>0</v>
      </c>
      <c r="I29" s="278">
        <v>0</v>
      </c>
      <c r="J29" s="41">
        <f t="shared" si="2"/>
        <v>0</v>
      </c>
      <c r="K29" s="278">
        <v>0</v>
      </c>
      <c r="L29" s="49">
        <f t="shared" si="3"/>
        <v>0</v>
      </c>
      <c r="M29" s="189" t="s">
        <v>67</v>
      </c>
    </row>
    <row r="30" spans="1:25" ht="12" customHeight="1" x14ac:dyDescent="0.25">
      <c r="A30" s="370" t="s">
        <v>140</v>
      </c>
      <c r="C30" s="449" t="s">
        <v>69</v>
      </c>
      <c r="D30" s="42">
        <f>SUMIFS('Accounting data'!$G$2:$G$37000,'Accounting data'!$H$2:$H$37000,"1000*",'Accounting data'!$I$2:$I$37000,"200*",'Accounting data'!$J$2:$J$37000,"24*",'Accounting data'!$K$2:$K$37000,"61*")+SUMIFS('Accounting data'!$G$2:$G$37000,'Accounting data'!$H$2:$H$37000,"1500*",'Accounting data'!$I$2:$I$37000,"200*",'Accounting data'!$J$2:$J$37000,"24*",'Accounting data'!$K$2:$K$37000,"61*")+SUMIFS('Accounting data'!$G$2:$G$37000,'Accounting data'!$H$2:$H$37000,"1000*",'Accounting data'!$I$2:$I$37000,"270*",'Accounting data'!$J$2:$J$37000,"24*",'Accounting data'!$K$2:$K$37000,"61*")+SUMIFS('Accounting data'!$G$2:$G$37000,'Accounting data'!$H$2:$H$37000,"1500*",'Accounting data'!$I$2:$I$37000,"270*",'Accounting data'!$J$2:$J$37000,"24*",'Accounting data'!$K$2:$K$37000,"61*")</f>
        <v>0</v>
      </c>
      <c r="E30" s="42">
        <f>SUMIFS('Accounting data'!$G$2:$G$37000,'Accounting data'!$H$2:$H$37000,"1000*",'Accounting data'!$I$2:$I$37000,"200*",'Accounting data'!$J$2:$J$37000,"24*",'Accounting data'!$K$2:$K$37000,"62*")+SUMIFS('Accounting data'!$G$2:$G$37000,'Accounting data'!$H$2:$H$37000,"1500*",'Accounting data'!$I$2:$I$37000,"200*",'Accounting data'!$J$2:$J$37000,"24*",'Accounting data'!$K$2:$K$37000,"62*")+SUMIFS('Accounting data'!$G$2:$G$37000,'Accounting data'!$H$2:$H$37000,"1000*",'Accounting data'!$I$2:$I$37000,"270*",'Accounting data'!$J$2:$J$37000,"24*",'Accounting data'!$K$2:$K$37000,"62*")+SUMIFS('Accounting data'!$G$2:$G$37000,'Accounting data'!$H$2:$H$37000,"1500*",'Accounting data'!$I$2:$I$37000,"270*",'Accounting data'!$J$2:$J$37000,"24*",'Accounting data'!$K$2:$K$37000,"62*")</f>
        <v>0</v>
      </c>
      <c r="F30" s="42">
        <f>SUMIFS('Accounting data'!$G$2:$G$37000,'Accounting data'!$H$2:$H$37000,"1000*",'Accounting data'!$I$2:$I$37000,"200*",'Accounting data'!$J$2:$J$37000,"24*",'Accounting data'!$K$2:$K$37000,"63*")+SUMIFS('Accounting data'!$G$2:$G$37000,'Accounting data'!$H$2:$H$37000,"1500*",'Accounting data'!$I$2:$I$37000,"200*",'Accounting data'!$J$2:$J$37000,"24*",'Accounting data'!$K$2:$K$37000,"63*")+SUMIFS('Accounting data'!$G$2:$G$37000,'Accounting data'!$H$2:$H$37000,"1000*",'Accounting data'!$I$2:$I$37000,"270*",'Accounting data'!$J$2:$J$37000,"24*",'Accounting data'!$K$2:$K$37000,"63*")+SUMIFS('Accounting data'!$G$2:$G$37000,'Accounting data'!$H$2:$H$37000,"1500*",'Accounting data'!$I$2:$I$37000,"270*",'Accounting data'!$J$2:$J$37000,"24*",'Accounting data'!$K$2:$K$37000,"63*")</f>
        <v>0</v>
      </c>
      <c r="G30" s="42">
        <f>SUMIFS('Accounting data'!$G$2:$G$37000,'Accounting data'!$H$2:$H$37000,"1000*",'Accounting data'!$I$2:$I$37000,"200*",'Accounting data'!$J$2:$J$37000,"24*",'Accounting data'!$K$2:$K$37000,"66*")+SUMIFS('Accounting data'!$G$2:$G$37000,'Accounting data'!$H$2:$H$37000,"1500*",'Accounting data'!$I$2:$I$37000,"200*",'Accounting data'!$J$2:$J$37000,"24*",'Accounting data'!$K$2:$K$37000,"66*")+SUMIFS('Accounting data'!$G$2:$G$37000,'Accounting data'!$H$2:$H$37000,"1000*",'Accounting data'!$I$2:$I$37000,"270*",'Accounting data'!$J$2:$J$37000,"24*",'Accounting data'!$K$2:$K$37000,"66*")+SUMIFS('Accounting data'!$G$2:$G$37000,'Accounting data'!$H$2:$H$37000,"1500*",'Accounting data'!$I$2:$I$37000,"270*",'Accounting data'!$J$2:$J$37000,"24*",'Accounting data'!$K$2:$K$37000,"66*")</f>
        <v>0</v>
      </c>
      <c r="H30" s="42">
        <f>SUMIFS('Accounting data'!$G$2:$G$37000,'Accounting data'!$H$2:$H$37000,"1000*",'Accounting data'!$I$2:$I$37000,"200*",'Accounting data'!$J$2:$J$37000,"24*",'Accounting data'!$K$2:$K$37000,"68*")+SUMIFS('Accounting data'!$G$2:$G$37000,'Accounting data'!$H$2:$H$37000,"1500*",'Accounting data'!$I$2:$I$37000,"200*",'Accounting data'!$J$2:$J$37000,"24*",'Accounting data'!$K$2:$K$37000,"68*")+SUMIFS('Accounting data'!$G$2:$G$37000,'Accounting data'!$H$2:$H$37000,"1000*",'Accounting data'!$I$2:$I$37000,"270*",'Accounting data'!$J$2:$J$37000,"24*",'Accounting data'!$K$2:$K$37000,"68*")+SUMIFS('Accounting data'!$G$2:$G$37000,'Accounting data'!$H$2:$H$37000,"1500*",'Accounting data'!$I$2:$I$37000,"270*",'Accounting data'!$J$2:$J$37000,"24*",'Accounting data'!$K$2:$K$37000,"68*")</f>
        <v>0</v>
      </c>
      <c r="I30" s="278">
        <v>0</v>
      </c>
      <c r="J30" s="41">
        <f t="shared" si="2"/>
        <v>0</v>
      </c>
      <c r="K30" s="278">
        <v>0</v>
      </c>
      <c r="L30" s="49">
        <f t="shared" si="3"/>
        <v>0</v>
      </c>
      <c r="M30" s="189" t="s">
        <v>69</v>
      </c>
    </row>
    <row r="31" spans="1:25" ht="12" customHeight="1" x14ac:dyDescent="0.25">
      <c r="A31" s="370" t="s">
        <v>141</v>
      </c>
      <c r="C31" s="449" t="s">
        <v>72</v>
      </c>
      <c r="D31" s="42">
        <f>SUMIFS('Accounting data'!$G$2:$G$37000,'Accounting data'!$H$2:$H$37000,"1000*",'Accounting data'!$I$2:$I$37000,"200*",'Accounting data'!$J$2:$J$37000,"25*",'Accounting data'!$K$2:$K$37000,"61*")+SUMIFS('Accounting data'!$G$2:$G$37000,'Accounting data'!$H$2:$H$37000,"1500*",'Accounting data'!$I$2:$I$37000,"200*",'Accounting data'!$J$2:$J$37000,"25*",'Accounting data'!$K$2:$K$37000,"61*")+SUMIFS('Accounting data'!$G$2:$G$37000,'Accounting data'!$H$2:$H$37000,"1000*",'Accounting data'!$I$2:$I$37000,"270*",'Accounting data'!$J$2:$J$37000,"25*",'Accounting data'!$K$2:$K$37000,"61*")+SUMIFS('Accounting data'!$G$2:$G$37000,'Accounting data'!$H$2:$H$37000,"1500*",'Accounting data'!$I$2:$I$37000,"270*",'Accounting data'!$J$2:$J$37000,"25*",'Accounting data'!$K$2:$K$37000,"61*")</f>
        <v>0</v>
      </c>
      <c r="E31" s="42">
        <f>SUMIFS('Accounting data'!$G$2:$G$37000,'Accounting data'!$H$2:$H$37000,"1000*",'Accounting data'!$I$2:$I$37000,"200*",'Accounting data'!$J$2:$J$37000,"25*",'Accounting data'!$K$2:$K$37000,"62*")+SUMIFS('Accounting data'!$G$2:$G$37000,'Accounting data'!$H$2:$H$37000,"1500*",'Accounting data'!$I$2:$I$37000,"200*",'Accounting data'!$J$2:$J$37000,"25*",'Accounting data'!$K$2:$K$37000,"62*")+SUMIFS('Accounting data'!$G$2:$G$37000,'Accounting data'!$H$2:$H$37000,"1000*",'Accounting data'!$I$2:$I$37000,"270*",'Accounting data'!$J$2:$J$37000,"25*",'Accounting data'!$K$2:$K$37000,"62*")+SUMIFS('Accounting data'!$G$2:$G$37000,'Accounting data'!$H$2:$H$37000,"1500*",'Accounting data'!$I$2:$I$37000,"270*",'Accounting data'!$J$2:$J$37000,"25*",'Accounting data'!$K$2:$K$37000,"62*")</f>
        <v>0</v>
      </c>
      <c r="F31" s="42">
        <f>SUMIFS('Accounting data'!$G$2:$G$37000,'Accounting data'!$H$2:$H$37000,"1000*",'Accounting data'!$I$2:$I$37000,"200*",'Accounting data'!$J$2:$J$37000,"25*",'Accounting data'!$K$2:$K$37000,"63*")+SUMIFS('Accounting data'!$G$2:$G$37000,'Accounting data'!$H$2:$H$37000,"1500*",'Accounting data'!$I$2:$I$37000,"200*",'Accounting data'!$J$2:$J$37000,"25*",'Accounting data'!$K$2:$K$37000,"63*")+SUMIFS('Accounting data'!$G$2:$G$37000,'Accounting data'!$H$2:$H$37000,"1000*",'Accounting data'!$I$2:$I$37000,"270*",'Accounting data'!$J$2:$J$37000,"25*",'Accounting data'!$K$2:$K$37000,"63*")+SUMIFS('Accounting data'!$G$2:$G$37000,'Accounting data'!$H$2:$H$37000,"1500*",'Accounting data'!$I$2:$I$37000,"270*",'Accounting data'!$J$2:$J$37000,"25*",'Accounting data'!$K$2:$K$37000,"63*")</f>
        <v>0</v>
      </c>
      <c r="G31" s="42">
        <f>SUMIFS('Accounting data'!$G$2:$G$37000,'Accounting data'!$H$2:$H$37000,"1000*",'Accounting data'!$I$2:$I$37000,"200*",'Accounting data'!$J$2:$J$37000,"25*",'Accounting data'!$K$2:$K$37000,"66*")+SUMIFS('Accounting data'!$G$2:$G$37000,'Accounting data'!$H$2:$H$37000,"1500*",'Accounting data'!$I$2:$I$37000,"200*",'Accounting data'!$J$2:$J$37000,"25*",'Accounting data'!$K$2:$K$37000,"66*")+SUMIFS('Accounting data'!$G$2:$G$37000,'Accounting data'!$H$2:$H$37000,"1000*",'Accounting data'!$I$2:$I$37000,"270*",'Accounting data'!$J$2:$J$37000,"25*",'Accounting data'!$K$2:$K$37000,"66*")+SUMIFS('Accounting data'!$G$2:$G$37000,'Accounting data'!$H$2:$H$37000,"1500*",'Accounting data'!$I$2:$I$37000,"270*",'Accounting data'!$J$2:$J$37000,"25*",'Accounting data'!$K$2:$K$37000,"66*")</f>
        <v>0</v>
      </c>
      <c r="H31" s="42">
        <f>SUMIFS('Accounting data'!$G$2:$G$37000,'Accounting data'!$H$2:$H$37000,"1000*",'Accounting data'!$I$2:$I$37000,"200*",'Accounting data'!$J$2:$J$37000,"25*",'Accounting data'!$K$2:$K$37000,"68*")+SUMIFS('Accounting data'!$G$2:$G$37000,'Accounting data'!$H$2:$H$37000,"1500*",'Accounting data'!$I$2:$I$37000,"200*",'Accounting data'!$J$2:$J$37000,"25*",'Accounting data'!$K$2:$K$37000,"68*")+SUMIFS('Accounting data'!$G$2:$G$37000,'Accounting data'!$H$2:$H$37000,"1000*",'Accounting data'!$I$2:$I$37000,"270*",'Accounting data'!$J$2:$J$37000,"25*",'Accounting data'!$K$2:$K$37000,"68*")+SUMIFS('Accounting data'!$G$2:$G$37000,'Accounting data'!$H$2:$H$37000,"1500*",'Accounting data'!$I$2:$I$37000,"270*",'Accounting data'!$J$2:$J$37000,"25*",'Accounting data'!$K$2:$K$37000,"68*")</f>
        <v>0</v>
      </c>
      <c r="I31" s="278">
        <v>0</v>
      </c>
      <c r="J31" s="41">
        <f t="shared" si="2"/>
        <v>0</v>
      </c>
      <c r="K31" s="278">
        <v>0</v>
      </c>
      <c r="L31" s="49">
        <f t="shared" si="3"/>
        <v>0</v>
      </c>
      <c r="M31" s="189" t="s">
        <v>72</v>
      </c>
    </row>
    <row r="32" spans="1:25" ht="12" customHeight="1" x14ac:dyDescent="0.25">
      <c r="A32" s="370" t="s">
        <v>142</v>
      </c>
      <c r="C32" s="449" t="s">
        <v>74</v>
      </c>
      <c r="D32" s="42">
        <f>SUMIFS('Accounting data'!$G$2:$G$37000,'Accounting data'!$H$2:$H$37000,"1000*",'Accounting data'!$I$2:$I$37000,"200*",'Accounting data'!$J$2:$J$37000,"26*",'Accounting data'!$K$2:$K$37000,"61*")+SUMIFS('Accounting data'!$G$2:$G$37000,'Accounting data'!$H$2:$H$37000,"1500*",'Accounting data'!$I$2:$I$37000,"200*",'Accounting data'!$J$2:$J$37000,"26*",'Accounting data'!$K$2:$K$37000,"61*")+SUMIFS('Accounting data'!$G$2:$G$37000,'Accounting data'!$H$2:$H$37000,"1000*",'Accounting data'!$I$2:$I$37000,"270*",'Accounting data'!$J$2:$J$37000,"26*",'Accounting data'!$K$2:$K$37000,"61*")+SUMIFS('Accounting data'!$G$2:$G$37000,'Accounting data'!$H$2:$H$37000,"1500*",'Accounting data'!$I$2:$I$37000,"270*",'Accounting data'!$J$2:$J$37000,"26*",'Accounting data'!$K$2:$K$37000,"61*")</f>
        <v>0</v>
      </c>
      <c r="E32" s="42">
        <f>SUMIFS('Accounting data'!$G$2:$G$37000,'Accounting data'!$H$2:$H$37000,"1000*",'Accounting data'!$I$2:$I$37000,"200*",'Accounting data'!$J$2:$J$37000,"26*",'Accounting data'!$K$2:$K$37000,"62*")+SUMIFS('Accounting data'!$G$2:$G$37000,'Accounting data'!$H$2:$H$37000,"1500*",'Accounting data'!$I$2:$I$37000,"200*",'Accounting data'!$J$2:$J$37000,"26*",'Accounting data'!$K$2:$K$37000,"62*")+SUMIFS('Accounting data'!$G$2:$G$37000,'Accounting data'!$H$2:$H$37000,"1000*",'Accounting data'!$I$2:$I$37000,"270*",'Accounting data'!$J$2:$J$37000,"26*",'Accounting data'!$K$2:$K$37000,"62*")+SUMIFS('Accounting data'!$G$2:$G$37000,'Accounting data'!$H$2:$H$37000,"1500*",'Accounting data'!$I$2:$I$37000,"270*",'Accounting data'!$J$2:$J$37000,"26*",'Accounting data'!$K$2:$K$37000,"62*")</f>
        <v>0</v>
      </c>
      <c r="F32" s="42">
        <f>SUMIFS('Accounting data'!$G$2:$G$37000,'Accounting data'!$H$2:$H$37000,"1000*",'Accounting data'!$I$2:$I$37000,"200*",'Accounting data'!$J$2:$J$37000,"26*",'Accounting data'!$K$2:$K$37000,"63*")+SUMIFS('Accounting data'!$G$2:$G$37000,'Accounting data'!$H$2:$H$37000,"1500*",'Accounting data'!$I$2:$I$37000,"200*",'Accounting data'!$J$2:$J$37000,"26*",'Accounting data'!$K$2:$K$37000,"63*")+SUMIFS('Accounting data'!$G$2:$G$37000,'Accounting data'!$H$2:$H$37000,"1000*",'Accounting data'!$I$2:$I$37000,"270*",'Accounting data'!$J$2:$J$37000,"26*",'Accounting data'!$K$2:$K$37000,"63*")+SUMIFS('Accounting data'!$G$2:$G$37000,'Accounting data'!$H$2:$H$37000,"1500*",'Accounting data'!$I$2:$I$37000,"270*",'Accounting data'!$J$2:$J$37000,"26*",'Accounting data'!$K$2:$K$37000,"63*")</f>
        <v>0</v>
      </c>
      <c r="G32" s="42">
        <f>SUMIFS('Accounting data'!$G$2:$G$37000,'Accounting data'!$H$2:$H$37000,"1000*",'Accounting data'!$I$2:$I$37000,"200*",'Accounting data'!$J$2:$J$37000,"26*",'Accounting data'!$K$2:$K$37000,"66*")+SUMIFS('Accounting data'!$G$2:$G$37000,'Accounting data'!$H$2:$H$37000,"1500*",'Accounting data'!$I$2:$I$37000,"200*",'Accounting data'!$J$2:$J$37000,"26*",'Accounting data'!$K$2:$K$37000,"66*")+SUMIFS('Accounting data'!$G$2:$G$37000,'Accounting data'!$H$2:$H$37000,"1000*",'Accounting data'!$I$2:$I$37000,"270*",'Accounting data'!$J$2:$J$37000,"26*",'Accounting data'!$K$2:$K$37000,"66*")+SUMIFS('Accounting data'!$G$2:$G$37000,'Accounting data'!$H$2:$H$37000,"1500*",'Accounting data'!$I$2:$I$37000,"270*",'Accounting data'!$J$2:$J$37000,"26*",'Accounting data'!$K$2:$K$37000,"66*")</f>
        <v>0</v>
      </c>
      <c r="H32" s="42">
        <f>SUMIFS('Accounting data'!$G$2:$G$37000,'Accounting data'!$H$2:$H$37000,"1000*",'Accounting data'!$I$2:$I$37000,"200*",'Accounting data'!$J$2:$J$37000,"26*",'Accounting data'!$K$2:$K$37000,"68*")+SUMIFS('Accounting data'!$G$2:$G$37000,'Accounting data'!$H$2:$H$37000,"1500*",'Accounting data'!$I$2:$I$37000,"200*",'Accounting data'!$J$2:$J$37000,"26*",'Accounting data'!$K$2:$K$37000,"68*")+SUMIFS('Accounting data'!$G$2:$G$37000,'Accounting data'!$H$2:$H$37000,"1000*",'Accounting data'!$I$2:$I$37000,"270*",'Accounting data'!$J$2:$J$37000,"26*",'Accounting data'!$K$2:$K$37000,"68*")+SUMIFS('Accounting data'!$G$2:$G$37000,'Accounting data'!$H$2:$H$37000,"1500*",'Accounting data'!$I$2:$I$37000,"270*",'Accounting data'!$J$2:$J$37000,"26*",'Accounting data'!$K$2:$K$37000,"68*")</f>
        <v>0</v>
      </c>
      <c r="I32" s="278">
        <v>0</v>
      </c>
      <c r="J32" s="41">
        <f t="shared" si="2"/>
        <v>0</v>
      </c>
      <c r="K32" s="278">
        <v>0</v>
      </c>
      <c r="L32" s="49">
        <f t="shared" si="3"/>
        <v>0</v>
      </c>
      <c r="M32" s="189" t="s">
        <v>74</v>
      </c>
    </row>
    <row r="33" spans="1:13" ht="12" customHeight="1" x14ac:dyDescent="0.25">
      <c r="A33" s="370" t="s">
        <v>143</v>
      </c>
      <c r="C33" s="449" t="s">
        <v>76</v>
      </c>
      <c r="D33" s="42">
        <f>SUMIFS('Accounting data'!$G$2:$G$37000,'Accounting data'!$H$2:$H$37000,"1000*",'Accounting data'!$I$2:$I$37000,"200*",'Accounting data'!$J$2:$J$37000,"29*",'Accounting data'!$K$2:$K$37000,"61*")+SUMIFS('Accounting data'!$G$2:$G$37000,'Accounting data'!$H$2:$H$37000,"1500*",'Accounting data'!$I$2:$I$37000,"200*",'Accounting data'!$J$2:$J$37000,"29*",'Accounting data'!$K$2:$K$37000,"61*")+SUMIFS('Accounting data'!$G$2:$G$37000,'Accounting data'!$H$2:$H$37000,"1000*",'Accounting data'!$I$2:$I$37000,"270*",'Accounting data'!$J$2:$J$37000,"29*",'Accounting data'!$K$2:$K$37000,"61*")+SUMIFS('Accounting data'!$G$2:$G$37000,'Accounting data'!$H$2:$H$37000,"1500*",'Accounting data'!$I$2:$I$37000,"270*",'Accounting data'!$J$2:$J$37000,"29*",'Accounting data'!$K$2:$K$37000,"61*")</f>
        <v>0</v>
      </c>
      <c r="E33" s="42">
        <f>SUMIFS('Accounting data'!$G$2:$G$37000,'Accounting data'!$H$2:$H$37000,"1000*",'Accounting data'!$I$2:$I$37000,"200*",'Accounting data'!$J$2:$J$37000,"29*",'Accounting data'!$K$2:$K$37000,"62*")+SUMIFS('Accounting data'!$G$2:$G$37000,'Accounting data'!$H$2:$H$37000,"1500*",'Accounting data'!$I$2:$I$37000,"200*",'Accounting data'!$J$2:$J$37000,"29*",'Accounting data'!$K$2:$K$37000,"62*")+SUMIFS('Accounting data'!$G$2:$G$37000,'Accounting data'!$H$2:$H$37000,"1000*",'Accounting data'!$I$2:$I$37000,"270*",'Accounting data'!$J$2:$J$37000,"29*",'Accounting data'!$K$2:$K$37000,"62*")+SUMIFS('Accounting data'!$G$2:$G$37000,'Accounting data'!$H$2:$H$37000,"1500*",'Accounting data'!$I$2:$I$37000,"270*",'Accounting data'!$J$2:$J$37000,"29*",'Accounting data'!$K$2:$K$37000,"62*")</f>
        <v>0</v>
      </c>
      <c r="F33" s="42">
        <f>SUMIFS('Accounting data'!$G$2:$G$37000,'Accounting data'!$H$2:$H$37000,"1000*",'Accounting data'!$I$2:$I$37000,"200*",'Accounting data'!$J$2:$J$37000,"29*",'Accounting data'!$K$2:$K$37000,"63*")+SUMIFS('Accounting data'!$G$2:$G$37000,'Accounting data'!$H$2:$H$37000,"1500*",'Accounting data'!$I$2:$I$37000,"200*",'Accounting data'!$J$2:$J$37000,"29*",'Accounting data'!$K$2:$K$37000,"63*")+SUMIFS('Accounting data'!$G$2:$G$37000,'Accounting data'!$H$2:$H$37000,"1000*",'Accounting data'!$I$2:$I$37000,"270*",'Accounting data'!$J$2:$J$37000,"29*",'Accounting data'!$K$2:$K$37000,"63*")+SUMIFS('Accounting data'!$G$2:$G$37000,'Accounting data'!$H$2:$H$37000,"1500*",'Accounting data'!$I$2:$I$37000,"270*",'Accounting data'!$J$2:$J$37000,"29*",'Accounting data'!$K$2:$K$37000,"63*")</f>
        <v>0</v>
      </c>
      <c r="G33" s="42">
        <f>SUMIFS('Accounting data'!$G$2:$G$37000,'Accounting data'!$H$2:$H$37000,"1000*",'Accounting data'!$I$2:$I$37000,"200*",'Accounting data'!$J$2:$J$37000,"29*",'Accounting data'!$K$2:$K$37000,"66*")+SUMIFS('Accounting data'!$G$2:$G$37000,'Accounting data'!$H$2:$H$37000,"1500*",'Accounting data'!$I$2:$I$37000,"200*",'Accounting data'!$J$2:$J$37000,"29*",'Accounting data'!$K$2:$K$37000,"66*")+SUMIFS('Accounting data'!$G$2:$G$37000,'Accounting data'!$H$2:$H$37000,"1000*",'Accounting data'!$I$2:$I$37000,"270*",'Accounting data'!$J$2:$J$37000,"29*",'Accounting data'!$K$2:$K$37000,"66*")+SUMIFS('Accounting data'!$G$2:$G$37000,'Accounting data'!$H$2:$H$37000,"1500*",'Accounting data'!$I$2:$I$37000,"270*",'Accounting data'!$J$2:$J$37000,"29*",'Accounting data'!$K$2:$K$37000,"66*")</f>
        <v>0</v>
      </c>
      <c r="H33" s="42">
        <f>SUMIFS('Accounting data'!$G$2:$G$37000,'Accounting data'!$H$2:$H$37000,"1000*",'Accounting data'!$I$2:$I$37000,"200*",'Accounting data'!$J$2:$J$37000,"29*",'Accounting data'!$K$2:$K$37000,"68*")+SUMIFS('Accounting data'!$G$2:$G$37000,'Accounting data'!$H$2:$H$37000,"1500*",'Accounting data'!$I$2:$I$37000,"200*",'Accounting data'!$J$2:$J$37000,"29*",'Accounting data'!$K$2:$K$37000,"68*")+SUMIFS('Accounting data'!$G$2:$G$37000,'Accounting data'!$H$2:$H$37000,"1000*",'Accounting data'!$I$2:$I$37000,"270*",'Accounting data'!$J$2:$J$37000,"29*",'Accounting data'!$K$2:$K$37000,"68*")+SUMIFS('Accounting data'!$G$2:$G$37000,'Accounting data'!$H$2:$H$37000,"1500*",'Accounting data'!$I$2:$I$37000,"270*",'Accounting data'!$J$2:$J$37000,"29*",'Accounting data'!$K$2:$K$37000,"68*")</f>
        <v>0</v>
      </c>
      <c r="I33" s="278">
        <v>0</v>
      </c>
      <c r="J33" s="41">
        <f t="shared" si="2"/>
        <v>0</v>
      </c>
      <c r="K33" s="278">
        <v>0</v>
      </c>
      <c r="L33" s="49">
        <f t="shared" si="3"/>
        <v>0</v>
      </c>
      <c r="M33" s="189" t="s">
        <v>76</v>
      </c>
    </row>
    <row r="34" spans="1:13" ht="12" customHeight="1" x14ac:dyDescent="0.25">
      <c r="A34" s="370" t="s">
        <v>144</v>
      </c>
      <c r="C34" s="449" t="s">
        <v>78</v>
      </c>
      <c r="D34" s="42">
        <f>SUMIFS('Accounting data'!$G$2:$G$37000,'Accounting data'!$H$2:$H$37000,"1000*",'Accounting data'!$I$2:$I$37000,"200*",'Accounting data'!$J$2:$J$37000,"3*",'Accounting data'!$K$2:$K$37000,"61*")+SUMIFS('Accounting data'!$G$2:$G$37000,'Accounting data'!$H$2:$H$37000,"1500*",'Accounting data'!$I$2:$I$37000,"200*",'Accounting data'!$J$2:$J$37000,"3*",'Accounting data'!$K$2:$K$37000,"61*")+SUMIFS('Accounting data'!$G$2:$G$37000,'Accounting data'!$H$2:$H$37000,"1000*",'Accounting data'!$I$2:$I$37000,"270*",'Accounting data'!$J$2:$J$37000,"3*",'Accounting data'!$K$2:$K$37000,"61*")+SUMIFS('Accounting data'!$G$2:$G$37000,'Accounting data'!$H$2:$H$37000,"1500*",'Accounting data'!$I$2:$I$37000,"270*",'Accounting data'!$J$2:$J$37000,"3*",'Accounting data'!$K$2:$K$37000,"61*")</f>
        <v>0</v>
      </c>
      <c r="E34" s="42">
        <f>SUMIFS('Accounting data'!$G$2:$G$37000,'Accounting data'!$H$2:$H$37000,"1000*",'Accounting data'!$I$2:$I$37000,"200*",'Accounting data'!$J$2:$J$37000,"3*",'Accounting data'!$K$2:$K$37000,"62*")+SUMIFS('Accounting data'!$G$2:$G$37000,'Accounting data'!$H$2:$H$37000,"1500*",'Accounting data'!$I$2:$I$37000,"200*",'Accounting data'!$J$2:$J$37000,"3*",'Accounting data'!$K$2:$K$37000,"62*")+SUMIFS('Accounting data'!$G$2:$G$37000,'Accounting data'!$H$2:$H$37000,"1000*",'Accounting data'!$I$2:$I$37000,"270*",'Accounting data'!$J$2:$J$37000,"3*",'Accounting data'!$K$2:$K$37000,"62*")+SUMIFS('Accounting data'!$G$2:$G$37000,'Accounting data'!$H$2:$H$37000,"1500*",'Accounting data'!$I$2:$I$37000,"270*",'Accounting data'!$J$2:$J$37000,"3*",'Accounting data'!$K$2:$K$37000,"62*")</f>
        <v>0</v>
      </c>
      <c r="F34" s="42">
        <f>SUMIFS('Accounting data'!$G$2:$G$37000,'Accounting data'!$H$2:$H$37000,"1000*",'Accounting data'!$I$2:$I$37000,"200*",'Accounting data'!$J$2:$J$37000,"3*",'Accounting data'!$K$2:$K$37000,"63*")+SUMIFS('Accounting data'!$G$2:$G$37000,'Accounting data'!$H$2:$H$37000,"1500*",'Accounting data'!$I$2:$I$37000,"200*",'Accounting data'!$J$2:$J$37000,"3*",'Accounting data'!$K$2:$K$37000,"63*")+SUMIFS('Accounting data'!$G$2:$G$37000,'Accounting data'!$H$2:$H$37000,"1000*",'Accounting data'!$I$2:$I$37000,"270*",'Accounting data'!$J$2:$J$37000,"3*",'Accounting data'!$K$2:$K$37000,"63*")+SUMIFS('Accounting data'!$G$2:$G$37000,'Accounting data'!$H$2:$H$37000,"1500*",'Accounting data'!$I$2:$I$37000,"270*",'Accounting data'!$J$2:$J$37000,"3*",'Accounting data'!$K$2:$K$37000,"63*")</f>
        <v>0</v>
      </c>
      <c r="G34" s="42">
        <f>SUMIFS('Accounting data'!$G$2:$G$37000,'Accounting data'!$H$2:$H$37000,"1000*",'Accounting data'!$I$2:$I$37000,"200*",'Accounting data'!$J$2:$J$37000,"3*",'Accounting data'!$K$2:$K$37000,"66*")+SUMIFS('Accounting data'!$G$2:$G$37000,'Accounting data'!$H$2:$H$37000,"1500*",'Accounting data'!$I$2:$I$37000,"200*",'Accounting data'!$J$2:$J$37000,"3*",'Accounting data'!$K$2:$K$37000,"66*")+SUMIFS('Accounting data'!$G$2:$G$37000,'Accounting data'!$H$2:$H$37000,"1000*",'Accounting data'!$I$2:$I$37000,"270*",'Accounting data'!$J$2:$J$37000,"3*",'Accounting data'!$K$2:$K$37000,"66*")+SUMIFS('Accounting data'!$G$2:$G$37000,'Accounting data'!$H$2:$H$37000,"1500*",'Accounting data'!$I$2:$I$37000,"270*",'Accounting data'!$J$2:$J$37000,"3*",'Accounting data'!$K$2:$K$37000,"66*")</f>
        <v>0</v>
      </c>
      <c r="H34" s="42">
        <f>SUMIFS('Accounting data'!$G$2:$G$37000,'Accounting data'!$H$2:$H$37000,"1000*",'Accounting data'!$I$2:$I$37000,"200*",'Accounting data'!$J$2:$J$37000,"3*",'Accounting data'!$K$2:$K$37000,"68*")+SUMIFS('Accounting data'!$G$2:$G$37000,'Accounting data'!$H$2:$H$37000,"1500*",'Accounting data'!$I$2:$I$37000,"200*",'Accounting data'!$J$2:$J$37000,"3*",'Accounting data'!$K$2:$K$37000,"68*")+SUMIFS('Accounting data'!$G$2:$G$37000,'Accounting data'!$H$2:$H$37000,"1000*",'Accounting data'!$I$2:$I$37000,"270*",'Accounting data'!$J$2:$J$37000,"3*",'Accounting data'!$K$2:$K$37000,"68*")+SUMIFS('Accounting data'!$G$2:$G$37000,'Accounting data'!$H$2:$H$37000,"1500*",'Accounting data'!$I$2:$I$37000,"270*",'Accounting data'!$J$2:$J$37000,"3*",'Accounting data'!$K$2:$K$37000,"68*")</f>
        <v>0</v>
      </c>
      <c r="I34" s="278">
        <v>0</v>
      </c>
      <c r="J34" s="41">
        <f t="shared" si="2"/>
        <v>0</v>
      </c>
      <c r="K34" s="278">
        <v>0</v>
      </c>
      <c r="L34" s="49">
        <f t="shared" si="3"/>
        <v>0</v>
      </c>
      <c r="M34" s="189" t="s">
        <v>78</v>
      </c>
    </row>
    <row r="35" spans="1:13" ht="12" customHeight="1" x14ac:dyDescent="0.25">
      <c r="A35" s="370" t="s">
        <v>145</v>
      </c>
      <c r="C35" s="449" t="s">
        <v>80</v>
      </c>
      <c r="D35" s="42">
        <f>SUMIFS('Accounting data'!$G$2:$G$37000,'Accounting data'!$H$2:$H$37000,"1000*",'Accounting data'!$I$2:$I$37000,"200*",'Accounting data'!$J$2:$J$37000,"4*",'Accounting data'!$K$2:$K$37000,"61*")+SUMIFS('Accounting data'!$G$2:$G$37000,'Accounting data'!$H$2:$H$37000,"1500*",'Accounting data'!$I$2:$I$37000,"200*",'Accounting data'!$J$2:$J$37000,"4*",'Accounting data'!$K$2:$K$37000,"61*")+SUMIFS('Accounting data'!$G$2:$G$37000,'Accounting data'!$H$2:$H$37000,"1000*",'Accounting data'!$I$2:$I$37000,"270*",'Accounting data'!$J$2:$J$37000,"4*",'Accounting data'!$K$2:$K$37000,"61*")+SUMIFS('Accounting data'!$G$2:$G$37000,'Accounting data'!$H$2:$H$37000,"1500*",'Accounting data'!$I$2:$I$37000,"270*",'Accounting data'!$J$2:$J$37000,"4*",'Accounting data'!$K$2:$K$37000,"61*")</f>
        <v>0</v>
      </c>
      <c r="E35" s="42">
        <f>SUMIFS('Accounting data'!$G$2:$G$37000,'Accounting data'!$H$2:$H$37000,"1000*",'Accounting data'!$I$2:$I$37000,"200*",'Accounting data'!$J$2:$J$37000,"4*",'Accounting data'!$K$2:$K$37000,"62*")+SUMIFS('Accounting data'!$G$2:$G$37000,'Accounting data'!$H$2:$H$37000,"1500*",'Accounting data'!$I$2:$I$37000,"200*",'Accounting data'!$J$2:$J$37000,"4*",'Accounting data'!$K$2:$K$37000,"62*")+SUMIFS('Accounting data'!$G$2:$G$37000,'Accounting data'!$H$2:$H$37000,"1000*",'Accounting data'!$I$2:$I$37000,"270*",'Accounting data'!$J$2:$J$37000,"4*",'Accounting data'!$K$2:$K$37000,"62*")+SUMIFS('Accounting data'!$G$2:$G$37000,'Accounting data'!$H$2:$H$37000,"1500*",'Accounting data'!$I$2:$I$37000,"270*",'Accounting data'!$J$2:$J$37000,"4*",'Accounting data'!$K$2:$K$37000,"62*")</f>
        <v>0</v>
      </c>
      <c r="F35" s="42">
        <f>SUMIFS('Accounting data'!$G$2:$G$37000,'Accounting data'!$H$2:$H$37000,"1000*",'Accounting data'!$I$2:$I$37000,"200*",'Accounting data'!$J$2:$J$37000,"4*",'Accounting data'!$K$2:$K$37000,"63*")+SUMIFS('Accounting data'!$G$2:$G$37000,'Accounting data'!$H$2:$H$37000,"1500*",'Accounting data'!$I$2:$I$37000,"200*",'Accounting data'!$J$2:$J$37000,"4*",'Accounting data'!$K$2:$K$37000,"63*")+SUMIFS('Accounting data'!$G$2:$G$37000,'Accounting data'!$H$2:$H$37000,"1000*",'Accounting data'!$I$2:$I$37000,"270*",'Accounting data'!$J$2:$J$37000,"4*",'Accounting data'!$K$2:$K$37000,"63*")+SUMIFS('Accounting data'!$G$2:$G$37000,'Accounting data'!$H$2:$H$37000,"1500*",'Accounting data'!$I$2:$I$37000,"270*",'Accounting data'!$J$2:$J$37000,"4*",'Accounting data'!$K$2:$K$37000,"63*")</f>
        <v>0</v>
      </c>
      <c r="G35" s="42">
        <f>SUMIFS('Accounting data'!$G$2:$G$37000,'Accounting data'!$H$2:$H$37000,"1000*",'Accounting data'!$I$2:$I$37000,"200*",'Accounting data'!$J$2:$J$37000,"4*",'Accounting data'!$K$2:$K$37000,"66*")+SUMIFS('Accounting data'!$G$2:$G$37000,'Accounting data'!$H$2:$H$37000,"1500*",'Accounting data'!$I$2:$I$37000,"200*",'Accounting data'!$J$2:$J$37000,"4*",'Accounting data'!$K$2:$K$37000,"66*")+SUMIFS('Accounting data'!$G$2:$G$37000,'Accounting data'!$H$2:$H$37000,"1000*",'Accounting data'!$I$2:$I$37000,"270*",'Accounting data'!$J$2:$J$37000,"4*",'Accounting data'!$K$2:$K$37000,"66*")+SUMIFS('Accounting data'!$G$2:$G$37000,'Accounting data'!$H$2:$H$37000,"1500*",'Accounting data'!$I$2:$I$37000,"270*",'Accounting data'!$J$2:$J$37000,"4*",'Accounting data'!$K$2:$K$37000,"66*")</f>
        <v>0</v>
      </c>
      <c r="H35" s="42">
        <f>SUMIFS('Accounting data'!$G$2:$G$37000,'Accounting data'!$H$2:$H$37000,"1000*",'Accounting data'!$I$2:$I$37000,"200*",'Accounting data'!$J$2:$J$37000,"4*",'Accounting data'!$K$2:$K$37000,"68*")+SUMIFS('Accounting data'!$G$2:$G$37000,'Accounting data'!$H$2:$H$37000,"1500*",'Accounting data'!$I$2:$I$37000,"200*",'Accounting data'!$J$2:$J$37000,"4*",'Accounting data'!$K$2:$K$37000,"68*")+SUMIFS('Accounting data'!$G$2:$G$37000,'Accounting data'!$H$2:$H$37000,"1000*",'Accounting data'!$I$2:$I$37000,"270*",'Accounting data'!$J$2:$J$37000,"4*",'Accounting data'!$K$2:$K$37000,"68*")+SUMIFS('Accounting data'!$G$2:$G$37000,'Accounting data'!$H$2:$H$37000,"1500*",'Accounting data'!$I$2:$I$37000,"270*",'Accounting data'!$J$2:$J$37000,"4*",'Accounting data'!$K$2:$K$37000,"68*")</f>
        <v>0</v>
      </c>
      <c r="I35" s="278">
        <v>0</v>
      </c>
      <c r="J35" s="41">
        <f t="shared" si="2"/>
        <v>0</v>
      </c>
      <c r="K35" s="278">
        <v>0</v>
      </c>
      <c r="L35" s="49">
        <f t="shared" si="3"/>
        <v>0</v>
      </c>
      <c r="M35" s="189" t="s">
        <v>80</v>
      </c>
    </row>
    <row r="36" spans="1:13" ht="12" customHeight="1" x14ac:dyDescent="0.25">
      <c r="A36" s="370" t="s">
        <v>146</v>
      </c>
      <c r="C36" s="449" t="s">
        <v>82</v>
      </c>
      <c r="D36" s="42">
        <f>SUMIFS('Accounting data'!$G$2:$G$37000,'Accounting data'!$H$2:$H$37000,"1000*",'Accounting data'!$I$2:$I$37000,"200*",'Accounting data'!$J$2:$J$37000,"5*",'Accounting data'!$K$2:$K$37000,"61*")+SUMIFS('Accounting data'!$G$2:$G$37000,'Accounting data'!$H$2:$H$37000,"1500*",'Accounting data'!$I$2:$I$37000,"200*",'Accounting data'!$J$2:$J$37000,"5*",'Accounting data'!$K$2:$K$37000,"61*")+SUMIFS('Accounting data'!$G$2:$G$37000,'Accounting data'!$H$2:$H$37000,"1000*",'Accounting data'!$I$2:$I$37000,"270*",'Accounting data'!$J$2:$J$37000,"5*",'Accounting data'!$K$2:$K$37000,"61*")+SUMIFS('Accounting data'!$G$2:$G$37000,'Accounting data'!$H$2:$H$37000,"1500*",'Accounting data'!$I$2:$I$37000,"270*",'Accounting data'!$J$2:$J$37000,"5*",'Accounting data'!$K$2:$K$37000,"61*")</f>
        <v>0</v>
      </c>
      <c r="E36" s="42">
        <f>SUMIFS('Accounting data'!$G$2:$G$37000,'Accounting data'!$H$2:$H$37000,"1000*",'Accounting data'!$I$2:$I$37000,"200*",'Accounting data'!$J$2:$J$37000,"5*",'Accounting data'!$K$2:$K$37000,"62*")+SUMIFS('Accounting data'!$G$2:$G$37000,'Accounting data'!$H$2:$H$37000,"1500*",'Accounting data'!$I$2:$I$37000,"200*",'Accounting data'!$J$2:$J$37000,"5*",'Accounting data'!$K$2:$K$37000,"62*")+SUMIFS('Accounting data'!$G$2:$G$37000,'Accounting data'!$H$2:$H$37000,"1000*",'Accounting data'!$I$2:$I$37000,"270*",'Accounting data'!$J$2:$J$37000,"5*",'Accounting data'!$K$2:$K$37000,"62*")+SUMIFS('Accounting data'!$G$2:$G$37000,'Accounting data'!$H$2:$H$37000,"1500*",'Accounting data'!$I$2:$I$37000,"270*",'Accounting data'!$J$2:$J$37000,"5*",'Accounting data'!$K$2:$K$37000,"62*")</f>
        <v>0</v>
      </c>
      <c r="F36" s="42">
        <f>SUMIFS('Accounting data'!$G$2:$G$37000,'Accounting data'!$H$2:$H$37000,"1000*",'Accounting data'!$I$2:$I$37000,"200*",'Accounting data'!$J$2:$J$37000,"5*",'Accounting data'!$K$2:$K$37000,"63*")+SUMIFS('Accounting data'!$G$2:$G$37000,'Accounting data'!$H$2:$H$37000,"1500*",'Accounting data'!$I$2:$I$37000,"200*",'Accounting data'!$J$2:$J$37000,"5*",'Accounting data'!$K$2:$K$37000,"63*")+SUMIFS('Accounting data'!$G$2:$G$37000,'Accounting data'!$H$2:$H$37000,"1000*",'Accounting data'!$I$2:$I$37000,"270*",'Accounting data'!$J$2:$J$37000,"5*",'Accounting data'!$K$2:$K$37000,"63*")+SUMIFS('Accounting data'!$G$2:$G$37000,'Accounting data'!$H$2:$H$37000,"1500*",'Accounting data'!$I$2:$I$37000,"270*",'Accounting data'!$J$2:$J$37000,"5*",'Accounting data'!$K$2:$K$37000,"63*")</f>
        <v>0</v>
      </c>
      <c r="G36" s="42">
        <f>SUMIFS('Accounting data'!$G$2:$G$37000,'Accounting data'!$H$2:$H$37000,"1000*",'Accounting data'!$I$2:$I$37000,"200*",'Accounting data'!$J$2:$J$37000,"5*",'Accounting data'!$K$2:$K$37000,"66*")+SUMIFS('Accounting data'!$G$2:$G$37000,'Accounting data'!$H$2:$H$37000,"1500*",'Accounting data'!$I$2:$I$37000,"200*",'Accounting data'!$J$2:$J$37000,"5*",'Accounting data'!$K$2:$K$37000,"66*")+SUMIFS('Accounting data'!$G$2:$G$37000,'Accounting data'!$H$2:$H$37000,"1000*",'Accounting data'!$I$2:$I$37000,"270*",'Accounting data'!$J$2:$J$37000,"5*",'Accounting data'!$K$2:$K$37000,"66*")+SUMIFS('Accounting data'!$G$2:$G$37000,'Accounting data'!$H$2:$H$37000,"1500*",'Accounting data'!$I$2:$I$37000,"270*",'Accounting data'!$J$2:$J$37000,"5*",'Accounting data'!$K$2:$K$37000,"66*")</f>
        <v>0</v>
      </c>
      <c r="H36" s="42">
        <f>SUMIFS('Accounting data'!$G$2:$G$37000,'Accounting data'!$H$2:$H$37000,"1000*",'Accounting data'!$I$2:$I$37000,"200*",'Accounting data'!$J$2:$J$37000,"5*",'Accounting data'!$K$2:$K$37000,"68*")+SUMIFS('Accounting data'!$G$2:$G$37000,'Accounting data'!$H$2:$H$37000,"1500*",'Accounting data'!$I$2:$I$37000,"200*",'Accounting data'!$J$2:$J$37000,"5*",'Accounting data'!$K$2:$K$37000,"68*")+SUMIFS('Accounting data'!$G$2:$G$37000,'Accounting data'!$H$2:$H$37000,"1000*",'Accounting data'!$I$2:$I$37000,"270*",'Accounting data'!$J$2:$J$37000,"5*",'Accounting data'!$K$2:$K$37000,"68*")+SUMIFS('Accounting data'!$G$2:$G$37000,'Accounting data'!$H$2:$H$37000,"1500*",'Accounting data'!$I$2:$I$37000,"270*",'Accounting data'!$J$2:$J$37000,"5*",'Accounting data'!$K$2:$K$37000,"68*")</f>
        <v>0</v>
      </c>
      <c r="I36" s="278">
        <v>0</v>
      </c>
      <c r="J36" s="41">
        <f t="shared" si="2"/>
        <v>0</v>
      </c>
      <c r="K36" s="278">
        <v>0</v>
      </c>
      <c r="L36" s="49">
        <f t="shared" si="3"/>
        <v>0</v>
      </c>
      <c r="M36" s="189" t="s">
        <v>82</v>
      </c>
    </row>
    <row r="37" spans="1:13" ht="12" customHeight="1" x14ac:dyDescent="0.25">
      <c r="A37" s="363" t="s">
        <v>147</v>
      </c>
      <c r="B37" s="56"/>
      <c r="C37" s="453" t="s">
        <v>85</v>
      </c>
      <c r="D37" s="42">
        <f t="shared" ref="D37:K37" si="4">SUM(D25:D36)</f>
        <v>122737</v>
      </c>
      <c r="E37" s="42">
        <f t="shared" si="4"/>
        <v>36338</v>
      </c>
      <c r="F37" s="42">
        <f t="shared" si="4"/>
        <v>33326</v>
      </c>
      <c r="G37" s="42">
        <f t="shared" si="4"/>
        <v>2186</v>
      </c>
      <c r="H37" s="42">
        <f t="shared" si="4"/>
        <v>0</v>
      </c>
      <c r="I37" s="42">
        <f t="shared" si="4"/>
        <v>200939</v>
      </c>
      <c r="J37" s="42">
        <f t="shared" si="4"/>
        <v>194587</v>
      </c>
      <c r="K37" s="42">
        <f t="shared" si="4"/>
        <v>199131</v>
      </c>
      <c r="L37" s="454">
        <f t="shared" si="3"/>
        <v>-2.2800000000000001E-2</v>
      </c>
      <c r="M37" s="455" t="s">
        <v>85</v>
      </c>
    </row>
    <row r="38" spans="1:13" ht="12" customHeight="1" x14ac:dyDescent="0.25">
      <c r="A38" s="391" t="s">
        <v>148</v>
      </c>
      <c r="B38" s="392"/>
      <c r="C38" s="453" t="s">
        <v>87</v>
      </c>
      <c r="D38" s="42">
        <f>SUMIFS('Accounting data'!$G$2:$G$37000,'Accounting data'!$H$2:$H$37000,"1000*",'Accounting data'!$I$2:$I$37000,"400*",'Accounting data'!$K$2:$K$37000,"61*")+SUMIFS('Accounting data'!$G$2:$G$37000,'Accounting data'!$H$2:$H$37000,"1500*",'Accounting data'!$I$2:$I$37000,"400*",'Accounting data'!$K$2:$K$37000,"61*")</f>
        <v>0</v>
      </c>
      <c r="E38" s="42">
        <f>SUMIFS('Accounting data'!$G$2:$G$37000,'Accounting data'!$H$2:$H$37000,"1000*",'Accounting data'!$I$2:$I$37000,"400*",'Accounting data'!$K$2:$K$37000,"62*")+SUMIFS('Accounting data'!$G$2:$G$37000,'Accounting data'!$H$2:$H$37000,"1500*",'Accounting data'!$I$2:$I$37000,"400*",'Accounting data'!$K$2:$K$37000,"62*")</f>
        <v>0</v>
      </c>
      <c r="F38" s="42">
        <f>SUMIFS('Accounting data'!$G$2:$G$37000,'Accounting data'!$H$2:$H$37000,"1000*",'Accounting data'!$I$2:$I$37000,"400*",'Accounting data'!$K$2:$K$37000,"63*")+SUMIFS('Accounting data'!$G$2:$G$37000,'Accounting data'!$H$2:$H$37000,"1500*",'Accounting data'!$I$2:$I$37000,"400*",'Accounting data'!$K$2:$K$37000,"63*")</f>
        <v>0</v>
      </c>
      <c r="G38" s="42">
        <f>SUMIFS('Accounting data'!$G$2:$G$37000,'Accounting data'!$H$2:$H$37000,"1000*",'Accounting data'!$I$2:$I$37000,"400*",'Accounting data'!$K$2:$K$37000,"66*")+SUMIFS('Accounting data'!$G$2:$G$37000,'Accounting data'!$H$2:$H$37000,"1500*",'Accounting data'!$I$2:$I$37000,"400*",'Accounting data'!$K$2:$K$37000,"66*")</f>
        <v>0</v>
      </c>
      <c r="H38" s="42">
        <f>SUMIFS('Accounting data'!$G$2:$G$37000,'Accounting data'!$H$2:$H$37000,"1000*",'Accounting data'!$I$2:$I$37000,"400*",'Accounting data'!$K$2:$K$37000,"68*")+SUMIFS('Accounting data'!$G$2:$G$37000,'Accounting data'!$H$2:$H$37000,"1500*",'Accounting data'!$I$2:$I$37000,"400*",'Accounting data'!$K$2:$K$37000,"68*")</f>
        <v>0</v>
      </c>
      <c r="I38" s="278">
        <v>0</v>
      </c>
      <c r="J38" s="41">
        <f>SUM(D38:H38)</f>
        <v>0</v>
      </c>
      <c r="K38" s="278">
        <v>0</v>
      </c>
      <c r="L38" s="49">
        <f t="shared" si="3"/>
        <v>0</v>
      </c>
      <c r="M38" s="455" t="s">
        <v>87</v>
      </c>
    </row>
    <row r="39" spans="1:13" ht="12" customHeight="1" x14ac:dyDescent="0.25">
      <c r="A39" s="391" t="s">
        <v>149</v>
      </c>
      <c r="B39" s="392"/>
      <c r="C39" s="456" t="s">
        <v>89</v>
      </c>
      <c r="D39" s="42">
        <f>SUMIFS('Accounting data'!$G$2:$G$37000,'Accounting data'!$H$2:$H$37000,"1000*",'Accounting data'!$I$2:$I$37000,"53*",'Accounting data'!$K$2:$K$37000,"61*")+SUMIFS('Accounting data'!$G$2:$G$37000,'Accounting data'!$H$2:$H$37000,"1500*",'Accounting data'!$I$2:$I$37000,"53*",'Accounting data'!$K$2:$K$37000,"61*")</f>
        <v>0</v>
      </c>
      <c r="E39" s="42">
        <f>SUMIFS('Accounting data'!$G$2:$G$37000,'Accounting data'!$H$2:$H$37000,"1000*",'Accounting data'!$I$2:$I$37000,"53*",'Accounting data'!$K$2:$K$37000,"62*")+SUMIFS('Accounting data'!$G$2:$G$37000,'Accounting data'!$H$2:$H$37000,"1000*",'Accounting data'!$I$2:$I$37000,"53*",'Accounting data'!$K$2:$K$37000,"62*")</f>
        <v>0</v>
      </c>
      <c r="F39" s="42">
        <f>SUMIFS('Accounting data'!$G$2:$G$37000,'Accounting data'!$H$2:$H$37000,"1000*",'Accounting data'!$I$2:$I$37000,"53*",'Accounting data'!$K$2:$K$37000,"63*")+SUMIFS('Accounting data'!$G$2:$G$37000,'Accounting data'!$H$2:$H$37000,"1500*",'Accounting data'!$I$2:$I$37000,"53*",'Accounting data'!$K$2:$K$37000,"63*")</f>
        <v>0</v>
      </c>
      <c r="G39" s="42">
        <f>SUMIFS('Accounting data'!$G$2:$G$37000,'Accounting data'!$H$2:$H$37000,"1000*",'Accounting data'!$I$2:$I$37000,"53*",'Accounting data'!$K$2:$K$37000,"66*")+SUMIFS('Accounting data'!$G$2:$G$37000,'Accounting data'!$H$2:$H$37000,"1500*",'Accounting data'!$I$2:$I$37000,"53*",'Accounting data'!$K$2:$K$37000,"66*")</f>
        <v>0</v>
      </c>
      <c r="H39" s="42">
        <f>SUMIFS('Accounting data'!$G$2:$G$37000,'Accounting data'!$H$2:$H$37000,"1000*",'Accounting data'!$I$2:$I$37000,"53*",'Accounting data'!$K$2:$K$37000,"68*")+SUMIFS('Accounting data'!$G$2:$G$37000,'Accounting data'!$H$2:$H$37000,"1500*",'Accounting data'!$I$2:$I$37000,"53*",'Accounting data'!$K$2:$K$37000,"68*")</f>
        <v>0</v>
      </c>
      <c r="I39" s="278">
        <v>0</v>
      </c>
      <c r="J39" s="41">
        <f>SUM(D39:H39)</f>
        <v>0</v>
      </c>
      <c r="K39" s="278">
        <v>0</v>
      </c>
      <c r="L39" s="49">
        <f t="shared" si="3"/>
        <v>0</v>
      </c>
      <c r="M39" s="455" t="s">
        <v>89</v>
      </c>
    </row>
    <row r="40" spans="1:13" ht="12" customHeight="1" x14ac:dyDescent="0.25">
      <c r="A40" s="391" t="s">
        <v>150</v>
      </c>
      <c r="B40" s="392"/>
      <c r="C40" s="456" t="s">
        <v>91</v>
      </c>
      <c r="D40" s="42">
        <f>SUMIFS('Accounting data'!$G$2:$G$37000,'Accounting data'!$H$2:$H$37000,"1000*",'Accounting data'!$I$2:$I$37000,"54*",'Accounting data'!$K$2:$K$37000,"61*")+SUMIFS('Accounting data'!$G$2:$G$37000,'Accounting data'!$H$2:$H$37000,"1500*",'Accounting data'!$I$2:$I$37000,"54*",'Accounting data'!$K$2:$K$37000,"61*")</f>
        <v>0</v>
      </c>
      <c r="E40" s="42">
        <f>SUMIFS('Accounting data'!$G$2:$G$37000,'Accounting data'!$H$2:$H$37000,"1000*",'Accounting data'!$I$2:$I$37000,"54*",'Accounting data'!$K$2:$K$37000,"62*")+SUMIFS('Accounting data'!$G$2:$G$37000,'Accounting data'!$H$2:$H$37000,"1500*",'Accounting data'!$I$2:$I$37000,"54*",'Accounting data'!$K$2:$K$37000,"62*")</f>
        <v>0</v>
      </c>
      <c r="F40" s="42">
        <f>SUMIFS('Accounting data'!$G$2:$G$37000,'Accounting data'!$H$2:$H$37000,"1000*",'Accounting data'!$I$2:$I$37000,"54*",'Accounting data'!$K$2:$K$37000,"63*")+SUMIFS('Accounting data'!$G$2:$G$37000,'Accounting data'!$H$2:$H$37000,"1500*",'Accounting data'!$I$2:$I$37000,"54*",'Accounting data'!$K$2:$K$37000,"63*")</f>
        <v>0</v>
      </c>
      <c r="G40" s="42">
        <f>SUMIFS('Accounting data'!$G$2:$G$37000,'Accounting data'!$H$2:$H$37000,"1000*",'Accounting data'!$I$2:$I$37000,"54*",'Accounting data'!$K$2:$K$37000,"66*")+SUMIFS('Accounting data'!$G$2:$G$37000,'Accounting data'!$H$2:$H$37000,"1500*",'Accounting data'!$I$2:$I$37000,"54*",'Accounting data'!$K$2:$K$37000,"66*")</f>
        <v>0</v>
      </c>
      <c r="H40" s="42">
        <f>SUMIFS('Accounting data'!$G$2:$G$37000,'Accounting data'!$H$2:$H$37000,"1000*",'Accounting data'!$I$2:$I$37000,"54*",'Accounting data'!$K$2:$K$37000,"68*")+SUMIFS('Accounting data'!$G$2:$G$37000,'Accounting data'!$H$2:$H$37000,"1500*",'Accounting data'!$I$2:$I$37000,"54*",'Accounting data'!$K$2:$K$37000,"68*")</f>
        <v>0</v>
      </c>
      <c r="I40" s="278">
        <v>0</v>
      </c>
      <c r="J40" s="41">
        <f>SUM(D40:H40)</f>
        <v>0</v>
      </c>
      <c r="K40" s="278">
        <v>0</v>
      </c>
      <c r="L40" s="49">
        <f t="shared" si="3"/>
        <v>0</v>
      </c>
      <c r="M40" s="455" t="s">
        <v>91</v>
      </c>
    </row>
    <row r="41" spans="1:13" ht="12" customHeight="1" x14ac:dyDescent="0.25">
      <c r="A41" s="391" t="s">
        <v>151</v>
      </c>
      <c r="B41" s="392"/>
      <c r="C41" s="456" t="s">
        <v>93</v>
      </c>
      <c r="D41" s="42">
        <f>SUMIFS('Accounting data'!$G$2:$G$37000,'Accounting data'!$H$2:$H$37000,"1000*",'Accounting data'!$I$2:$I$37000,"55*",'Accounting data'!$K$2:$K$37000,"61*")+SUMIFS('Accounting data'!$G$2:$G$37000,'Accounting data'!$H$2:$H$37000,"1500*",'Accounting data'!$I$2:$I$37000,"55*",'Accounting data'!$K$2:$K$37000,"61*")</f>
        <v>0</v>
      </c>
      <c r="E41" s="42">
        <f>SUMIFS('Accounting data'!$G$2:$G$37000,'Accounting data'!$H$2:$H$37000,"1000*",'Accounting data'!$I$2:$I$37000,"55*",'Accounting data'!$K$2:$K$37000,"62*")+SUMIFS('Accounting data'!$G$2:$G$37000,'Accounting data'!$H$2:$H$37000,"1500*",'Accounting data'!$I$2:$I$37000,"55*",'Accounting data'!$K$2:$K$37000,"62*")</f>
        <v>0</v>
      </c>
      <c r="F41" s="42">
        <f>SUMIFS('Accounting data'!$G$2:$G$37000,'Accounting data'!$H$2:$H$37000,"1000*",'Accounting data'!$I$2:$I$37000,"55*",'Accounting data'!$K$2:$K$37000,"63*")+SUMIFS('Accounting data'!$G$2:$G$37000,'Accounting data'!$H$2:$H$37000,"1500*",'Accounting data'!$I$2:$I$37000,"55*",'Accounting data'!$K$2:$K$37000,"63*")</f>
        <v>0</v>
      </c>
      <c r="G41" s="42">
        <f>SUMIFS('Accounting data'!$G$2:$G$37000,'Accounting data'!$H$2:$H$37000,"1000*",'Accounting data'!$I$2:$I$37000,"55*",'Accounting data'!$K$2:$K$37000,"66*")+SUMIFS('Accounting data'!$G$2:$G$37000,'Accounting data'!$H$2:$H$37000,"1500*",'Accounting data'!$I$2:$I$37000,"55*",'Accounting data'!$K$2:$K$37000,"66*")</f>
        <v>0</v>
      </c>
      <c r="H41" s="42">
        <f>SUMIFS('Accounting data'!$G$2:$G$37000,'Accounting data'!$H$2:$H$37000,"1000*",'Accounting data'!$I$2:$I$37000,"55*",'Accounting data'!$K$2:$K$37000,"68*")+SUMIFS('Accounting data'!$G$2:$G$37000,'Accounting data'!$H$2:$H$37000,"1500*",'Accounting data'!$I$2:$I$37000,"55*",'Accounting data'!$K$2:$K$37000,"68*")</f>
        <v>0</v>
      </c>
      <c r="I41" s="278">
        <v>0</v>
      </c>
      <c r="J41" s="41">
        <f>SUM(D41:H41)</f>
        <v>0</v>
      </c>
      <c r="K41" s="278">
        <v>0</v>
      </c>
      <c r="L41" s="49">
        <f t="shared" si="3"/>
        <v>0</v>
      </c>
      <c r="M41" s="455" t="s">
        <v>93</v>
      </c>
    </row>
    <row r="42" spans="1:13" ht="12" customHeight="1" x14ac:dyDescent="0.25">
      <c r="A42" s="391" t="s">
        <v>152</v>
      </c>
      <c r="B42" s="392"/>
      <c r="C42" s="456" t="s">
        <v>95</v>
      </c>
      <c r="D42" s="42">
        <f t="shared" ref="D42:I42" si="5">SUM(D38:D41)+D37+D23</f>
        <v>661944</v>
      </c>
      <c r="E42" s="42">
        <f t="shared" si="5"/>
        <v>214538</v>
      </c>
      <c r="F42" s="42">
        <f t="shared" si="5"/>
        <v>412619</v>
      </c>
      <c r="G42" s="42">
        <f t="shared" si="5"/>
        <v>64582</v>
      </c>
      <c r="H42" s="42">
        <f t="shared" si="5"/>
        <v>207977</v>
      </c>
      <c r="I42" s="278">
        <f t="shared" si="5"/>
        <v>1562360</v>
      </c>
      <c r="J42" s="41">
        <f>SUM(J37:J41)+J23</f>
        <v>1561660</v>
      </c>
      <c r="K42" s="41">
        <f>SUM(K23)+SUM(K37:K41)</f>
        <v>1834343</v>
      </c>
      <c r="L42" s="49">
        <f t="shared" si="3"/>
        <v>-0.1487</v>
      </c>
      <c r="M42" s="455" t="s">
        <v>95</v>
      </c>
    </row>
    <row r="43" spans="1:13" ht="12" customHeight="1" x14ac:dyDescent="0.25">
      <c r="A43" s="391" t="s">
        <v>153</v>
      </c>
      <c r="B43" s="392"/>
      <c r="C43" s="456" t="s">
        <v>97</v>
      </c>
      <c r="D43" s="42">
        <f>'Page 3'!F13</f>
        <v>147913</v>
      </c>
      <c r="E43" s="42">
        <f>'Page 3'!G13</f>
        <v>29490</v>
      </c>
      <c r="F43" s="42">
        <f>'Page 3'!H13</f>
        <v>0</v>
      </c>
      <c r="G43" s="42">
        <f>'Page 3'!I13</f>
        <v>0</v>
      </c>
      <c r="H43" s="42">
        <f>'Page 3'!G18</f>
        <v>0</v>
      </c>
      <c r="I43" s="278">
        <v>156899</v>
      </c>
      <c r="J43" s="41">
        <f>SUM(D43:H43)</f>
        <v>177403</v>
      </c>
      <c r="K43" s="278">
        <v>257066</v>
      </c>
      <c r="L43" s="49">
        <f t="shared" si="3"/>
        <v>-0.30990000000000001</v>
      </c>
      <c r="M43" s="455" t="s">
        <v>97</v>
      </c>
    </row>
    <row r="44" spans="1:13" ht="12" customHeight="1" x14ac:dyDescent="0.25">
      <c r="A44" s="391" t="s">
        <v>154</v>
      </c>
      <c r="B44" s="392"/>
      <c r="C44" s="456" t="s">
        <v>99</v>
      </c>
      <c r="D44" s="317"/>
      <c r="E44" s="317"/>
      <c r="F44" s="317"/>
      <c r="G44" s="317"/>
      <c r="H44" s="317"/>
      <c r="I44" s="278">
        <v>10558</v>
      </c>
      <c r="J44" s="41">
        <f>SUMIFS('Accounting data'!$G$2:$G$37000,'Accounting data'!$H$2:$H$37000,"1020*",'Accounting data'!$K$2:$K$37000,"6*")</f>
        <v>15929</v>
      </c>
      <c r="K44" s="278">
        <v>11022</v>
      </c>
      <c r="L44" s="49">
        <f t="shared" si="3"/>
        <v>0.44519999999999998</v>
      </c>
      <c r="M44" s="455" t="s">
        <v>99</v>
      </c>
    </row>
    <row r="45" spans="1:13" ht="12" customHeight="1" x14ac:dyDescent="0.25">
      <c r="A45" s="391" t="s">
        <v>155</v>
      </c>
      <c r="B45" s="392"/>
      <c r="C45" s="456" t="s">
        <v>156</v>
      </c>
      <c r="D45" s="42">
        <f>TotalSEIP6100</f>
        <v>0</v>
      </c>
      <c r="E45" s="42">
        <f>TotalSEIP6200</f>
        <v>0</v>
      </c>
      <c r="F45" s="42">
        <f>TotalSEIP630064006500</f>
        <v>0</v>
      </c>
      <c r="G45" s="42">
        <f>TotalSEIP6600</f>
        <v>0</v>
      </c>
      <c r="H45" s="42">
        <f>TotalSEIP6800</f>
        <v>0</v>
      </c>
      <c r="I45" s="278">
        <v>0</v>
      </c>
      <c r="J45" s="41">
        <f>SUM(D45:H45)</f>
        <v>0</v>
      </c>
      <c r="K45" s="278">
        <v>0</v>
      </c>
      <c r="L45" s="49">
        <f t="shared" si="3"/>
        <v>0</v>
      </c>
      <c r="M45" s="455" t="s">
        <v>156</v>
      </c>
    </row>
    <row r="46" spans="1:13" ht="12" customHeight="1" x14ac:dyDescent="0.25">
      <c r="A46" s="391" t="s">
        <v>157</v>
      </c>
      <c r="B46" s="392"/>
      <c r="C46" s="456" t="s">
        <v>158</v>
      </c>
      <c r="D46" s="42">
        <f>TotalCIP6100</f>
        <v>0</v>
      </c>
      <c r="E46" s="42">
        <f>TotalCIP6200</f>
        <v>0</v>
      </c>
      <c r="F46" s="42">
        <f>TotalCIP630064006500</f>
        <v>0</v>
      </c>
      <c r="G46" s="42">
        <f>TotalCIP6600</f>
        <v>0</v>
      </c>
      <c r="H46" s="42">
        <f>TotalCIP6800</f>
        <v>0</v>
      </c>
      <c r="I46" s="278">
        <v>0</v>
      </c>
      <c r="J46" s="41">
        <f>SUM(D46:H46)</f>
        <v>0</v>
      </c>
      <c r="K46" s="278">
        <v>0</v>
      </c>
      <c r="L46" s="49">
        <f t="shared" si="3"/>
        <v>0</v>
      </c>
      <c r="M46" s="455" t="s">
        <v>158</v>
      </c>
    </row>
    <row r="47" spans="1:13" ht="12" customHeight="1" x14ac:dyDescent="0.25">
      <c r="A47" s="391" t="s">
        <v>159</v>
      </c>
      <c r="B47" s="391"/>
      <c r="C47" s="456" t="s">
        <v>160</v>
      </c>
      <c r="D47" s="316"/>
      <c r="E47" s="316"/>
      <c r="F47" s="316"/>
      <c r="G47" s="316"/>
      <c r="H47" s="316"/>
      <c r="I47" s="278">
        <v>136461</v>
      </c>
      <c r="J47" s="41">
        <f>ActualTotalFederalAndStateProjects</f>
        <v>126277</v>
      </c>
      <c r="K47" s="278">
        <v>247402</v>
      </c>
      <c r="L47" s="49">
        <f t="shared" si="3"/>
        <v>-0.48959999999999998</v>
      </c>
      <c r="M47" s="455" t="s">
        <v>160</v>
      </c>
    </row>
    <row r="48" spans="1:13" ht="12" customHeight="1" x14ac:dyDescent="0.25">
      <c r="A48" s="391" t="s">
        <v>161</v>
      </c>
      <c r="B48" s="392"/>
      <c r="C48" s="456" t="s">
        <v>162</v>
      </c>
      <c r="D48" s="316"/>
      <c r="E48" s="316"/>
      <c r="F48" s="316"/>
      <c r="G48" s="316"/>
      <c r="H48" s="316"/>
      <c r="I48" s="41">
        <f>SUM(I42:I47)</f>
        <v>1866278</v>
      </c>
      <c r="J48" s="41">
        <f>SUM(J42:J47)</f>
        <v>1881269</v>
      </c>
      <c r="K48" s="41">
        <f>SUM(K42:K47)</f>
        <v>2349833</v>
      </c>
      <c r="L48" s="49">
        <f t="shared" si="3"/>
        <v>-0.19939999999999999</v>
      </c>
      <c r="M48" s="455" t="s">
        <v>162</v>
      </c>
    </row>
  </sheetData>
  <sheetProtection algorithmName="SHA-512" hashValue="7Qn7vIUo25NcGAcGiprgFJrDWiCBQFSnpQBvCvpv31r/MK0jjyWT3Z8nNl/LvVm0c0i7NdI7BlIfKXuk6NXBrw==" saltValue="Ix7DK+MQn8olIZJAfED63A==" spinCount="100000" sheet="1" objects="1"/>
  <mergeCells count="11">
    <mergeCell ref="B1:C1"/>
    <mergeCell ref="I3:K3"/>
    <mergeCell ref="L3:L5"/>
    <mergeCell ref="L6:L7"/>
    <mergeCell ref="L8:L9"/>
    <mergeCell ref="L26:L27"/>
    <mergeCell ref="N9:AF9"/>
    <mergeCell ref="N10:AF10"/>
    <mergeCell ref="I21:I22"/>
    <mergeCell ref="L21:L22"/>
    <mergeCell ref="L24:L25"/>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567B2-2EA9-4084-AAFC-A40F2E53C17A}">
  <dimension ref="A1:AA31"/>
  <sheetViews>
    <sheetView showGridLines="0" workbookViewId="0"/>
  </sheetViews>
  <sheetFormatPr defaultColWidth="9.33203125" defaultRowHeight="13.2" x14ac:dyDescent="0.25"/>
  <cols>
    <col min="1" max="1" width="1.77734375" customWidth="1"/>
    <col min="2" max="2" width="2" customWidth="1"/>
    <col min="3" max="3" width="25.77734375" customWidth="1"/>
    <col min="4" max="4" width="17.21875" customWidth="1"/>
    <col min="5" max="5" width="4.33203125" customWidth="1"/>
    <col min="6" max="6" width="19.77734375" customWidth="1"/>
    <col min="7" max="12" width="16" customWidth="1"/>
    <col min="13" max="13" width="79.6640625" customWidth="1"/>
    <col min="14" max="14" width="9.33203125" customWidth="1"/>
    <col min="15" max="15" width="8.77734375" customWidth="1"/>
  </cols>
  <sheetData>
    <row r="1" spans="1:13" x14ac:dyDescent="0.25">
      <c r="A1" s="52" t="s">
        <v>0</v>
      </c>
      <c r="D1" s="61" t="str">
        <f>'Cover Page'!D1</f>
        <v>Edge School, Inc., The</v>
      </c>
      <c r="E1" s="53"/>
      <c r="F1" s="6" t="s">
        <v>163</v>
      </c>
      <c r="G1" s="61" t="str">
        <f>'Cover Page'!M1</f>
        <v>Pima</v>
      </c>
      <c r="H1" s="57"/>
      <c r="I1" s="6" t="s">
        <v>2</v>
      </c>
      <c r="J1" s="54" t="str">
        <f>'Cover Page'!R1</f>
        <v>108653000</v>
      </c>
    </row>
    <row r="4" spans="1:13" x14ac:dyDescent="0.25">
      <c r="A4" s="420"/>
      <c r="B4" s="421"/>
      <c r="C4" s="422"/>
      <c r="D4" s="422"/>
      <c r="E4" s="423"/>
      <c r="F4" s="424"/>
      <c r="G4" s="51" t="s">
        <v>164</v>
      </c>
      <c r="H4" s="51" t="s">
        <v>165</v>
      </c>
      <c r="I4" s="196"/>
      <c r="J4" s="649" t="s">
        <v>103</v>
      </c>
      <c r="K4" s="650"/>
      <c r="L4" s="425"/>
    </row>
    <row r="5" spans="1:13" x14ac:dyDescent="0.25">
      <c r="A5" s="84" t="s">
        <v>105</v>
      </c>
      <c r="C5" s="69"/>
      <c r="D5" s="69"/>
      <c r="E5" s="426"/>
      <c r="F5" s="309" t="s">
        <v>106</v>
      </c>
      <c r="G5" s="361" t="s">
        <v>107</v>
      </c>
      <c r="H5" s="309" t="s">
        <v>108</v>
      </c>
      <c r="I5" s="309" t="s">
        <v>109</v>
      </c>
      <c r="J5" s="309"/>
      <c r="K5" s="309"/>
      <c r="L5" s="425"/>
    </row>
    <row r="6" spans="1:13" x14ac:dyDescent="0.25">
      <c r="A6" s="363"/>
      <c r="B6" s="56"/>
      <c r="C6" s="427"/>
      <c r="D6" s="427"/>
      <c r="E6" s="428"/>
      <c r="F6" s="311">
        <v>6100</v>
      </c>
      <c r="G6" s="28">
        <v>6200</v>
      </c>
      <c r="H6" s="311" t="s">
        <v>113</v>
      </c>
      <c r="I6" s="311">
        <v>6600</v>
      </c>
      <c r="J6" s="311" t="s">
        <v>114</v>
      </c>
      <c r="K6" s="311" t="s">
        <v>26</v>
      </c>
      <c r="L6" s="425"/>
    </row>
    <row r="7" spans="1:13" x14ac:dyDescent="0.25">
      <c r="A7" s="13" t="s">
        <v>166</v>
      </c>
      <c r="B7" s="12"/>
      <c r="C7" s="12"/>
      <c r="D7" s="12"/>
      <c r="E7" s="429"/>
      <c r="F7" s="196"/>
      <c r="G7" s="196"/>
      <c r="H7" s="196"/>
      <c r="I7" s="196"/>
      <c r="J7" s="196"/>
      <c r="K7" s="196"/>
      <c r="L7" s="370"/>
    </row>
    <row r="8" spans="1:13" x14ac:dyDescent="0.25">
      <c r="A8" s="477"/>
      <c r="B8" s="58"/>
      <c r="C8" s="58" t="s">
        <v>167</v>
      </c>
      <c r="D8" s="58"/>
      <c r="E8" s="430" t="s">
        <v>27</v>
      </c>
      <c r="F8" s="33">
        <f>SUMIFS('Accounting data'!$G$2:$G$37000,'Accounting data'!$H$2:$H$37000,"1010*",'Accounting data'!$J$2:$J$37000,"1*",'Accounting data'!$K$2:$K$37000,"61*")</f>
        <v>147913</v>
      </c>
      <c r="G8" s="33">
        <f>SUMIFS('Accounting data'!$G$2:$G$37000,'Accounting data'!$H$2:$H$37000,"1010*",'Accounting data'!$J$2:$J$37000,"1*",'Accounting data'!$K$2:$K$37000,"62*")</f>
        <v>29490</v>
      </c>
      <c r="H8" s="33">
        <f>SUMIFS('Accounting data'!$G$2:$G$37000,'Accounting data'!$H$2:$H$37000,"1010*",'Accounting data'!$J$2:$J$37000,"1*",'Accounting data'!$K$2:$K$37000,"63*")</f>
        <v>0</v>
      </c>
      <c r="I8" s="33">
        <f>SUMIFS('Accounting data'!$G$2:$G$37000,'Accounting data'!$H$2:$H$37000,"1010*",'Accounting data'!$J$2:$J$37000,"1*",'Accounting data'!$K$2:$K$37000,"66*")</f>
        <v>0</v>
      </c>
      <c r="J8" s="43">
        <v>156899</v>
      </c>
      <c r="K8" s="33">
        <f t="shared" ref="K8:K13" si="0">SUM(F8:I8)</f>
        <v>177403</v>
      </c>
      <c r="L8" s="370"/>
    </row>
    <row r="9" spans="1:13" x14ac:dyDescent="0.25">
      <c r="A9" s="477"/>
      <c r="B9" s="58"/>
      <c r="C9" s="58" t="s">
        <v>168</v>
      </c>
      <c r="D9" s="58"/>
      <c r="E9" s="430" t="s">
        <v>29</v>
      </c>
      <c r="F9" s="41">
        <f>SUMIFS('Accounting data'!$G$2:$G$37000,'Accounting data'!$H$2:$H$37000,"1010*",'Accounting data'!$J$2:$J$37000,"21*",'Accounting data'!$K$2:$K$37000,"61*")</f>
        <v>0</v>
      </c>
      <c r="G9" s="41">
        <f>SUMIFS('Accounting data'!$G$2:$G$37000,'Accounting data'!$H$2:$H$37000,"1010*",'Accounting data'!$J$2:$J$37000,"21*",'Accounting data'!$K$2:$K$37000,"62*")</f>
        <v>0</v>
      </c>
      <c r="H9" s="41">
        <f>SUMIFS('Accounting data'!$G$2:$G$37000,'Accounting data'!$H$2:$H$37000,"1010*",'Accounting data'!$J$2:$J$37000,"21*",'Accounting data'!$K$2:$K$37000,"63*")</f>
        <v>0</v>
      </c>
      <c r="I9" s="41">
        <f>SUMIFS('Accounting data'!$G$2:$G$37000,'Accounting data'!$H$2:$H$37000,"1010*",'Accounting data'!$J$2:$J$37000,"21*",'Accounting data'!$K$2:$K$37000,"66*")</f>
        <v>0</v>
      </c>
      <c r="J9" s="278">
        <v>0</v>
      </c>
      <c r="K9" s="41">
        <f t="shared" si="0"/>
        <v>0</v>
      </c>
      <c r="L9" s="370"/>
    </row>
    <row r="10" spans="1:13" x14ac:dyDescent="0.25">
      <c r="A10" s="477"/>
      <c r="B10" s="58"/>
      <c r="C10" s="58" t="s">
        <v>169</v>
      </c>
      <c r="D10" s="58"/>
      <c r="E10" s="430" t="s">
        <v>31</v>
      </c>
      <c r="F10" s="41">
        <f>SUMIFS('Accounting data'!$G$2:$G$37000,'Accounting data'!$H$2:$H$37000,"1010*",'Accounting data'!$J$2:$J$37000,"22*",'Accounting data'!$K$2:$K$37000,"61*")</f>
        <v>0</v>
      </c>
      <c r="G10" s="41">
        <f>SUMIFS('Accounting data'!$G$2:$G$37000,'Accounting data'!$H$2:$H$37000,"1010*",'Accounting data'!$J$2:$J$37000,"22*",'Accounting data'!$K$2:$K$37000,"62*")</f>
        <v>0</v>
      </c>
      <c r="H10" s="41">
        <f>SUMIFS('Accounting data'!$G$2:$G$37000,'Accounting data'!$H$2:$H$37000,"1010*",'Accounting data'!$J$2:$J$37000,"22*",'Accounting data'!$K$2:$K$37000,"63*")</f>
        <v>0</v>
      </c>
      <c r="I10" s="41">
        <f>SUMIFS('Accounting data'!$G$2:$G$37000,'Accounting data'!$H$2:$H$37000,"1010*",'Accounting data'!$J$2:$J$37000,"22*",'Accounting data'!$K$2:$K$37000,"66*")</f>
        <v>0</v>
      </c>
      <c r="J10" s="278">
        <v>0</v>
      </c>
      <c r="K10" s="41">
        <f t="shared" si="0"/>
        <v>0</v>
      </c>
      <c r="L10" s="370"/>
    </row>
    <row r="11" spans="1:13" x14ac:dyDescent="0.25">
      <c r="A11" s="477"/>
      <c r="B11" s="58"/>
      <c r="C11" s="58" t="s">
        <v>170</v>
      </c>
      <c r="D11" s="58"/>
      <c r="E11" s="430" t="s">
        <v>34</v>
      </c>
      <c r="F11" s="316"/>
      <c r="G11" s="316"/>
      <c r="H11" s="41">
        <f>SUMIFS('Accounting data'!$G$2:$G$37000,'Accounting data'!$H$2:$H$37000,"1010*",'Accounting data'!$J$2:$J$37000,"23*",'Accounting data'!$K$2:$K$37000,"63*")</f>
        <v>0</v>
      </c>
      <c r="I11" s="316"/>
      <c r="J11" s="278">
        <v>0</v>
      </c>
      <c r="K11" s="41">
        <f t="shared" si="0"/>
        <v>0</v>
      </c>
      <c r="L11" s="370"/>
    </row>
    <row r="12" spans="1:13" ht="12.75" customHeight="1" x14ac:dyDescent="0.25">
      <c r="A12" s="478"/>
      <c r="B12" s="479"/>
      <c r="C12" s="479" t="s">
        <v>171</v>
      </c>
      <c r="D12" s="479"/>
      <c r="E12" s="431" t="s">
        <v>36</v>
      </c>
      <c r="F12" s="41">
        <f>SUMIFS('Accounting data'!$G$2:$G$37000,'Accounting data'!$H$2:$H$37000,"1010*",'Accounting data'!$J$2:$J$37000,"33*",'Accounting data'!$K$2:$K$37000,"61*")</f>
        <v>0</v>
      </c>
      <c r="G12" s="41">
        <f>SUMIFS('Accounting data'!$G$2:$G$37000,'Accounting data'!$H$2:$H$37000,"1010*",'Accounting data'!$J$2:$J$37000,"33*",'Accounting data'!$K$2:$K$37000,"62*")</f>
        <v>0</v>
      </c>
      <c r="H12" s="41">
        <f>SUMIFS('Accounting data'!$G$2:$G$37000,'Accounting data'!$H$2:$H$37000,"1010*",'Accounting data'!$J$2:$J$37000,"33*",'Accounting data'!$K$2:$K$37000,"63*")</f>
        <v>0</v>
      </c>
      <c r="I12" s="316"/>
      <c r="J12" s="278">
        <v>0</v>
      </c>
      <c r="K12" s="41">
        <f t="shared" si="0"/>
        <v>0</v>
      </c>
      <c r="L12" s="370"/>
      <c r="M12" s="651" t="str">
        <f>IF('Page 2'!J48=0,"",IF(OR(K13&lt;=0),"The Charter did not report any expenses for Classroom Site Project. If the Charter did not have any expense, verify by checking the box in A14 on the Cover Page.",""))</f>
        <v/>
      </c>
    </row>
    <row r="13" spans="1:13" ht="12" customHeight="1" x14ac:dyDescent="0.25">
      <c r="A13" s="478" t="s">
        <v>172</v>
      </c>
      <c r="B13" s="479"/>
      <c r="C13" s="479"/>
      <c r="D13" s="479"/>
      <c r="E13" s="431" t="s">
        <v>38</v>
      </c>
      <c r="F13" s="41">
        <f>SUM(F8:F12)</f>
        <v>147913</v>
      </c>
      <c r="G13" s="41">
        <f>SUM(G8:G12)</f>
        <v>29490</v>
      </c>
      <c r="H13" s="41">
        <f>SUM(H8:H12)</f>
        <v>0</v>
      </c>
      <c r="I13" s="41">
        <f>SUM(I8:I12)</f>
        <v>0</v>
      </c>
      <c r="J13" s="41">
        <v>156899</v>
      </c>
      <c r="K13" s="41">
        <f t="shared" si="0"/>
        <v>177403</v>
      </c>
      <c r="L13" s="370"/>
      <c r="M13" s="651"/>
    </row>
    <row r="14" spans="1:13" x14ac:dyDescent="0.25">
      <c r="A14" s="58"/>
      <c r="B14" s="58"/>
      <c r="C14" s="58"/>
      <c r="D14" s="58"/>
    </row>
    <row r="15" spans="1:13" x14ac:dyDescent="0.25">
      <c r="A15" s="58"/>
      <c r="B15" s="58"/>
      <c r="C15" s="58"/>
      <c r="D15" s="58"/>
    </row>
    <row r="16" spans="1:13" ht="16.5" customHeight="1" x14ac:dyDescent="0.25">
      <c r="A16" s="13" t="s">
        <v>173</v>
      </c>
      <c r="B16" s="13"/>
      <c r="C16" s="12"/>
      <c r="D16" s="13"/>
      <c r="E16" s="432"/>
      <c r="F16" s="47" t="s">
        <v>114</v>
      </c>
      <c r="G16" s="25" t="s">
        <v>26</v>
      </c>
    </row>
    <row r="17" spans="1:27" x14ac:dyDescent="0.25">
      <c r="A17" s="399"/>
      <c r="B17" s="433"/>
      <c r="C17" s="206" t="s">
        <v>174</v>
      </c>
      <c r="D17" s="433"/>
      <c r="E17" s="434" t="s">
        <v>40</v>
      </c>
      <c r="F17" s="41"/>
      <c r="G17" s="42">
        <v>0</v>
      </c>
    </row>
    <row r="18" spans="1:27" ht="14.25" customHeight="1" x14ac:dyDescent="0.25">
      <c r="A18" s="370"/>
      <c r="B18" s="69"/>
      <c r="C18" t="s">
        <v>175</v>
      </c>
      <c r="D18" s="69"/>
      <c r="E18" s="435" t="s">
        <v>42</v>
      </c>
      <c r="F18" s="41">
        <v>0</v>
      </c>
      <c r="G18" s="42">
        <f>SUMIFS('Accounting data'!$G$2:$G$37000,'Accounting data'!$H$2:$H$37000,"1010*",'Accounting data'!$K$2:$K$37000,"685*")</f>
        <v>0</v>
      </c>
      <c r="AA18" s="436" t="str">
        <f>IF(OR(F17="",F18="",F19=""),"yes","")</f>
        <v>yes</v>
      </c>
    </row>
    <row r="19" spans="1:27" x14ac:dyDescent="0.25">
      <c r="A19" s="363"/>
      <c r="B19" s="427"/>
      <c r="C19" s="56" t="s">
        <v>176</v>
      </c>
      <c r="D19" s="427"/>
      <c r="E19" s="437" t="s">
        <v>44</v>
      </c>
      <c r="F19" s="41"/>
      <c r="G19" s="42">
        <v>0</v>
      </c>
    </row>
    <row r="21" spans="1:27" x14ac:dyDescent="0.25">
      <c r="D21" s="56"/>
      <c r="E21" s="438"/>
      <c r="F21" s="56"/>
    </row>
    <row r="22" spans="1:27" x14ac:dyDescent="0.25">
      <c r="A22" s="439"/>
      <c r="B22" s="440"/>
      <c r="C22" s="440"/>
      <c r="D22" s="440"/>
      <c r="E22" s="440"/>
      <c r="F22" s="424" t="s">
        <v>177</v>
      </c>
    </row>
    <row r="23" spans="1:27" x14ac:dyDescent="0.25">
      <c r="A23" s="441" t="s">
        <v>178</v>
      </c>
      <c r="B23" s="442"/>
      <c r="C23" s="442"/>
      <c r="D23" s="443"/>
      <c r="E23" s="438"/>
      <c r="F23" s="311">
        <v>1010</v>
      </c>
    </row>
    <row r="24" spans="1:27" x14ac:dyDescent="0.25">
      <c r="A24" s="480" t="s">
        <v>179</v>
      </c>
      <c r="B24" s="206"/>
      <c r="C24" s="360"/>
      <c r="D24" s="433"/>
      <c r="E24" s="444" t="s">
        <v>46</v>
      </c>
      <c r="F24" s="278">
        <v>17189</v>
      </c>
    </row>
    <row r="25" spans="1:27" x14ac:dyDescent="0.25">
      <c r="A25" s="58" t="s">
        <v>180</v>
      </c>
      <c r="B25" s="68"/>
      <c r="C25" s="58"/>
      <c r="D25" s="69"/>
      <c r="E25" s="435" t="s">
        <v>48</v>
      </c>
      <c r="F25" s="278">
        <v>17189</v>
      </c>
    </row>
    <row r="26" spans="1:27" x14ac:dyDescent="0.25">
      <c r="A26" s="370"/>
      <c r="B26" t="s">
        <v>181</v>
      </c>
      <c r="C26" s="58"/>
      <c r="D26" s="69"/>
      <c r="E26" s="444" t="s">
        <v>50</v>
      </c>
      <c r="F26" s="41">
        <f>-(SUMIFS('Accounting data'!$G$2:$G$37000,'Accounting data'!$H$2:$H$37000,"1010*",'Accounting data'!$K$2:$K$37000,"3*"))</f>
        <v>164100</v>
      </c>
    </row>
    <row r="27" spans="1:27" x14ac:dyDescent="0.25">
      <c r="A27" s="370"/>
      <c r="B27" t="s">
        <v>182</v>
      </c>
      <c r="D27" s="69"/>
      <c r="E27" s="444" t="s">
        <v>52</v>
      </c>
      <c r="F27" s="41">
        <f>-(SUMIFS('Accounting data'!$G$2:$G$37000,'Accounting data'!$H$2:$H$37000,"1010*",'Accounting data'!$K$2:$K$37000,"15*"))</f>
        <v>0</v>
      </c>
    </row>
    <row r="28" spans="1:27" x14ac:dyDescent="0.25">
      <c r="A28" s="370" t="s">
        <v>184</v>
      </c>
      <c r="D28" s="69"/>
      <c r="E28" s="444" t="s">
        <v>54</v>
      </c>
      <c r="F28" s="41">
        <f>F26+F27</f>
        <v>164100</v>
      </c>
    </row>
    <row r="29" spans="1:27" x14ac:dyDescent="0.25">
      <c r="A29" s="370" t="s">
        <v>185</v>
      </c>
      <c r="D29" s="69"/>
      <c r="E29" s="444" t="s">
        <v>56</v>
      </c>
      <c r="F29" s="41">
        <f>IF(F25="",F24,F25)+F28</f>
        <v>181289</v>
      </c>
    </row>
    <row r="30" spans="1:27" x14ac:dyDescent="0.25">
      <c r="A30" s="370" t="s">
        <v>186</v>
      </c>
      <c r="D30" s="69"/>
      <c r="E30" s="444" t="s">
        <v>58</v>
      </c>
      <c r="F30" s="41">
        <f>K13+G17+G18+G19</f>
        <v>177403</v>
      </c>
    </row>
    <row r="31" spans="1:27" x14ac:dyDescent="0.25">
      <c r="A31" s="363" t="s">
        <v>187</v>
      </c>
      <c r="B31" s="56"/>
      <c r="C31" s="56"/>
      <c r="D31" s="427"/>
      <c r="E31" s="445" t="s">
        <v>60</v>
      </c>
      <c r="F31" s="406">
        <f>F29-F30</f>
        <v>3886</v>
      </c>
    </row>
  </sheetData>
  <sheetProtection algorithmName="SHA-512" hashValue="qGJp0/raBJkt6cpbQr/bshwqaHMBjb9e0YVp5BVJWaeAleHQlZiPNnL7h0GClq0UPUkkzlNIcbcsBJ7uUPoRRg==" saltValue="VhPGCAgbvuP5awzE7jVHLw==" spinCount="100000" sheet="1" objects="1"/>
  <mergeCells count="2">
    <mergeCell ref="J4:K4"/>
    <mergeCell ref="M12:M13"/>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E6B19C-07ED-48B7-ABA5-D6BCCEFE8DD4}">
  <dimension ref="A1:AA30"/>
  <sheetViews>
    <sheetView showGridLines="0" workbookViewId="0"/>
  </sheetViews>
  <sheetFormatPr defaultColWidth="8.6640625" defaultRowHeight="13.2" x14ac:dyDescent="0.25"/>
  <cols>
    <col min="1" max="1" width="1.77734375" customWidth="1"/>
    <col min="2" max="2" width="20.33203125" customWidth="1"/>
    <col min="3" max="3" width="15.33203125" customWidth="1"/>
    <col min="4" max="4" width="20" customWidth="1"/>
    <col min="5" max="5" width="5.21875" customWidth="1"/>
    <col min="6" max="9" width="15.33203125" customWidth="1"/>
    <col min="10" max="10" width="2.6640625" bestFit="1" customWidth="1"/>
    <col min="11" max="13" width="15.33203125" customWidth="1"/>
    <col min="14" max="15" width="8.77734375" customWidth="1"/>
    <col min="16" max="24" width="8.77734375" hidden="1" customWidth="1"/>
    <col min="25" max="25" width="8.77734375" customWidth="1"/>
    <col min="26" max="26" width="20.21875" customWidth="1"/>
    <col min="27" max="27" width="8.77734375" customWidth="1"/>
  </cols>
  <sheetData>
    <row r="1" spans="1:27" ht="12.75" customHeight="1" x14ac:dyDescent="0.25">
      <c r="A1" s="52" t="s">
        <v>0</v>
      </c>
      <c r="C1" s="609" t="str">
        <f>'Cover Page'!D1</f>
        <v>Edge School, Inc., The</v>
      </c>
      <c r="D1" s="609"/>
      <c r="F1" s="57"/>
      <c r="G1" s="6" t="s">
        <v>1</v>
      </c>
      <c r="H1" s="609" t="str">
        <f>'Cover Page'!M1</f>
        <v>Pima</v>
      </c>
      <c r="I1" s="609"/>
      <c r="J1" s="57"/>
      <c r="K1" s="6"/>
      <c r="L1" s="6" t="s">
        <v>2</v>
      </c>
      <c r="M1" s="54" t="str">
        <f>'Cover Page'!R1</f>
        <v>108653000</v>
      </c>
    </row>
    <row r="2" spans="1:27" ht="12.75" customHeight="1" x14ac:dyDescent="0.25">
      <c r="A2" s="57"/>
      <c r="B2" s="57"/>
      <c r="C2" s="57"/>
      <c r="D2" s="57"/>
      <c r="E2" s="57"/>
      <c r="F2" s="57"/>
      <c r="G2" s="57"/>
      <c r="H2" s="57"/>
      <c r="I2" s="57"/>
      <c r="J2" s="57"/>
    </row>
    <row r="3" spans="1:27" ht="12.75" customHeight="1" x14ac:dyDescent="0.25">
      <c r="A3" s="399"/>
      <c r="B3" s="206"/>
      <c r="C3" s="206"/>
      <c r="D3" s="206"/>
      <c r="E3" s="206"/>
      <c r="F3" s="399" t="s">
        <v>23</v>
      </c>
      <c r="G3" s="51" t="s">
        <v>183</v>
      </c>
      <c r="H3" s="649" t="s">
        <v>103</v>
      </c>
      <c r="I3" s="650"/>
      <c r="J3" s="57"/>
    </row>
    <row r="4" spans="1:27" ht="12.75" customHeight="1" x14ac:dyDescent="0.25">
      <c r="A4" s="84" t="s">
        <v>105</v>
      </c>
      <c r="F4" s="361" t="s">
        <v>188</v>
      </c>
      <c r="G4" s="309" t="s">
        <v>108</v>
      </c>
      <c r="H4" s="51"/>
      <c r="I4" s="310"/>
      <c r="J4" s="57"/>
    </row>
    <row r="5" spans="1:27" ht="12.75" customHeight="1" x14ac:dyDescent="0.25">
      <c r="A5" s="363"/>
      <c r="B5" s="56"/>
      <c r="C5" s="56"/>
      <c r="D5" s="56"/>
      <c r="E5" s="56"/>
      <c r="F5" s="361">
        <v>1000</v>
      </c>
      <c r="G5" s="309">
        <v>2000</v>
      </c>
      <c r="H5" s="311" t="s">
        <v>114</v>
      </c>
      <c r="I5" s="27" t="s">
        <v>26</v>
      </c>
      <c r="J5" s="57"/>
    </row>
    <row r="6" spans="1:27" ht="12.75" customHeight="1" x14ac:dyDescent="0.25">
      <c r="A6" s="13" t="s">
        <v>189</v>
      </c>
      <c r="B6" s="206"/>
      <c r="C6" s="206"/>
      <c r="D6" s="206"/>
      <c r="E6" s="400"/>
      <c r="F6" s="375"/>
      <c r="G6" s="375"/>
      <c r="H6" s="375"/>
      <c r="I6" s="375"/>
      <c r="J6" s="401"/>
    </row>
    <row r="7" spans="1:27" ht="12.75" customHeight="1" x14ac:dyDescent="0.25">
      <c r="A7" s="370"/>
      <c r="B7" t="s">
        <v>190</v>
      </c>
      <c r="E7" s="372">
        <v>1</v>
      </c>
      <c r="F7" s="33">
        <v>0</v>
      </c>
      <c r="G7" s="33">
        <v>0</v>
      </c>
      <c r="H7" s="33">
        <v>0</v>
      </c>
      <c r="I7" s="33">
        <f>SUM(F7:G7)</f>
        <v>0</v>
      </c>
      <c r="J7" s="369">
        <v>1</v>
      </c>
      <c r="AA7" s="148" t="str">
        <f>IF(OR(F7="",F8="",F9="",F10="",G7="",G9="",G10="",G24="",G26="",G27="",G28=""),"yes","")</f>
        <v/>
      </c>
    </row>
    <row r="8" spans="1:27" ht="12.75" customHeight="1" x14ac:dyDescent="0.25">
      <c r="A8" s="370"/>
      <c r="B8" t="s">
        <v>191</v>
      </c>
      <c r="E8" s="368">
        <v>2</v>
      </c>
      <c r="F8" s="33">
        <v>0</v>
      </c>
      <c r="G8" s="481"/>
      <c r="H8" s="278">
        <v>0</v>
      </c>
      <c r="I8" s="41">
        <f>SUM(F8:G8)</f>
        <v>0</v>
      </c>
      <c r="J8" s="369">
        <v>2</v>
      </c>
    </row>
    <row r="9" spans="1:27" ht="12.75" customHeight="1" x14ac:dyDescent="0.25">
      <c r="A9" s="370"/>
      <c r="B9" t="s">
        <v>192</v>
      </c>
      <c r="E9" s="368">
        <v>3</v>
      </c>
      <c r="F9" s="41">
        <v>8528</v>
      </c>
      <c r="G9" s="41">
        <v>7401</v>
      </c>
      <c r="H9" s="278">
        <v>10558</v>
      </c>
      <c r="I9" s="41">
        <f>SUM(F9:G9)</f>
        <v>15929</v>
      </c>
      <c r="J9" s="369">
        <v>3</v>
      </c>
    </row>
    <row r="10" spans="1:27" ht="12.75" customHeight="1" x14ac:dyDescent="0.25">
      <c r="A10" s="370"/>
      <c r="B10" t="s">
        <v>193</v>
      </c>
      <c r="E10" s="368">
        <v>4</v>
      </c>
      <c r="F10" s="41">
        <v>0</v>
      </c>
      <c r="G10" s="41">
        <v>0</v>
      </c>
      <c r="H10" s="278">
        <v>0</v>
      </c>
      <c r="I10" s="41">
        <f>SUM(F10:G10)</f>
        <v>0</v>
      </c>
      <c r="J10" s="369">
        <v>4</v>
      </c>
      <c r="K10" s="636" t="str">
        <f>IF('Page 2'!J48=0,"",IF(('Page 4'!I11=0),"If the Charter did not have any expense, verify by checking the box in A18 on the Cover Page.",""))</f>
        <v/>
      </c>
      <c r="L10" s="636"/>
      <c r="M10" s="636"/>
      <c r="N10" s="636"/>
      <c r="O10" s="636"/>
      <c r="P10" s="636"/>
      <c r="Q10" s="636"/>
      <c r="R10" s="636"/>
      <c r="S10" s="636"/>
      <c r="T10" s="636"/>
      <c r="U10" s="636"/>
      <c r="V10" s="636"/>
      <c r="W10" s="636"/>
      <c r="X10" s="636"/>
      <c r="Y10" s="636"/>
      <c r="Z10" s="636"/>
    </row>
    <row r="11" spans="1:27" ht="12.75" customHeight="1" x14ac:dyDescent="0.25">
      <c r="A11" s="363" t="s">
        <v>194</v>
      </c>
      <c r="B11" s="56"/>
      <c r="C11" s="56"/>
      <c r="D11" s="56"/>
      <c r="E11" s="364">
        <v>5</v>
      </c>
      <c r="F11" s="41">
        <f>SUM(F6:F10)</f>
        <v>8528</v>
      </c>
      <c r="G11" s="41">
        <f>SUM(G6:G10)</f>
        <v>7401</v>
      </c>
      <c r="H11" s="41">
        <f>SUM(H7:H10)</f>
        <v>10558</v>
      </c>
      <c r="I11" s="41">
        <f>SUM(I7:I10)</f>
        <v>15929</v>
      </c>
      <c r="J11" s="369">
        <v>5</v>
      </c>
      <c r="K11" s="636" t="str">
        <f>IF('Page 2'!J48=0,"",IF(('Page 4'!I11&lt;&gt;'Page 2'!J44),"Total expenses for Instructional Improvement Project on line 5 should agree to the line 35 on page 2.",""))</f>
        <v/>
      </c>
      <c r="L11" s="636"/>
      <c r="M11" s="636"/>
      <c r="N11" s="636"/>
      <c r="O11" s="636"/>
      <c r="P11" s="636"/>
      <c r="Q11" s="636"/>
      <c r="R11" s="636"/>
      <c r="S11" s="636"/>
      <c r="T11" s="636"/>
      <c r="U11" s="636"/>
      <c r="V11" s="636"/>
      <c r="W11" s="636"/>
      <c r="X11" s="636"/>
      <c r="Y11" s="636"/>
      <c r="Z11" s="636"/>
    </row>
    <row r="12" spans="1:27" ht="12.75" customHeight="1" x14ac:dyDescent="0.25">
      <c r="K12" s="53"/>
    </row>
    <row r="13" spans="1:27" ht="12.75" customHeight="1" x14ac:dyDescent="0.25">
      <c r="A13" s="399"/>
      <c r="B13" s="206"/>
      <c r="C13" s="206"/>
      <c r="D13" s="206"/>
      <c r="E13" s="208"/>
      <c r="F13" s="196"/>
    </row>
    <row r="14" spans="1:27" ht="12.75" customHeight="1" x14ac:dyDescent="0.25">
      <c r="A14" s="11" t="s">
        <v>195</v>
      </c>
      <c r="B14" s="56"/>
      <c r="C14" s="56"/>
      <c r="D14" s="56"/>
      <c r="E14" s="220"/>
      <c r="F14" s="286" t="s">
        <v>26</v>
      </c>
    </row>
    <row r="15" spans="1:27" ht="12.75" customHeight="1" x14ac:dyDescent="0.25">
      <c r="A15" s="477" t="s">
        <v>179</v>
      </c>
      <c r="B15" s="59"/>
      <c r="C15" s="58"/>
      <c r="D15" s="197"/>
      <c r="E15" s="402">
        <v>6</v>
      </c>
      <c r="F15" s="278">
        <v>5566</v>
      </c>
      <c r="G15" s="369">
        <v>6</v>
      </c>
      <c r="I15" s="53"/>
      <c r="J15" s="53"/>
    </row>
    <row r="16" spans="1:27" ht="12.75" customHeight="1" x14ac:dyDescent="0.25">
      <c r="A16" s="58" t="s">
        <v>180</v>
      </c>
      <c r="B16" s="52"/>
      <c r="C16" s="52"/>
      <c r="D16" s="197"/>
      <c r="E16" s="402">
        <v>7</v>
      </c>
      <c r="F16" s="278">
        <v>6712.98</v>
      </c>
      <c r="G16" s="369">
        <v>7</v>
      </c>
      <c r="I16" s="53"/>
      <c r="J16" s="53"/>
    </row>
    <row r="17" spans="1:12" ht="12.75" customHeight="1" x14ac:dyDescent="0.25">
      <c r="A17" s="212" t="s">
        <v>181</v>
      </c>
      <c r="B17" s="191"/>
      <c r="D17" s="255"/>
      <c r="E17" s="402">
        <v>8</v>
      </c>
      <c r="F17" s="41">
        <f>-(SUMIFS('Accounting data'!$G$2:$G$37000,'Accounting data'!$H$2:$H$37000,"1020*",'Accounting data'!$K$2:$K$37000,"1*")+SUMIFS('Accounting data'!$G$2:$G$37000,'Accounting data'!$H$2:$H$37000,"1020*",'Accounting data'!$K$2:$K$37000,"2*")+SUMIFS('Accounting data'!$G$2:$G$37000,'Accounting data'!$H$2:$H$37000,"1020*",'Accounting data'!$K$2:$K$37000,"3*")+SUMIFS('Accounting data'!$G$2:$G$37000,'Accounting data'!$H$2:$H$37000,"1020*",'Accounting data'!$K$2:$K$37000,"4*")+SUMIFS('Accounting data'!$G$2:$G$37000,'Accounting data'!$H$2:$H$37000,"1020*",'Accounting data'!$K$2:$K$37000,"Other*"))</f>
        <v>10365</v>
      </c>
      <c r="G17" s="369">
        <v>8</v>
      </c>
      <c r="I17" s="53"/>
      <c r="J17" s="53"/>
    </row>
    <row r="18" spans="1:12" ht="12.75" customHeight="1" x14ac:dyDescent="0.25">
      <c r="A18" s="212" t="s">
        <v>196</v>
      </c>
      <c r="B18" s="191"/>
      <c r="D18" s="255"/>
      <c r="E18" s="402">
        <v>9</v>
      </c>
      <c r="F18" s="41">
        <f>IF(F16="",F15,F16)+F17</f>
        <v>17078</v>
      </c>
      <c r="G18" s="369">
        <v>9</v>
      </c>
      <c r="I18" s="53"/>
      <c r="J18" s="53"/>
    </row>
    <row r="19" spans="1:12" ht="12.75" customHeight="1" x14ac:dyDescent="0.25">
      <c r="A19" s="212" t="s">
        <v>197</v>
      </c>
      <c r="D19" s="255"/>
      <c r="E19" s="402">
        <v>10</v>
      </c>
      <c r="F19" s="41">
        <f>ActualTotalInstImpExp</f>
        <v>15929</v>
      </c>
      <c r="G19" s="369">
        <v>10</v>
      </c>
      <c r="I19" s="53"/>
      <c r="J19" s="53"/>
    </row>
    <row r="20" spans="1:12" ht="12.75" customHeight="1" x14ac:dyDescent="0.25">
      <c r="A20" s="403" t="s">
        <v>198</v>
      </c>
      <c r="B20" s="56"/>
      <c r="C20" s="56"/>
      <c r="D20" s="404"/>
      <c r="E20" s="405">
        <v>11</v>
      </c>
      <c r="F20" s="406">
        <f>F18-F19</f>
        <v>1149</v>
      </c>
      <c r="G20" s="369">
        <v>11</v>
      </c>
    </row>
    <row r="21" spans="1:12" ht="12.75" customHeight="1" x14ac:dyDescent="0.25">
      <c r="A21" s="197"/>
      <c r="D21" s="197"/>
      <c r="E21" s="402"/>
      <c r="F21" s="407"/>
      <c r="G21" s="369"/>
    </row>
    <row r="22" spans="1:12" ht="12.75" customHeight="1" x14ac:dyDescent="0.25">
      <c r="A22" s="399"/>
      <c r="B22" s="206"/>
      <c r="C22" s="206"/>
      <c r="D22" s="205"/>
      <c r="E22" s="408"/>
      <c r="F22" s="409"/>
      <c r="G22" s="409"/>
      <c r="H22" s="369"/>
    </row>
    <row r="23" spans="1:12" ht="12.75" customHeight="1" x14ac:dyDescent="0.25">
      <c r="A23" s="652" t="s">
        <v>199</v>
      </c>
      <c r="B23" s="652"/>
      <c r="C23" s="652"/>
      <c r="D23" s="652"/>
      <c r="E23" s="410"/>
      <c r="F23" s="411" t="s">
        <v>114</v>
      </c>
      <c r="G23" s="411" t="s">
        <v>26</v>
      </c>
      <c r="H23" s="412"/>
    </row>
    <row r="24" spans="1:12" ht="12.75" customHeight="1" x14ac:dyDescent="0.25">
      <c r="A24" s="413"/>
      <c r="B24" s="206" t="s">
        <v>200</v>
      </c>
      <c r="C24" s="206"/>
      <c r="D24" s="414"/>
      <c r="E24" s="415">
        <v>1</v>
      </c>
      <c r="F24" s="395"/>
      <c r="G24" s="278">
        <v>0</v>
      </c>
      <c r="H24" s="416">
        <v>1</v>
      </c>
    </row>
    <row r="25" spans="1:12" ht="12.75" customHeight="1" x14ac:dyDescent="0.25">
      <c r="A25" s="417"/>
      <c r="B25" t="s">
        <v>201</v>
      </c>
      <c r="D25" s="255"/>
      <c r="E25" s="418">
        <v>2</v>
      </c>
      <c r="F25" s="395"/>
      <c r="G25">
        <v>0</v>
      </c>
      <c r="H25" s="416">
        <v>2</v>
      </c>
    </row>
    <row r="26" spans="1:12" ht="12.75" customHeight="1" x14ac:dyDescent="0.25">
      <c r="A26" s="417"/>
      <c r="B26" t="s">
        <v>202</v>
      </c>
      <c r="D26" s="255"/>
      <c r="E26" s="418">
        <v>3</v>
      </c>
      <c r="F26" s="395"/>
      <c r="G26" s="278">
        <v>0</v>
      </c>
      <c r="H26" s="416">
        <v>3</v>
      </c>
    </row>
    <row r="27" spans="1:12" ht="12.75" customHeight="1" x14ac:dyDescent="0.25">
      <c r="A27" s="417"/>
      <c r="B27" t="s">
        <v>203</v>
      </c>
      <c r="D27" s="255"/>
      <c r="E27" s="418">
        <v>4</v>
      </c>
      <c r="F27" s="395"/>
      <c r="G27" s="278">
        <v>0</v>
      </c>
      <c r="H27" s="416">
        <v>4</v>
      </c>
    </row>
    <row r="28" spans="1:12" ht="12.75" customHeight="1" x14ac:dyDescent="0.25">
      <c r="A28" s="417"/>
      <c r="B28" t="s">
        <v>204</v>
      </c>
      <c r="D28" s="255"/>
      <c r="E28" s="418">
        <v>5</v>
      </c>
      <c r="F28" s="395"/>
      <c r="G28" s="278">
        <v>0</v>
      </c>
      <c r="H28" s="416">
        <v>5</v>
      </c>
    </row>
    <row r="29" spans="1:12" ht="12.75" customHeight="1" x14ac:dyDescent="0.25">
      <c r="A29" s="363" t="s">
        <v>205</v>
      </c>
      <c r="B29" s="56"/>
      <c r="C29" s="56"/>
      <c r="D29" s="56"/>
      <c r="E29" s="405">
        <v>6</v>
      </c>
      <c r="F29" s="278"/>
      <c r="G29" s="41">
        <f>SUM(G24:G28)</f>
        <v>0</v>
      </c>
      <c r="H29" s="416">
        <v>6</v>
      </c>
      <c r="I29" s="57"/>
      <c r="J29" s="57"/>
      <c r="K29" s="57"/>
      <c r="L29" s="57"/>
    </row>
    <row r="30" spans="1:12" ht="12.75" customHeight="1" x14ac:dyDescent="0.25">
      <c r="F30" s="419"/>
      <c r="G30" s="419"/>
      <c r="H30" s="419"/>
      <c r="I30" s="419"/>
      <c r="J30" s="419"/>
      <c r="K30" s="223"/>
      <c r="L30" s="419"/>
    </row>
  </sheetData>
  <sheetProtection algorithmName="SHA-512" hashValue="17sdF8iQ425VPHdMhx5E+OGQrXdR3WkcHW4LeWp2dTYVxsyycaCKZI+e7VB4WzUvaklTAC1/Fty1cKK+VXzNjA==" saltValue="GOpGQfw/rYA5LU6grpAcnA==" spinCount="100000" sheet="1" objects="1"/>
  <mergeCells count="6">
    <mergeCell ref="A23:D23"/>
    <mergeCell ref="C1:D1"/>
    <mergeCell ref="H1:I1"/>
    <mergeCell ref="H3:I3"/>
    <mergeCell ref="K10:Z10"/>
    <mergeCell ref="K11:Z11"/>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C18DB-0724-440E-87A7-0293D325255D}">
  <dimension ref="A1:Q48"/>
  <sheetViews>
    <sheetView showGridLines="0" workbookViewId="0">
      <selection activeCell="K20" sqref="K20"/>
    </sheetView>
  </sheetViews>
  <sheetFormatPr defaultColWidth="9.33203125" defaultRowHeight="13.2" x14ac:dyDescent="0.25"/>
  <cols>
    <col min="1" max="1" width="1.77734375" customWidth="1"/>
    <col min="2" max="2" width="2" customWidth="1"/>
    <col min="3" max="3" width="17" customWidth="1"/>
    <col min="4" max="4" width="24" customWidth="1"/>
    <col min="5" max="5" width="4.33203125" bestFit="1" customWidth="1"/>
    <col min="6" max="6" width="12.77734375" customWidth="1"/>
    <col min="7" max="7" width="14.88671875" customWidth="1"/>
    <col min="8" max="10" width="12.77734375" customWidth="1"/>
    <col min="11" max="11" width="14.77734375" customWidth="1"/>
    <col min="12" max="16" width="12.77734375" customWidth="1"/>
    <col min="17" max="17" width="3.6640625" bestFit="1" customWidth="1"/>
  </cols>
  <sheetData>
    <row r="1" spans="1:17" ht="12" customHeight="1" x14ac:dyDescent="0.25">
      <c r="A1" s="52" t="s">
        <v>0</v>
      </c>
      <c r="D1" s="609" t="str">
        <f>'Cover Page'!D1</f>
        <v>Edge School, Inc., The</v>
      </c>
      <c r="E1" s="609"/>
      <c r="F1" s="57"/>
      <c r="G1" s="57"/>
      <c r="H1" s="57"/>
      <c r="J1" s="6" t="s">
        <v>1</v>
      </c>
      <c r="K1" s="609" t="str">
        <f>'Cover Page'!M1</f>
        <v>Pima</v>
      </c>
      <c r="L1" s="609"/>
      <c r="N1" s="6" t="s">
        <v>2</v>
      </c>
      <c r="O1" s="6"/>
      <c r="P1" s="54" t="str">
        <f>'Cover Page'!R1</f>
        <v>108653000</v>
      </c>
    </row>
    <row r="2" spans="1:17" ht="12" customHeight="1" x14ac:dyDescent="0.25">
      <c r="A2" s="188"/>
      <c r="B2" s="188"/>
      <c r="C2" s="188"/>
      <c r="D2" s="188"/>
      <c r="E2" s="188"/>
      <c r="F2" s="188"/>
      <c r="G2" s="188"/>
      <c r="H2" s="188"/>
      <c r="I2" s="188"/>
      <c r="J2" s="188"/>
      <c r="K2" s="188"/>
    </row>
    <row r="3" spans="1:17" ht="12" customHeight="1" x14ac:dyDescent="0.25">
      <c r="A3" s="13"/>
      <c r="B3" s="206"/>
      <c r="C3" s="206"/>
      <c r="D3" s="206"/>
      <c r="E3" s="208"/>
      <c r="F3" s="482" t="s">
        <v>206</v>
      </c>
      <c r="G3" s="668" t="s">
        <v>180</v>
      </c>
      <c r="H3" s="208"/>
      <c r="I3" s="51"/>
      <c r="J3" s="307" t="s">
        <v>207</v>
      </c>
      <c r="K3" s="51" t="s">
        <v>102</v>
      </c>
      <c r="L3" s="208"/>
      <c r="M3" s="196"/>
      <c r="N3" s="649" t="s">
        <v>208</v>
      </c>
      <c r="O3" s="671"/>
      <c r="P3" s="51" t="s">
        <v>209</v>
      </c>
    </row>
    <row r="4" spans="1:17" ht="12" customHeight="1" x14ac:dyDescent="0.25">
      <c r="A4" s="84" t="s">
        <v>210</v>
      </c>
      <c r="E4" s="213"/>
      <c r="F4" s="483" t="s">
        <v>211</v>
      </c>
      <c r="G4" s="669"/>
      <c r="H4" s="310" t="s">
        <v>26</v>
      </c>
      <c r="I4" s="309" t="s">
        <v>106</v>
      </c>
      <c r="J4" s="361" t="s">
        <v>107</v>
      </c>
      <c r="K4" s="309" t="s">
        <v>108</v>
      </c>
      <c r="L4" s="310" t="s">
        <v>109</v>
      </c>
      <c r="M4" s="309" t="s">
        <v>110</v>
      </c>
      <c r="N4" s="362"/>
      <c r="P4" s="309" t="s">
        <v>211</v>
      </c>
    </row>
    <row r="5" spans="1:17" ht="13.95" customHeight="1" x14ac:dyDescent="0.25">
      <c r="A5" s="363"/>
      <c r="B5" s="56"/>
      <c r="C5" s="56"/>
      <c r="D5" s="56"/>
      <c r="E5" s="364"/>
      <c r="F5" s="484" t="s">
        <v>212</v>
      </c>
      <c r="G5" s="670"/>
      <c r="H5" s="365" t="s">
        <v>213</v>
      </c>
      <c r="I5" s="311">
        <v>6100</v>
      </c>
      <c r="J5" s="28">
        <v>6200</v>
      </c>
      <c r="K5" s="311" t="s">
        <v>113</v>
      </c>
      <c r="L5" s="27">
        <v>6600</v>
      </c>
      <c r="M5" s="311">
        <v>6800</v>
      </c>
      <c r="N5" s="366" t="s">
        <v>114</v>
      </c>
      <c r="O5" s="367" t="s">
        <v>26</v>
      </c>
      <c r="P5" s="311" t="s">
        <v>212</v>
      </c>
    </row>
    <row r="6" spans="1:17" ht="11.25" customHeight="1" x14ac:dyDescent="0.25">
      <c r="A6" s="13" t="s">
        <v>214</v>
      </c>
      <c r="B6" s="206"/>
      <c r="C6" s="206"/>
      <c r="D6" s="206"/>
      <c r="F6" s="662"/>
      <c r="G6" s="45"/>
      <c r="H6" s="662"/>
      <c r="I6" s="662"/>
      <c r="J6" s="662"/>
      <c r="K6" s="662"/>
      <c r="L6" s="662"/>
      <c r="M6" s="662"/>
      <c r="N6" s="662"/>
      <c r="O6" s="45"/>
      <c r="P6" s="662"/>
    </row>
    <row r="7" spans="1:17" ht="11.25" customHeight="1" x14ac:dyDescent="0.25">
      <c r="A7" s="84" t="s">
        <v>181</v>
      </c>
      <c r="E7" s="368"/>
      <c r="F7" s="663"/>
      <c r="G7" s="44"/>
      <c r="H7" s="663"/>
      <c r="I7" s="663"/>
      <c r="J7" s="663"/>
      <c r="K7" s="663"/>
      <c r="L7" s="663"/>
      <c r="M7" s="663"/>
      <c r="N7" s="663"/>
      <c r="O7" s="44"/>
      <c r="P7" s="663"/>
    </row>
    <row r="8" spans="1:17" ht="12" customHeight="1" x14ac:dyDescent="0.25">
      <c r="A8" s="84"/>
      <c r="B8" t="s">
        <v>215</v>
      </c>
      <c r="E8" s="368">
        <v>1</v>
      </c>
      <c r="F8" s="318"/>
      <c r="G8" s="318"/>
      <c r="H8" s="41">
        <f>-(SUMIFS('Accounting data'!$G$2:$G$37000,'Accounting data'!$H$2:$H$37000,"1071*",'Accounting data'!$K$2:$K$37000,"32*"))</f>
        <v>0</v>
      </c>
      <c r="I8" s="318"/>
      <c r="J8" s="318"/>
      <c r="K8" s="318"/>
      <c r="L8" s="318"/>
      <c r="M8" s="318"/>
      <c r="N8" s="318"/>
      <c r="O8" s="318"/>
      <c r="P8" s="318"/>
      <c r="Q8" s="369">
        <v>1</v>
      </c>
    </row>
    <row r="9" spans="1:17" ht="12" customHeight="1" x14ac:dyDescent="0.25">
      <c r="A9" s="84"/>
      <c r="B9" t="s">
        <v>216</v>
      </c>
      <c r="E9" s="368">
        <v>2</v>
      </c>
      <c r="F9" s="318"/>
      <c r="G9" s="318"/>
      <c r="H9" s="41">
        <f>-(SUMIFS('Accounting data'!$G$2:$G$37000,'Accounting data'!$H$2:$H$37000,"1071*",'Accounting data'!$K$2:$K$37000,"15*"))</f>
        <v>0</v>
      </c>
      <c r="I9" s="318"/>
      <c r="J9" s="318"/>
      <c r="K9" s="318"/>
      <c r="L9" s="318"/>
      <c r="M9" s="318"/>
      <c r="N9" s="318"/>
      <c r="O9" s="318"/>
      <c r="P9" s="318"/>
      <c r="Q9" s="369">
        <v>2</v>
      </c>
    </row>
    <row r="10" spans="1:17" ht="12" customHeight="1" x14ac:dyDescent="0.25">
      <c r="A10" s="370" t="s">
        <v>217</v>
      </c>
      <c r="E10" s="368">
        <v>3</v>
      </c>
      <c r="F10" s="318"/>
      <c r="G10" s="318"/>
      <c r="H10" s="41">
        <f>SUM(H8:H9)</f>
        <v>0</v>
      </c>
      <c r="I10" s="371"/>
      <c r="J10" s="371"/>
      <c r="K10" s="371"/>
      <c r="L10" s="371"/>
      <c r="M10" s="371"/>
      <c r="N10" s="318"/>
      <c r="O10" s="318"/>
      <c r="P10" s="318"/>
      <c r="Q10" s="369">
        <v>3</v>
      </c>
    </row>
    <row r="11" spans="1:17" ht="11.25" customHeight="1" x14ac:dyDescent="0.25">
      <c r="A11" s="84" t="s">
        <v>105</v>
      </c>
      <c r="E11" s="372"/>
      <c r="F11" s="373"/>
      <c r="G11" s="374"/>
      <c r="H11" s="657"/>
      <c r="I11" s="375"/>
      <c r="J11" s="375"/>
      <c r="K11" s="375"/>
      <c r="L11" s="375"/>
      <c r="M11" s="375"/>
      <c r="N11" s="375"/>
      <c r="O11" s="375"/>
      <c r="P11" s="376"/>
    </row>
    <row r="12" spans="1:17" ht="12" customHeight="1" x14ac:dyDescent="0.25">
      <c r="A12" s="370" t="s">
        <v>218</v>
      </c>
      <c r="F12" s="377"/>
      <c r="G12" s="378"/>
      <c r="H12" s="656"/>
      <c r="I12" s="379"/>
      <c r="J12" s="379"/>
      <c r="K12" s="379"/>
      <c r="L12" s="379"/>
      <c r="M12" s="379"/>
      <c r="N12" s="379"/>
      <c r="O12" s="379"/>
      <c r="P12" s="380"/>
    </row>
    <row r="13" spans="1:17" ht="12" customHeight="1" x14ac:dyDescent="0.25">
      <c r="A13" s="370"/>
      <c r="B13" t="s">
        <v>219</v>
      </c>
      <c r="E13" s="372">
        <v>4</v>
      </c>
      <c r="F13" s="381"/>
      <c r="G13" s="382"/>
      <c r="H13" s="658"/>
      <c r="I13" s="33">
        <f>SUMIFS('Accounting data'!$G$2:$G$37000,'Accounting data'!$H$2:$H$37000,"1071*",'Accounting data'!$I$2:$I$37000,"260*",'Accounting data'!$J$2:$J$37000,"1*",'Accounting data'!$K$2:$K$37000,"61*")</f>
        <v>0</v>
      </c>
      <c r="J13" s="33">
        <f>SUMIFS('Accounting data'!$G$2:$G$37000,'Accounting data'!$H$2:$H$37000,"1071*",'Accounting data'!$I$2:$I$37000,"260*",'Accounting data'!$J$2:$J$37000,"1*",'Accounting data'!$K$2:$K$37000,"62*")</f>
        <v>0</v>
      </c>
      <c r="K13" s="33">
        <f>SUMIFS('Accounting data'!$G$2:$G$37000,'Accounting data'!$H$2:$H$37000,"1071*",'Accounting data'!$I$2:$I$37000,"260*",'Accounting data'!$J$2:$J$37000,"1*",'Accounting data'!$K$2:$K$37000,"63*")</f>
        <v>0</v>
      </c>
      <c r="L13" s="33">
        <f>SUMIFS('Accounting data'!$G$2:$G$37000,'Accounting data'!$H$2:$H$37000,"1071*",'Accounting data'!$I$2:$I$37000,"260*",'Accounting data'!$J$2:$J$37000,"1*",'Accounting data'!$K$2:$K$37000,"66*")</f>
        <v>0</v>
      </c>
      <c r="M13" s="33">
        <f>SUMIFS('Accounting data'!$G$2:$G$37000,'Accounting data'!$H$2:$H$37000,"1071*",'Accounting data'!$I$2:$I$37000,"260*",'Accounting data'!$J$2:$J$37000,"1*",'Accounting data'!$K$2:$K$37000,"68*")</f>
        <v>0</v>
      </c>
      <c r="N13" s="33">
        <v>0</v>
      </c>
      <c r="O13" s="33">
        <f>SUM(I13:M13)</f>
        <v>0</v>
      </c>
      <c r="P13" s="383"/>
      <c r="Q13" s="369">
        <v>4</v>
      </c>
    </row>
    <row r="14" spans="1:17" ht="12" customHeight="1" x14ac:dyDescent="0.25">
      <c r="A14" s="370"/>
      <c r="B14" t="s">
        <v>220</v>
      </c>
      <c r="F14" s="373"/>
      <c r="G14" s="374"/>
      <c r="H14" s="657"/>
      <c r="I14" s="379"/>
      <c r="J14" s="379"/>
      <c r="K14" s="379"/>
      <c r="L14" s="379"/>
      <c r="M14" s="379"/>
      <c r="N14" s="664">
        <v>0</v>
      </c>
      <c r="O14" s="666">
        <f>SUM(I15:M15)</f>
        <v>0</v>
      </c>
      <c r="P14" s="376"/>
    </row>
    <row r="15" spans="1:17" ht="12" customHeight="1" x14ac:dyDescent="0.25">
      <c r="A15" s="370"/>
      <c r="C15" t="s">
        <v>221</v>
      </c>
      <c r="E15" s="368">
        <v>5</v>
      </c>
      <c r="F15" s="381"/>
      <c r="G15" s="382"/>
      <c r="H15" s="658"/>
      <c r="I15" s="33">
        <f>SUMIFS('Accounting data'!$G$2:$G$37000,'Accounting data'!$H$2:$H$37000,"1071*",'Accounting data'!$I$2:$I$37000,"260*",'Accounting data'!$J$2:$J$37000,"21*",'Accounting data'!$K$2:$K$37000,"61*")</f>
        <v>0</v>
      </c>
      <c r="J15" s="33">
        <f>SUMIFS('Accounting data'!$G$2:$G$37000,'Accounting data'!$H$2:$H$37000,"1071*",'Accounting data'!$I$2:$I$37000,"260*",'Accounting data'!$J$2:$J$37000,"21*",'Accounting data'!$K$2:$K$37000,"62*")</f>
        <v>0</v>
      </c>
      <c r="K15" s="33">
        <f>SUMIFS('Accounting data'!$G$2:$G$37000,'Accounting data'!$H$2:$H$37000,"1071*",'Accounting data'!$I$2:$I$37000,"260*",'Accounting data'!$J$2:$J$37000,"21*",'Accounting data'!$K$2:$K$37000,"63*")</f>
        <v>0</v>
      </c>
      <c r="L15" s="33">
        <f>SUMIFS('Accounting data'!$G$2:$G$37000,'Accounting data'!$H$2:$H$37000,"1071*",'Accounting data'!$I$2:$I$37000,"260*",'Accounting data'!$J$2:$J$37000,"21*",'Accounting data'!$K$2:$K$37000,"66*")</f>
        <v>0</v>
      </c>
      <c r="M15" s="33">
        <f>SUMIFS('Accounting data'!$G$2:$G$37000,'Accounting data'!$H$2:$H$37000,"1071*",'Accounting data'!$I$2:$I$37000,"260*",'Accounting data'!$J$2:$J$37000,"21*",'Accounting data'!$K$2:$K$37000,"68*")</f>
        <v>0</v>
      </c>
      <c r="N15" s="665"/>
      <c r="O15" s="667"/>
      <c r="P15" s="383"/>
      <c r="Q15" s="369">
        <v>5</v>
      </c>
    </row>
    <row r="16" spans="1:17" ht="12" customHeight="1" x14ac:dyDescent="0.25">
      <c r="A16" s="370"/>
      <c r="C16" t="s">
        <v>222</v>
      </c>
      <c r="E16" s="372">
        <v>6</v>
      </c>
      <c r="F16" s="384"/>
      <c r="G16" s="385"/>
      <c r="H16" s="386"/>
      <c r="I16" s="33">
        <f>SUMIFS('Accounting data'!$G$2:$G$37000,'Accounting data'!$H$2:$H$37000,"1071*",'Accounting data'!$I$2:$I$37000,"260*",'Accounting data'!$J$2:$J$37000,"22*",'Accounting data'!$K$2:$K$37000,"61*")</f>
        <v>0</v>
      </c>
      <c r="J16" s="33">
        <f>SUMIFS('Accounting data'!$G$2:$G$37000,'Accounting data'!$H$2:$H$37000,"1071*",'Accounting data'!$I$2:$I$37000,"260*",'Accounting data'!$J$2:$J$37000,"22*",'Accounting data'!$K$2:$K$37000,"62*")</f>
        <v>0</v>
      </c>
      <c r="K16" s="33">
        <f>SUMIFS('Accounting data'!$G$2:$G$37000,'Accounting data'!$H$2:$H$37000,"1071*",'Accounting data'!$I$2:$I$37000,"260*",'Accounting data'!$J$2:$J$37000,"22*",'Accounting data'!$K$2:$K$37000,"63*")</f>
        <v>0</v>
      </c>
      <c r="L16" s="33">
        <f>SUMIFS('Accounting data'!$G$2:$G$37000,'Accounting data'!$H$2:$H$37000,"1071*",'Accounting data'!$I$2:$I$37000,"260*",'Accounting data'!$J$2:$J$37000,"22*",'Accounting data'!$K$2:$K$37000,"66*")</f>
        <v>0</v>
      </c>
      <c r="M16" s="33">
        <f>SUMIFS('Accounting data'!$G$2:$G$37000,'Accounting data'!$H$2:$H$37000,"1071*",'Accounting data'!$I$2:$I$37000,"260*",'Accounting data'!$J$2:$J$37000,"22*",'Accounting data'!$K$2:$K$37000,"68*")</f>
        <v>0</v>
      </c>
      <c r="N16" s="278">
        <v>0</v>
      </c>
      <c r="O16" s="41">
        <f t="shared" ref="O16:O21" si="0">SUM(I16:M16)</f>
        <v>0</v>
      </c>
      <c r="P16" s="387"/>
      <c r="Q16" s="369">
        <v>6</v>
      </c>
    </row>
    <row r="17" spans="1:17" ht="12" customHeight="1" x14ac:dyDescent="0.25">
      <c r="A17" s="370"/>
      <c r="C17" t="s">
        <v>223</v>
      </c>
      <c r="E17" s="368">
        <v>7</v>
      </c>
      <c r="F17" s="384"/>
      <c r="G17" s="385"/>
      <c r="H17" s="386"/>
      <c r="I17" s="41">
        <f>SUMIFS('Accounting data'!$G$2:$G$37000,'Accounting data'!$H$2:$H$37000,"1071*",'Accounting data'!$I$2:$I$37000,"260*",'Accounting data'!$J$2:$J$37000,"23*",'Accounting data'!$K$2:$K$37000,"61*")</f>
        <v>0</v>
      </c>
      <c r="J17" s="41">
        <f>SUMIFS('Accounting data'!$G$2:$G$37000,'Accounting data'!$H$2:$H$37000,"1071*",'Accounting data'!$I$2:$I$37000,"260*",'Accounting data'!$J$2:$J$37000,"23*",'Accounting data'!$K$2:$K$37000,"62*")</f>
        <v>0</v>
      </c>
      <c r="K17" s="41">
        <f>SUMIFS('Accounting data'!$G$2:$G$37000,'Accounting data'!$H$2:$H$37000,"1071*",'Accounting data'!$I$2:$I$37000,"260*",'Accounting data'!$J$2:$J$37000,"23*",'Accounting data'!$K$2:$K$37000,"63*")</f>
        <v>0</v>
      </c>
      <c r="L17" s="41">
        <f>SUMIFS('Accounting data'!$G$2:$G$37000,'Accounting data'!$H$2:$H$37000,"1071*",'Accounting data'!$I$2:$I$37000,"260*",'Accounting data'!$J$2:$J$37000,"23*",'Accounting data'!$K$2:$K$37000,"66*")</f>
        <v>0</v>
      </c>
      <c r="M17" s="41">
        <f>SUMIFS('Accounting data'!$G$2:$G$37000,'Accounting data'!$H$2:$H$37000,"1071*",'Accounting data'!$I$2:$I$37000,"260*",'Accounting data'!$J$2:$J$37000,"23*",'Accounting data'!$K$2:$K$37000,"68*")</f>
        <v>0</v>
      </c>
      <c r="N17" s="278">
        <v>0</v>
      </c>
      <c r="O17" s="41">
        <f t="shared" si="0"/>
        <v>0</v>
      </c>
      <c r="P17" s="387"/>
      <c r="Q17" s="369">
        <v>7</v>
      </c>
    </row>
    <row r="18" spans="1:17" ht="12" customHeight="1" x14ac:dyDescent="0.25">
      <c r="A18" s="370"/>
      <c r="C18" t="s">
        <v>224</v>
      </c>
      <c r="E18" s="368">
        <v>8</v>
      </c>
      <c r="F18" s="384"/>
      <c r="G18" s="385"/>
      <c r="H18" s="386"/>
      <c r="I18" s="41">
        <f>SUMIFS('Accounting data'!$G$2:$G$37000,'Accounting data'!$H$2:$H$37000,"1071*",'Accounting data'!$I$2:$I$37000,"260*",'Accounting data'!$J$2:$J$37000,"24*",'Accounting data'!$K$2:$K$37000,"61*")</f>
        <v>0</v>
      </c>
      <c r="J18" s="41">
        <f>SUMIFS('Accounting data'!$G$2:$G$37000,'Accounting data'!$H$2:$H$37000,"1071*",'Accounting data'!$I$2:$I$37000,"260*",'Accounting data'!$J$2:$J$37000,"24*",'Accounting data'!$K$2:$K$37000,"62*")</f>
        <v>0</v>
      </c>
      <c r="K18" s="41">
        <f>SUMIFS('Accounting data'!$G$2:$G$37000,'Accounting data'!$H$2:$H$37000,"1071*",'Accounting data'!$I$2:$I$37000,"260*",'Accounting data'!$J$2:$J$37000,"24*",'Accounting data'!$K$2:$K$37000,"63*")</f>
        <v>0</v>
      </c>
      <c r="L18" s="41">
        <f>SUMIFS('Accounting data'!$G$2:$G$37000,'Accounting data'!$H$2:$H$37000,"1071*",'Accounting data'!$I$2:$I$37000,"260*",'Accounting data'!$J$2:$J$37000,"24*",'Accounting data'!$K$2:$K$37000,"66*")</f>
        <v>0</v>
      </c>
      <c r="M18" s="41">
        <f>SUMIFS('Accounting data'!$G$2:$G$37000,'Accounting data'!$H$2:$H$37000,"1071*",'Accounting data'!$I$2:$I$37000,"260*",'Accounting data'!$J$2:$J$37000,"24*",'Accounting data'!$K$2:$K$37000,"68*")</f>
        <v>0</v>
      </c>
      <c r="N18" s="278">
        <v>0</v>
      </c>
      <c r="O18" s="41">
        <f t="shared" si="0"/>
        <v>0</v>
      </c>
      <c r="P18" s="387"/>
      <c r="Q18" s="369">
        <v>8</v>
      </c>
    </row>
    <row r="19" spans="1:17" ht="12" customHeight="1" x14ac:dyDescent="0.25">
      <c r="A19" s="370"/>
      <c r="C19" t="s">
        <v>225</v>
      </c>
      <c r="E19" s="368">
        <v>9</v>
      </c>
      <c r="F19" s="384"/>
      <c r="G19" s="385"/>
      <c r="H19" s="386"/>
      <c r="I19" s="41">
        <f>SUMIFS('Accounting data'!$G$2:$G$37000,'Accounting data'!$H$2:$H$37000,"1071*",'Accounting data'!$I$2:$I$37000,"260*",'Accounting data'!$J$2:$J$37000,"25*",'Accounting data'!$K$2:$K$37000,"61*")</f>
        <v>0</v>
      </c>
      <c r="J19" s="41">
        <f>SUMIFS('Accounting data'!$G$2:$G$37000,'Accounting data'!$H$2:$H$37000,"1071*",'Accounting data'!$I$2:$I$37000,"260*",'Accounting data'!$J$2:$J$37000,"25*",'Accounting data'!$K$2:$K$37000,"62*")</f>
        <v>0</v>
      </c>
      <c r="K19" s="41">
        <f>SUMIFS('Accounting data'!$G$2:$G$37000,'Accounting data'!$H$2:$H$37000,"1071*",'Accounting data'!$I$2:$I$37000,"260*",'Accounting data'!$J$2:$J$37000,"25*",'Accounting data'!$K$2:$K$37000,"63*")</f>
        <v>0</v>
      </c>
      <c r="L19" s="41">
        <f>SUMIFS('Accounting data'!$G$2:$G$37000,'Accounting data'!$H$2:$H$37000,"1071*",'Accounting data'!$I$2:$I$37000,"260*",'Accounting data'!$J$2:$J$37000,"25*",'Accounting data'!$K$2:$K$37000,"66*")</f>
        <v>0</v>
      </c>
      <c r="M19" s="41">
        <f>SUMIFS('Accounting data'!$G$2:$G$37000,'Accounting data'!$H$2:$H$37000,"1071*",'Accounting data'!$I$2:$I$37000,"260*",'Accounting data'!$J$2:$J$37000,"25*",'Accounting data'!$K$2:$K$37000,"68*")</f>
        <v>0</v>
      </c>
      <c r="N19" s="278">
        <v>0</v>
      </c>
      <c r="O19" s="41">
        <f t="shared" si="0"/>
        <v>0</v>
      </c>
      <c r="P19" s="387"/>
      <c r="Q19" s="369">
        <v>9</v>
      </c>
    </row>
    <row r="20" spans="1:17" ht="12" customHeight="1" x14ac:dyDescent="0.25">
      <c r="A20" s="370"/>
      <c r="C20" t="s">
        <v>226</v>
      </c>
      <c r="E20" s="368">
        <v>10</v>
      </c>
      <c r="F20" s="384"/>
      <c r="G20" s="385"/>
      <c r="H20" s="386"/>
      <c r="I20" s="41">
        <f>SUMIFS('Accounting data'!$G$2:$G$37000,'Accounting data'!$H$2:$H$37000,"1071*",'Accounting data'!$I$2:$I$37000,"260*",'Accounting data'!$J$2:$J$37000,"26*",'Accounting data'!$K$2:$K$37000,"61*")</f>
        <v>0</v>
      </c>
      <c r="J20" s="41">
        <f>SUMIFS('Accounting data'!$G$2:$G$37000,'Accounting data'!$H$2:$H$37000,"1071*",'Accounting data'!$I$2:$I$37000,"260*",'Accounting data'!$J$2:$J$37000,"26*",'Accounting data'!$K$2:$K$37000,"62*")</f>
        <v>0</v>
      </c>
      <c r="K20" s="41">
        <f>SUMIFS('Accounting data'!$G$2:$G$37000,'Accounting data'!$H$2:$H$37000,"1071*",'Accounting data'!$I$2:$I$37000,"260*",'Accounting data'!$J$2:$J$37000,"26*",'Accounting data'!$K$2:$K$37000,"63*")</f>
        <v>0</v>
      </c>
      <c r="L20" s="41">
        <f>SUMIFS('Accounting data'!$G$2:$G$37000,'Accounting data'!$H$2:$H$37000,"1071*",'Accounting data'!$I$2:$I$37000,"260*",'Accounting data'!$J$2:$J$37000,"26*",'Accounting data'!$K$2:$K$37000,"66*")</f>
        <v>0</v>
      </c>
      <c r="M20" s="41">
        <f>SUMIFS('Accounting data'!$G$2:$G$37000,'Accounting data'!$H$2:$H$37000,"1071*",'Accounting data'!$I$2:$I$37000,"260*",'Accounting data'!$J$2:$J$37000,"26*",'Accounting data'!$K$2:$K$37000,"68*")</f>
        <v>0</v>
      </c>
      <c r="N20" s="278">
        <v>0</v>
      </c>
      <c r="O20" s="41">
        <f t="shared" si="0"/>
        <v>0</v>
      </c>
      <c r="P20" s="387"/>
      <c r="Q20" s="369">
        <v>10</v>
      </c>
    </row>
    <row r="21" spans="1:17" ht="12" customHeight="1" x14ac:dyDescent="0.25">
      <c r="A21" s="370"/>
      <c r="C21" t="s">
        <v>227</v>
      </c>
      <c r="E21" s="368">
        <v>11</v>
      </c>
      <c r="F21" s="384"/>
      <c r="G21" s="385"/>
      <c r="H21" s="386"/>
      <c r="I21" s="41">
        <f>SUMIFS('Accounting data'!$G$2:$G$37000,'Accounting data'!$H$2:$H$37000,"1071*",'Accounting data'!$I$2:$I$37000,"260*",'Accounting data'!$J$2:$J$37000,"29*",'Accounting data'!$K$2:$K$37000,"61*")</f>
        <v>0</v>
      </c>
      <c r="J21" s="41">
        <f>SUMIFS('Accounting data'!$G$2:$G$37000,'Accounting data'!$H$2:$H$37000,"1071*",'Accounting data'!$I$2:$I$37000,"260*",'Accounting data'!$J$2:$J$37000,"29*",'Accounting data'!$K$2:$K$37000,"62*")</f>
        <v>0</v>
      </c>
      <c r="K21" s="41">
        <f>SUMIFS('Accounting data'!$G$2:$G$37000,'Accounting data'!$H$2:$H$37000,"1071*",'Accounting data'!$I$2:$I$37000,"260*",'Accounting data'!$J$2:$J$37000,"29*",'Accounting data'!$K$2:$K$37000,"63*")</f>
        <v>0</v>
      </c>
      <c r="L21" s="41">
        <f>SUMIFS('Accounting data'!$G$2:$G$37000,'Accounting data'!$H$2:$H$37000,"1071*",'Accounting data'!$I$2:$I$37000,"260*",'Accounting data'!$J$2:$J$37000,"29*",'Accounting data'!$K$2:$K$37000,"66*")</f>
        <v>0</v>
      </c>
      <c r="M21" s="41">
        <f>SUMIFS('Accounting data'!$G$2:$G$37000,'Accounting data'!$H$2:$H$37000,"1071*",'Accounting data'!$I$2:$I$37000,"260*",'Accounting data'!$J$2:$J$37000,"29*",'Accounting data'!$K$2:$K$37000,"68*")</f>
        <v>0</v>
      </c>
      <c r="N21" s="278">
        <v>0</v>
      </c>
      <c r="O21" s="41">
        <f t="shared" si="0"/>
        <v>0</v>
      </c>
      <c r="P21" s="387"/>
      <c r="Q21" s="369">
        <v>11</v>
      </c>
    </row>
    <row r="22" spans="1:17" ht="12" customHeight="1" x14ac:dyDescent="0.25">
      <c r="A22" s="363"/>
      <c r="B22" s="56" t="s">
        <v>228</v>
      </c>
      <c r="C22" s="56"/>
      <c r="D22" s="56"/>
      <c r="E22" s="364">
        <v>12</v>
      </c>
      <c r="F22" s="384"/>
      <c r="G22" s="388"/>
      <c r="H22" s="389"/>
      <c r="I22" s="41">
        <f t="shared" ref="I22:O22" si="1">SUM(I13:I21)</f>
        <v>0</v>
      </c>
      <c r="J22" s="41">
        <f t="shared" si="1"/>
        <v>0</v>
      </c>
      <c r="K22" s="41">
        <f t="shared" si="1"/>
        <v>0</v>
      </c>
      <c r="L22" s="41">
        <f t="shared" si="1"/>
        <v>0</v>
      </c>
      <c r="M22" s="41">
        <f t="shared" si="1"/>
        <v>0</v>
      </c>
      <c r="N22" s="41">
        <f t="shared" si="1"/>
        <v>0</v>
      </c>
      <c r="O22" s="41">
        <f t="shared" si="1"/>
        <v>0</v>
      </c>
      <c r="P22" s="387"/>
      <c r="Q22" s="369">
        <v>12</v>
      </c>
    </row>
    <row r="23" spans="1:17" ht="12" customHeight="1" x14ac:dyDescent="0.25">
      <c r="A23" s="370" t="s">
        <v>229</v>
      </c>
      <c r="E23" s="368"/>
      <c r="F23" s="373"/>
      <c r="G23" s="374"/>
      <c r="H23" s="657"/>
      <c r="I23" s="196"/>
      <c r="J23" s="196"/>
      <c r="K23" s="196"/>
      <c r="L23" s="196"/>
      <c r="M23" s="196"/>
      <c r="N23" s="196"/>
      <c r="O23" s="196"/>
      <c r="P23" s="376"/>
      <c r="Q23" s="369"/>
    </row>
    <row r="24" spans="1:17" ht="12" customHeight="1" x14ac:dyDescent="0.25">
      <c r="A24" s="370"/>
      <c r="B24" t="s">
        <v>220</v>
      </c>
      <c r="E24" s="368"/>
      <c r="F24" s="377"/>
      <c r="G24" s="378"/>
      <c r="H24" s="656"/>
      <c r="I24" s="390"/>
      <c r="J24" s="390"/>
      <c r="K24" s="390"/>
      <c r="L24" s="390"/>
      <c r="M24" s="390"/>
      <c r="N24" s="390"/>
      <c r="O24" s="379"/>
      <c r="P24" s="380"/>
      <c r="Q24" s="369"/>
    </row>
    <row r="25" spans="1:17" ht="12" customHeight="1" x14ac:dyDescent="0.25">
      <c r="A25" s="370"/>
      <c r="C25" t="s">
        <v>230</v>
      </c>
      <c r="E25" s="368">
        <v>13</v>
      </c>
      <c r="F25" s="381"/>
      <c r="G25" s="382"/>
      <c r="H25" s="658"/>
      <c r="I25" s="390">
        <f>SUMIFS('Accounting data'!$G$2:$G$37000,'Accounting data'!$H$2:$H$37000,"1071*",'Accounting data'!$I$2:$I$37000,"43*",'Accounting data'!$J$2:$J$37000,"27*",'Accounting data'!$K$2:$K$37000,"61*")</f>
        <v>0</v>
      </c>
      <c r="J25" s="390">
        <f>SUMIFS('Accounting data'!$G$2:$G$37000,'Accounting data'!$H$2:$H$37000,"1071*",'Accounting data'!$I$2:$I$37000,"43*",'Accounting data'!$J$2:$J$37000,"27*",'Accounting data'!$K$2:$K$37000,"62*")</f>
        <v>0</v>
      </c>
      <c r="K25" s="390">
        <f>SUMIFS('Accounting data'!$G$2:$G$37000,'Accounting data'!$H$2:$H$37000,"1071*",'Accounting data'!$I$2:$I$37000,"43*",'Accounting data'!$J$2:$J$37000,"27*",'Accounting data'!$K$2:$K$37000,"63*")</f>
        <v>0</v>
      </c>
      <c r="L25" s="390">
        <f>SUMIFS('Accounting data'!$G$2:$G$37000,'Accounting data'!$H$2:$H$37000,"1071*",'Accounting data'!$I$2:$I$37000,"43*",'Accounting data'!$J$2:$J$37000,"27*",'Accounting data'!$K$2:$K$37000,"66*")</f>
        <v>0</v>
      </c>
      <c r="M25" s="390">
        <f>SUMIFS('Accounting data'!$G$2:$G$37000,'Accounting data'!$H$2:$H$37000,"1071*",'Accounting data'!$I$2:$I$37000,"43*",'Accounting data'!$J$2:$J$37000,"27*",'Accounting data'!$K$2:$K$37000,"68*")</f>
        <v>0</v>
      </c>
      <c r="N25" s="390">
        <v>0</v>
      </c>
      <c r="O25" s="33">
        <f>SUM(I25:M25)</f>
        <v>0</v>
      </c>
      <c r="P25" s="383"/>
      <c r="Q25" s="369">
        <v>13</v>
      </c>
    </row>
    <row r="26" spans="1:17" ht="12" customHeight="1" x14ac:dyDescent="0.25">
      <c r="A26" s="391" t="s">
        <v>231</v>
      </c>
      <c r="B26" s="392"/>
      <c r="C26" s="392"/>
      <c r="D26" s="392"/>
      <c r="E26" s="393">
        <v>14</v>
      </c>
      <c r="F26" s="278">
        <v>0</v>
      </c>
      <c r="G26" s="278">
        <v>0</v>
      </c>
      <c r="H26" s="41">
        <f>H10</f>
        <v>0</v>
      </c>
      <c r="I26" s="41">
        <f>SUM(I22:I24)</f>
        <v>0</v>
      </c>
      <c r="J26" s="41">
        <f>SUM(J22:J24)</f>
        <v>0</v>
      </c>
      <c r="K26" s="41">
        <f>SUM(K22:K24)</f>
        <v>0</v>
      </c>
      <c r="L26" s="41">
        <f>SUM(L22:L24)</f>
        <v>0</v>
      </c>
      <c r="M26" s="41">
        <f>SUM(M22:M24)</f>
        <v>0</v>
      </c>
      <c r="N26" s="41">
        <f>SUM(N22:N25)</f>
        <v>0</v>
      </c>
      <c r="O26" s="41">
        <f>SUM(O22:O25)</f>
        <v>0</v>
      </c>
      <c r="P26" s="41">
        <f>IF(G26="",F26,G26)+H26-O26</f>
        <v>0</v>
      </c>
      <c r="Q26" s="369">
        <v>14</v>
      </c>
    </row>
    <row r="27" spans="1:17" ht="9" customHeight="1" x14ac:dyDescent="0.25">
      <c r="A27" s="659"/>
      <c r="B27" s="659"/>
      <c r="C27" s="659"/>
      <c r="D27" s="659"/>
      <c r="E27" s="659"/>
      <c r="F27" s="659"/>
      <c r="G27" s="659"/>
      <c r="H27" s="659"/>
      <c r="I27" s="659"/>
      <c r="J27" s="659"/>
      <c r="K27" s="660"/>
      <c r="L27" s="660"/>
      <c r="M27" s="660"/>
    </row>
    <row r="28" spans="1:17" ht="11.25" customHeight="1" x14ac:dyDescent="0.25">
      <c r="A28" s="13" t="s">
        <v>232</v>
      </c>
      <c r="B28" s="206"/>
      <c r="C28" s="206"/>
      <c r="D28" s="206"/>
      <c r="E28" s="394"/>
      <c r="F28" s="654"/>
      <c r="G28" s="38"/>
      <c r="H28" s="654"/>
      <c r="I28" s="654"/>
      <c r="J28" s="654"/>
      <c r="K28" s="654"/>
      <c r="L28" s="654"/>
      <c r="M28" s="653"/>
      <c r="N28" s="653"/>
      <c r="O28" s="653"/>
      <c r="P28" s="654"/>
    </row>
    <row r="29" spans="1:17" ht="11.25" customHeight="1" x14ac:dyDescent="0.25">
      <c r="A29" s="84" t="s">
        <v>181</v>
      </c>
      <c r="E29" s="368"/>
      <c r="F29" s="655"/>
      <c r="G29" s="37"/>
      <c r="H29" s="661"/>
      <c r="I29" s="661"/>
      <c r="J29" s="661"/>
      <c r="K29" s="661"/>
      <c r="L29" s="661"/>
      <c r="M29" s="653"/>
      <c r="N29" s="653"/>
      <c r="O29" s="653"/>
      <c r="P29" s="655"/>
    </row>
    <row r="30" spans="1:17" ht="12" customHeight="1" x14ac:dyDescent="0.25">
      <c r="A30" s="84"/>
      <c r="B30" t="s">
        <v>215</v>
      </c>
      <c r="E30" s="368">
        <v>15</v>
      </c>
      <c r="F30" s="318"/>
      <c r="G30" s="318"/>
      <c r="H30" s="41">
        <f>-(SUMIFS('Accounting data'!$G$2:$G$37000,'Accounting data'!$H$2:$H$37000,"1072*",'Accounting data'!$K$2:$K$37000,"32*"))</f>
        <v>0</v>
      </c>
      <c r="I30" s="318"/>
      <c r="J30" s="318"/>
      <c r="K30" s="318"/>
      <c r="L30" s="318"/>
      <c r="M30" s="395"/>
      <c r="N30" s="318"/>
      <c r="O30" s="318"/>
      <c r="P30" s="318"/>
      <c r="Q30" s="369">
        <v>15</v>
      </c>
    </row>
    <row r="31" spans="1:17" ht="12" customHeight="1" x14ac:dyDescent="0.25">
      <c r="A31" s="84"/>
      <c r="B31" t="s">
        <v>216</v>
      </c>
      <c r="E31" s="368">
        <v>16</v>
      </c>
      <c r="F31" s="318"/>
      <c r="G31" s="318"/>
      <c r="H31" s="41">
        <f>-(SUMIFS('Accounting data'!$G$2:$G$37000,'Accounting data'!$H$2:$H$37000,"1072*",'Accounting data'!$K$2:$K$37000,"15*"))</f>
        <v>0</v>
      </c>
      <c r="I31" s="318"/>
      <c r="J31" s="318"/>
      <c r="K31" s="318"/>
      <c r="L31" s="318"/>
      <c r="M31" s="318"/>
      <c r="N31" s="318"/>
      <c r="O31" s="318"/>
      <c r="P31" s="318"/>
      <c r="Q31" s="369">
        <v>16</v>
      </c>
    </row>
    <row r="32" spans="1:17" ht="12" customHeight="1" x14ac:dyDescent="0.25">
      <c r="A32" s="370" t="s">
        <v>233</v>
      </c>
      <c r="E32" s="368">
        <v>17</v>
      </c>
      <c r="F32" s="371"/>
      <c r="G32" s="371"/>
      <c r="H32" s="41">
        <f>SUM(H30:H31)</f>
        <v>0</v>
      </c>
      <c r="I32" s="371"/>
      <c r="J32" s="371"/>
      <c r="K32" s="371"/>
      <c r="L32" s="371"/>
      <c r="M32" s="371"/>
      <c r="N32" s="371"/>
      <c r="O32" s="371"/>
      <c r="P32" s="371"/>
      <c r="Q32" s="369">
        <v>17</v>
      </c>
    </row>
    <row r="33" spans="1:17" ht="11.25" customHeight="1" x14ac:dyDescent="0.25">
      <c r="A33" s="84" t="s">
        <v>105</v>
      </c>
      <c r="E33" s="372"/>
      <c r="F33" s="373"/>
      <c r="G33" s="374"/>
      <c r="H33" s="396"/>
      <c r="I33" s="375"/>
      <c r="J33" s="375"/>
      <c r="K33" s="375"/>
      <c r="L33" s="375"/>
      <c r="M33" s="375"/>
      <c r="N33" s="375"/>
      <c r="O33" s="375"/>
      <c r="P33" s="373"/>
    </row>
    <row r="34" spans="1:17" ht="12" customHeight="1" x14ac:dyDescent="0.25">
      <c r="A34" s="370" t="s">
        <v>234</v>
      </c>
      <c r="E34" s="372"/>
      <c r="F34" s="377"/>
      <c r="G34" s="378"/>
      <c r="H34" s="397"/>
      <c r="I34" s="379"/>
      <c r="J34" s="379"/>
      <c r="K34" s="379"/>
      <c r="L34" s="379"/>
      <c r="M34" s="379"/>
      <c r="N34" s="379"/>
      <c r="O34" s="379"/>
      <c r="P34" s="377"/>
    </row>
    <row r="35" spans="1:17" ht="12" customHeight="1" x14ac:dyDescent="0.25">
      <c r="A35" s="370"/>
      <c r="B35" t="s">
        <v>219</v>
      </c>
      <c r="E35" s="372">
        <v>18</v>
      </c>
      <c r="F35" s="381"/>
      <c r="G35" s="382"/>
      <c r="H35" s="398"/>
      <c r="I35" s="33">
        <f>SUMIFS('Accounting data'!$G$2:$G$37000,'Accounting data'!$H$2:$H$37000,"1072*",'Accounting data'!$I$2:$I$37000,"265*",'Accounting data'!$J$2:$J$37000,"1*",'Accounting data'!$K$2:$K$37000,"61*")</f>
        <v>0</v>
      </c>
      <c r="J35" s="33">
        <f>SUMIFS('Accounting data'!$G$2:$G$37000,'Accounting data'!$H$2:$H$37000,"1072*",'Accounting data'!$I$2:$I$37000,"265*",'Accounting data'!$J$2:$J$37000,"1*",'Accounting data'!$K$2:$K$37000,"62*")</f>
        <v>0</v>
      </c>
      <c r="K35" s="33">
        <f>SUMIFS('Accounting data'!$G$2:$G$37000,'Accounting data'!$H$2:$H$37000,"1072*",'Accounting data'!$I$2:$I$37000,"265*",'Accounting data'!$J$2:$J$37000,"1*",'Accounting data'!$K$2:$K$37000,"63*")</f>
        <v>0</v>
      </c>
      <c r="L35" s="33">
        <f>SUMIFS('Accounting data'!$G$2:$G$37000,'Accounting data'!$H$2:$H$37000,"1072*",'Accounting data'!$I$2:$I$37000,"265*",'Accounting data'!$J$2:$J$37000,"1*",'Accounting data'!$K$2:$K$37000,"66*")</f>
        <v>0</v>
      </c>
      <c r="M35" s="33">
        <f>SUMIFS('Accounting data'!$G$2:$G$37000,'Accounting data'!$H$2:$H$37000,"1072*",'Accounting data'!$I$2:$I$37000,"265*",'Accounting data'!$J$2:$J$37000,"1*",'Accounting data'!$K$2:$K$37000,"68*")</f>
        <v>0</v>
      </c>
      <c r="N35" s="33">
        <v>0</v>
      </c>
      <c r="O35" s="33">
        <f>SUM(I35:M35)</f>
        <v>0</v>
      </c>
      <c r="P35" s="381"/>
      <c r="Q35" s="369">
        <v>18</v>
      </c>
    </row>
    <row r="36" spans="1:17" ht="12" customHeight="1" x14ac:dyDescent="0.25">
      <c r="A36" s="370"/>
      <c r="B36" t="s">
        <v>220</v>
      </c>
      <c r="E36" s="368"/>
      <c r="F36" s="373"/>
      <c r="G36" s="378"/>
      <c r="H36" s="656"/>
      <c r="I36" s="375"/>
      <c r="J36" s="375"/>
      <c r="K36" s="375"/>
      <c r="L36" s="375"/>
      <c r="M36" s="375"/>
      <c r="N36" s="375"/>
      <c r="O36" s="375"/>
      <c r="P36" s="373"/>
      <c r="Q36" s="369"/>
    </row>
    <row r="37" spans="1:17" ht="12" customHeight="1" x14ac:dyDescent="0.25">
      <c r="A37" s="370"/>
      <c r="C37" t="s">
        <v>221</v>
      </c>
      <c r="E37" s="368">
        <v>19</v>
      </c>
      <c r="F37" s="381"/>
      <c r="G37" s="378"/>
      <c r="H37" s="656"/>
      <c r="I37" s="33">
        <f>SUMIFS('Accounting data'!$G$2:$G$37000,'Accounting data'!$H$2:$H$37000,"1072*",'Accounting data'!$I$2:$I$37000,"265*",'Accounting data'!$J$2:$J$37000,"21*",'Accounting data'!$K$2:$K$37000,"61*")</f>
        <v>0</v>
      </c>
      <c r="J37" s="33">
        <f>SUMIFS('Accounting data'!$G$2:$G$37000,'Accounting data'!$H$2:$H$37000,"1072*",'Accounting data'!$I$2:$I$37000,"265*",'Accounting data'!$J$2:$J$37000,"21*",'Accounting data'!$K$2:$K$37000,"62*")</f>
        <v>0</v>
      </c>
      <c r="K37" s="33">
        <f>SUMIFS('Accounting data'!$G$2:$G$37000,'Accounting data'!$H$2:$H$37000,"1072*",'Accounting data'!$I$2:$I$37000,"265*",'Accounting data'!$J$2:$J$37000,"21*",'Accounting data'!$K$2:$K$37000,"63*")</f>
        <v>0</v>
      </c>
      <c r="L37" s="33">
        <f>SUMIFS('Accounting data'!$G$2:$G$37000,'Accounting data'!$H$2:$H$37000,"1072*",'Accounting data'!$I$2:$I$37000,"265*",'Accounting data'!$J$2:$J$37000,"21*",'Accounting data'!$K$2:$K$37000,"66*")</f>
        <v>0</v>
      </c>
      <c r="M37" s="33">
        <f>SUMIFS('Accounting data'!$G$2:$G$37000,'Accounting data'!$H$2:$H$37000,"1072*",'Accounting data'!$I$2:$I$37000,"265*",'Accounting data'!$J$2:$J$37000,"21*",'Accounting data'!$K$2:$K$37000,"68*")</f>
        <v>0</v>
      </c>
      <c r="N37" s="33">
        <v>0</v>
      </c>
      <c r="O37" s="33">
        <f t="shared" ref="O37:O43" si="2">SUM(I37:M37)</f>
        <v>0</v>
      </c>
      <c r="P37" s="381"/>
      <c r="Q37" s="369">
        <v>19</v>
      </c>
    </row>
    <row r="38" spans="1:17" ht="12" customHeight="1" x14ac:dyDescent="0.25">
      <c r="A38" s="370"/>
      <c r="C38" t="s">
        <v>222</v>
      </c>
      <c r="E38" s="368">
        <v>20</v>
      </c>
      <c r="F38" s="384"/>
      <c r="G38" s="385"/>
      <c r="H38" s="386"/>
      <c r="I38" s="41">
        <f>SUMIFS('Accounting data'!$G$2:$G$37000,'Accounting data'!$H$2:$H$37000,"1072*",'Accounting data'!$I$2:$I$37000,"265*",'Accounting data'!$J$2:$J$37000,"22*",'Accounting data'!$K$2:$K$37000,"61*")</f>
        <v>0</v>
      </c>
      <c r="J38" s="41">
        <f>SUMIFS('Accounting data'!$G$2:$G$37000,'Accounting data'!$H$2:$H$37000,"1072*",'Accounting data'!$I$2:$I$37000,"265*",'Accounting data'!$J$2:$J$37000,"22*",'Accounting data'!$K$2:$K$37000,"62*")</f>
        <v>0</v>
      </c>
      <c r="K38" s="41">
        <f>SUMIFS('Accounting data'!$G$2:$G$37000,'Accounting data'!$H$2:$H$37000,"1072*",'Accounting data'!$I$2:$I$37000,"265*",'Accounting data'!$J$2:$J$37000,"22*",'Accounting data'!$K$2:$K$37000,"63*")</f>
        <v>0</v>
      </c>
      <c r="L38" s="41">
        <f>SUMIFS('Accounting data'!$G$2:$G$37000,'Accounting data'!$H$2:$H$37000,"1072*",'Accounting data'!$I$2:$I$37000,"265*",'Accounting data'!$J$2:$J$37000,"22*",'Accounting data'!$K$2:$K$37000,"66*")</f>
        <v>0</v>
      </c>
      <c r="M38" s="41">
        <f>SUMIFS('Accounting data'!$G$2:$G$37000,'Accounting data'!$H$2:$H$37000,"1072*",'Accounting data'!$I$2:$I$37000,"265*",'Accounting data'!$J$2:$J$37000,"22*",'Accounting data'!$K$2:$K$37000,"68*")</f>
        <v>0</v>
      </c>
      <c r="N38" s="278">
        <v>0</v>
      </c>
      <c r="O38" s="41">
        <f t="shared" si="2"/>
        <v>0</v>
      </c>
      <c r="P38" s="384"/>
      <c r="Q38" s="369">
        <v>20</v>
      </c>
    </row>
    <row r="39" spans="1:17" ht="12" customHeight="1" x14ac:dyDescent="0.25">
      <c r="A39" s="370"/>
      <c r="C39" t="s">
        <v>223</v>
      </c>
      <c r="E39" s="368">
        <v>21</v>
      </c>
      <c r="F39" s="384"/>
      <c r="G39" s="385"/>
      <c r="H39" s="386"/>
      <c r="I39" s="41">
        <f>SUMIFS('Accounting data'!$G$2:$G$37000,'Accounting data'!$H$2:$H$37000,"1072*",'Accounting data'!$I$2:$I$37000,"265*",'Accounting data'!$J$2:$J$37000,"23*",'Accounting data'!$K$2:$K$37000,"61*")</f>
        <v>0</v>
      </c>
      <c r="J39" s="41">
        <f>SUMIFS('Accounting data'!$G$2:$G$37000,'Accounting data'!$H$2:$H$37000,"1072*",'Accounting data'!$I$2:$I$37000,"265*",'Accounting data'!$J$2:$J$37000,"23*",'Accounting data'!$K$2:$K$37000,"62*")</f>
        <v>0</v>
      </c>
      <c r="K39" s="41">
        <f>SUMIFS('Accounting data'!$G$2:$G$37000,'Accounting data'!$H$2:$H$37000,"1072*",'Accounting data'!$I$2:$I$37000,"265*",'Accounting data'!$J$2:$J$37000,"23*",'Accounting data'!$K$2:$K$37000,"63*")</f>
        <v>0</v>
      </c>
      <c r="L39" s="41">
        <f>SUMIFS('Accounting data'!$G$2:$G$37000,'Accounting data'!$H$2:$H$37000,"1072*",'Accounting data'!$I$2:$I$37000,"265*",'Accounting data'!$J$2:$J$37000,"23*",'Accounting data'!$K$2:$K$37000,"66*")</f>
        <v>0</v>
      </c>
      <c r="M39" s="41">
        <f>SUMIFS('Accounting data'!$G$2:$G$37000,'Accounting data'!$H$2:$H$37000,"1072*",'Accounting data'!$I$2:$I$37000,"265*",'Accounting data'!$J$2:$J$37000,"23*",'Accounting data'!$K$2:$K$37000,"68*")</f>
        <v>0</v>
      </c>
      <c r="N39" s="278">
        <v>0</v>
      </c>
      <c r="O39" s="41">
        <f t="shared" si="2"/>
        <v>0</v>
      </c>
      <c r="P39" s="384"/>
      <c r="Q39" s="369">
        <v>21</v>
      </c>
    </row>
    <row r="40" spans="1:17" ht="12" customHeight="1" x14ac:dyDescent="0.25">
      <c r="A40" s="370"/>
      <c r="C40" t="s">
        <v>224</v>
      </c>
      <c r="E40" s="368">
        <v>22</v>
      </c>
      <c r="F40" s="384"/>
      <c r="G40" s="385"/>
      <c r="H40" s="386"/>
      <c r="I40" s="41">
        <f>SUMIFS('Accounting data'!$G$2:$G$37000,'Accounting data'!$H$2:$H$37000,"1072*",'Accounting data'!$I$2:$I$37000,"265*",'Accounting data'!$J$2:$J$37000,"24*",'Accounting data'!$K$2:$K$37000,"61*")</f>
        <v>0</v>
      </c>
      <c r="J40" s="41">
        <f>SUMIFS('Accounting data'!$G$2:$G$37000,'Accounting data'!$H$2:$H$37000,"1072*",'Accounting data'!$I$2:$I$37000,"265*",'Accounting data'!$J$2:$J$37000,"24*",'Accounting data'!$K$2:$K$37000,"62*")</f>
        <v>0</v>
      </c>
      <c r="K40" s="41">
        <f>SUMIFS('Accounting data'!$G$2:$G$37000,'Accounting data'!$H$2:$H$37000,"1072*",'Accounting data'!$I$2:$I$37000,"265*",'Accounting data'!$J$2:$J$37000,"24*",'Accounting data'!$K$2:$K$37000,"63*")</f>
        <v>0</v>
      </c>
      <c r="L40" s="41">
        <f>SUMIFS('Accounting data'!$G$2:$G$37000,'Accounting data'!$H$2:$H$37000,"1072*",'Accounting data'!$I$2:$I$37000,"265*",'Accounting data'!$J$2:$J$37000,"24*",'Accounting data'!$K$2:$K$37000,"66*")</f>
        <v>0</v>
      </c>
      <c r="M40" s="41">
        <f>SUMIFS('Accounting data'!$G$2:$G$37000,'Accounting data'!$H$2:$H$37000,"1072*",'Accounting data'!$I$2:$I$37000,"265*",'Accounting data'!$J$2:$J$37000,"24*",'Accounting data'!$K$2:$K$37000,"68*")</f>
        <v>0</v>
      </c>
      <c r="N40" s="278">
        <v>0</v>
      </c>
      <c r="O40" s="41">
        <f t="shared" si="2"/>
        <v>0</v>
      </c>
      <c r="P40" s="384"/>
      <c r="Q40" s="369">
        <v>22</v>
      </c>
    </row>
    <row r="41" spans="1:17" ht="12" customHeight="1" x14ac:dyDescent="0.25">
      <c r="A41" s="370"/>
      <c r="C41" t="s">
        <v>225</v>
      </c>
      <c r="E41" s="368">
        <v>23</v>
      </c>
      <c r="F41" s="384"/>
      <c r="G41" s="385"/>
      <c r="H41" s="386"/>
      <c r="I41" s="41">
        <f>SUMIFS('Accounting data'!$G$2:$G$37000,'Accounting data'!$H$2:$H$37000,"1072*",'Accounting data'!$I$2:$I$37000,"265*",'Accounting data'!$J$2:$J$37000,"25*",'Accounting data'!$K$2:$K$37000,"61*")</f>
        <v>0</v>
      </c>
      <c r="J41" s="41">
        <f>SUMIFS('Accounting data'!$G$2:$G$37000,'Accounting data'!$H$2:$H$37000,"1072*",'Accounting data'!$I$2:$I$37000,"265*",'Accounting data'!$J$2:$J$37000,"25*",'Accounting data'!$K$2:$K$37000,"62*")</f>
        <v>0</v>
      </c>
      <c r="K41" s="41">
        <f>SUMIFS('Accounting data'!$G$2:$G$37000,'Accounting data'!$H$2:$H$37000,"1072*",'Accounting data'!$I$2:$I$37000,"265*",'Accounting data'!$J$2:$J$37000,"25*",'Accounting data'!$K$2:$K$37000,"63*")</f>
        <v>0</v>
      </c>
      <c r="L41" s="41">
        <f>SUMIFS('Accounting data'!$G$2:$G$37000,'Accounting data'!$H$2:$H$37000,"1072*",'Accounting data'!$I$2:$I$37000,"265*",'Accounting data'!$J$2:$J$37000,"25*",'Accounting data'!$K$2:$K$37000,"66*")</f>
        <v>0</v>
      </c>
      <c r="M41" s="41">
        <f>SUMIFS('Accounting data'!$G$2:$G$37000,'Accounting data'!$H$2:$H$37000,"1072*",'Accounting data'!$I$2:$I$37000,"265*",'Accounting data'!$J$2:$J$37000,"25*",'Accounting data'!$K$2:$K$37000,"68*")</f>
        <v>0</v>
      </c>
      <c r="N41" s="278">
        <v>0</v>
      </c>
      <c r="O41" s="41">
        <f t="shared" si="2"/>
        <v>0</v>
      </c>
      <c r="P41" s="384"/>
      <c r="Q41" s="369">
        <v>23</v>
      </c>
    </row>
    <row r="42" spans="1:17" ht="12" customHeight="1" x14ac:dyDescent="0.25">
      <c r="A42" s="370"/>
      <c r="C42" t="s">
        <v>226</v>
      </c>
      <c r="E42" s="368">
        <v>24</v>
      </c>
      <c r="F42" s="384"/>
      <c r="G42" s="385"/>
      <c r="H42" s="386"/>
      <c r="I42" s="41">
        <f>SUMIFS('Accounting data'!$G$2:$G$37000,'Accounting data'!$H$2:$H$37000,"1072*",'Accounting data'!$I$2:$I$37000,"265*",'Accounting data'!$J$2:$J$37000,"26*",'Accounting data'!$K$2:$K$37000,"61*")</f>
        <v>0</v>
      </c>
      <c r="J42" s="41">
        <f>SUMIFS('Accounting data'!$G$2:$G$37000,'Accounting data'!$H$2:$H$37000,"1072*",'Accounting data'!$I$2:$I$37000,"265*",'Accounting data'!$J$2:$J$37000,"26*",'Accounting data'!$K$2:$K$37000,"62*")</f>
        <v>0</v>
      </c>
      <c r="K42" s="41">
        <f>SUMIFS('Accounting data'!$G$2:$G$37000,'Accounting data'!$H$2:$H$37000,"1072*",'Accounting data'!$I$2:$I$37000,"265*",'Accounting data'!$J$2:$J$37000,"26*",'Accounting data'!$K$2:$K$37000,"63*")</f>
        <v>0</v>
      </c>
      <c r="L42" s="41">
        <f>SUMIFS('Accounting data'!$G$2:$G$37000,'Accounting data'!$H$2:$H$37000,"1072*",'Accounting data'!$I$2:$I$37000,"265*",'Accounting data'!$J$2:$J$37000,"26*",'Accounting data'!$K$2:$K$37000,"66*")</f>
        <v>0</v>
      </c>
      <c r="M42" s="41">
        <f>SUMIFS('Accounting data'!$G$2:$G$37000,'Accounting data'!$H$2:$H$37000,"1072*",'Accounting data'!$I$2:$I$37000,"265*",'Accounting data'!$J$2:$J$37000,"26*",'Accounting data'!$K$2:$K$37000,"68*")</f>
        <v>0</v>
      </c>
      <c r="N42" s="278">
        <v>0</v>
      </c>
      <c r="O42" s="41">
        <f t="shared" si="2"/>
        <v>0</v>
      </c>
      <c r="P42" s="384"/>
      <c r="Q42" s="369">
        <v>24</v>
      </c>
    </row>
    <row r="43" spans="1:17" ht="12" customHeight="1" x14ac:dyDescent="0.25">
      <c r="A43" s="370"/>
      <c r="C43" t="s">
        <v>227</v>
      </c>
      <c r="E43" s="368">
        <v>25</v>
      </c>
      <c r="F43" s="384"/>
      <c r="G43" s="385"/>
      <c r="H43" s="386"/>
      <c r="I43" s="41">
        <f>SUMIFS('Accounting data'!$G$2:$G$37000,'Accounting data'!$H$2:$H$37000,"1072*",'Accounting data'!$I$2:$I$37000,"265*",'Accounting data'!$J$2:$J$37000,"29*",'Accounting data'!$K$2:$K$37000,"61*")</f>
        <v>0</v>
      </c>
      <c r="J43" s="41">
        <f>SUMIFS('Accounting data'!$G$2:$G$37000,'Accounting data'!$H$2:$H$37000,"1072*",'Accounting data'!$I$2:$I$37000,"265*",'Accounting data'!$J$2:$J$37000,"29*",'Accounting data'!$K$2:$K$37000,"62*")</f>
        <v>0</v>
      </c>
      <c r="K43" s="41">
        <f>SUMIFS('Accounting data'!$G$2:$G$37000,'Accounting data'!$H$2:$H$37000,"1072*",'Accounting data'!$I$2:$I$37000,"265*",'Accounting data'!$J$2:$J$37000,"29*",'Accounting data'!$K$2:$K$37000,"63*")</f>
        <v>0</v>
      </c>
      <c r="L43" s="41">
        <f>SUMIFS('Accounting data'!$G$2:$G$37000,'Accounting data'!$H$2:$H$37000,"1072*",'Accounting data'!$I$2:$I$37000,"265*",'Accounting data'!$J$2:$J$37000,"29*",'Accounting data'!$K$2:$K$37000,"66*")</f>
        <v>0</v>
      </c>
      <c r="M43" s="41">
        <f>SUMIFS('Accounting data'!$G$2:$G$37000,'Accounting data'!$H$2:$H$37000,"1072*",'Accounting data'!$I$2:$I$37000,"265*",'Accounting data'!$J$2:$J$37000,"29*",'Accounting data'!$K$2:$K$37000,"68*")</f>
        <v>0</v>
      </c>
      <c r="N43" s="278">
        <v>0</v>
      </c>
      <c r="O43" s="41">
        <f t="shared" si="2"/>
        <v>0</v>
      </c>
      <c r="P43" s="384"/>
      <c r="Q43" s="369">
        <v>25</v>
      </c>
    </row>
    <row r="44" spans="1:17" ht="12" customHeight="1" x14ac:dyDescent="0.25">
      <c r="A44" s="363"/>
      <c r="B44" s="56" t="s">
        <v>235</v>
      </c>
      <c r="C44" s="56"/>
      <c r="D44" s="56"/>
      <c r="E44" s="364">
        <v>26</v>
      </c>
      <c r="F44" s="384"/>
      <c r="G44" s="385"/>
      <c r="H44" s="386"/>
      <c r="I44" s="276">
        <f t="shared" ref="I44:O44" si="3">SUM(I35:I43)</f>
        <v>0</v>
      </c>
      <c r="J44" s="276">
        <f t="shared" si="3"/>
        <v>0</v>
      </c>
      <c r="K44" s="276">
        <f t="shared" si="3"/>
        <v>0</v>
      </c>
      <c r="L44" s="276">
        <f t="shared" si="3"/>
        <v>0</v>
      </c>
      <c r="M44" s="276">
        <f t="shared" si="3"/>
        <v>0</v>
      </c>
      <c r="N44" s="276">
        <f t="shared" si="3"/>
        <v>0</v>
      </c>
      <c r="O44" s="276">
        <f t="shared" si="3"/>
        <v>0</v>
      </c>
      <c r="P44" s="384"/>
      <c r="Q44" s="369">
        <v>26</v>
      </c>
    </row>
    <row r="45" spans="1:17" ht="12" customHeight="1" x14ac:dyDescent="0.25">
      <c r="A45" s="370" t="s">
        <v>236</v>
      </c>
      <c r="E45" s="368"/>
      <c r="F45" s="373"/>
      <c r="G45" s="374"/>
      <c r="H45" s="657"/>
      <c r="I45" s="375"/>
      <c r="J45" s="375"/>
      <c r="K45" s="375"/>
      <c r="L45" s="375"/>
      <c r="M45" s="375"/>
      <c r="N45" s="375"/>
      <c r="O45" s="375"/>
      <c r="P45" s="373"/>
      <c r="Q45" s="369"/>
    </row>
    <row r="46" spans="1:17" ht="12" customHeight="1" x14ac:dyDescent="0.25">
      <c r="A46" s="370"/>
      <c r="B46" t="s">
        <v>220</v>
      </c>
      <c r="E46" s="368"/>
      <c r="F46" s="377"/>
      <c r="G46" s="378"/>
      <c r="H46" s="656"/>
      <c r="I46" s="379"/>
      <c r="J46" s="379"/>
      <c r="K46" s="379"/>
      <c r="L46" s="379"/>
      <c r="M46" s="379"/>
      <c r="N46" s="379"/>
      <c r="O46" s="379"/>
      <c r="P46" s="377"/>
      <c r="Q46" s="369"/>
    </row>
    <row r="47" spans="1:17" ht="12" customHeight="1" x14ac:dyDescent="0.25">
      <c r="A47" s="370"/>
      <c r="C47" t="s">
        <v>230</v>
      </c>
      <c r="E47" s="368">
        <v>27</v>
      </c>
      <c r="F47" s="377"/>
      <c r="G47" s="378"/>
      <c r="H47" s="656"/>
      <c r="I47" s="33">
        <f>SUMIFS('Accounting data'!$G$2:$G$37000,'Accounting data'!$H$2:$H$37000,"1072*",'Accounting data'!$I$2:$I$37000,"435*",'Accounting data'!$J$2:$J$37000,"27*",'Accounting data'!$K$2:$K$37000,"61*")</f>
        <v>0</v>
      </c>
      <c r="J47" s="33">
        <f>SUMIFS('Accounting data'!$G$2:$G$37000,'Accounting data'!$H$2:$H$37000,"1072*",'Accounting data'!$I$2:$I$37000,"435*",'Accounting data'!$J$2:$J$37000,"27*",'Accounting data'!$K$2:$K$37000,"62*")</f>
        <v>0</v>
      </c>
      <c r="K47" s="33">
        <f>SUMIFS('Accounting data'!$G$2:$G$37000,'Accounting data'!$H$2:$H$37000,"1072*",'Accounting data'!$I$2:$I$37000,"435*",'Accounting data'!$J$2:$J$37000,"27*",'Accounting data'!$K$2:$K$37000,"63*")</f>
        <v>0</v>
      </c>
      <c r="L47" s="33">
        <f>SUMIFS('Accounting data'!$G$2:$G$37000,'Accounting data'!$H$2:$H$37000,"1072*",'Accounting data'!$I$2:$I$37000,"435*",'Accounting data'!$J$2:$J$37000,"27*",'Accounting data'!$K$2:$K$37000,"66*")</f>
        <v>0</v>
      </c>
      <c r="M47" s="33">
        <f>SUMIFS('Accounting data'!$G$2:$G$37000,'Accounting data'!$H$2:$H$37000,"1072*",'Accounting data'!$I$2:$I$37000,"435*",'Accounting data'!$J$2:$J$37000,"27*",'Accounting data'!$K$2:$K$37000,"68*")</f>
        <v>0</v>
      </c>
      <c r="N47" s="33">
        <v>0</v>
      </c>
      <c r="O47" s="33">
        <f>SUM(I47:M47)</f>
        <v>0</v>
      </c>
      <c r="P47" s="377"/>
      <c r="Q47" s="369">
        <v>27</v>
      </c>
    </row>
    <row r="48" spans="1:17" ht="12" customHeight="1" x14ac:dyDescent="0.25">
      <c r="A48" s="391" t="s">
        <v>237</v>
      </c>
      <c r="B48" s="392"/>
      <c r="C48" s="392"/>
      <c r="D48" s="392"/>
      <c r="E48" s="393">
        <v>28</v>
      </c>
      <c r="F48" s="278">
        <v>0</v>
      </c>
      <c r="G48" s="278">
        <v>0</v>
      </c>
      <c r="H48" s="41">
        <f>H32</f>
        <v>0</v>
      </c>
      <c r="I48" s="33">
        <f t="shared" ref="I48:O48" si="4">SUM(I44:I47)</f>
        <v>0</v>
      </c>
      <c r="J48" s="33">
        <f t="shared" si="4"/>
        <v>0</v>
      </c>
      <c r="K48" s="33">
        <f t="shared" si="4"/>
        <v>0</v>
      </c>
      <c r="L48" s="33">
        <f t="shared" si="4"/>
        <v>0</v>
      </c>
      <c r="M48" s="33">
        <f t="shared" si="4"/>
        <v>0</v>
      </c>
      <c r="N48" s="41">
        <f t="shared" si="4"/>
        <v>0</v>
      </c>
      <c r="O48" s="41">
        <f t="shared" si="4"/>
        <v>0</v>
      </c>
      <c r="P48" s="41">
        <f>IF(G48="",F48,G48)+H48-O48</f>
        <v>0</v>
      </c>
      <c r="Q48" s="369">
        <v>28</v>
      </c>
    </row>
  </sheetData>
  <sheetProtection algorithmName="SHA-512" hashValue="ilYMJ2NX/xA5LDJCUo7VLIMfeHiNUEAvHW+KAEs1NuXD3xZ917CfH0zQ0f1Zm/Vcse5UImQ+0SUPtFrfAfotuQ==" saltValue="arQLaFB35R/xjcwlNtuC7w==" spinCount="100000" sheet="1" objects="1"/>
  <mergeCells count="31">
    <mergeCell ref="D1:E1"/>
    <mergeCell ref="K1:L1"/>
    <mergeCell ref="G3:G5"/>
    <mergeCell ref="N3:O3"/>
    <mergeCell ref="F6:F7"/>
    <mergeCell ref="H6:H7"/>
    <mergeCell ref="I6:I7"/>
    <mergeCell ref="J6:J7"/>
    <mergeCell ref="K6:K7"/>
    <mergeCell ref="L6:L7"/>
    <mergeCell ref="M6:M7"/>
    <mergeCell ref="N6:N7"/>
    <mergeCell ref="P6:P7"/>
    <mergeCell ref="H11:H13"/>
    <mergeCell ref="H14:H15"/>
    <mergeCell ref="N14:N15"/>
    <mergeCell ref="O14:O15"/>
    <mergeCell ref="H23:H25"/>
    <mergeCell ref="A27:M27"/>
    <mergeCell ref="F28:F29"/>
    <mergeCell ref="H28:H29"/>
    <mergeCell ref="I28:I29"/>
    <mergeCell ref="J28:J29"/>
    <mergeCell ref="K28:K29"/>
    <mergeCell ref="L28:L29"/>
    <mergeCell ref="M28:M29"/>
    <mergeCell ref="N28:N29"/>
    <mergeCell ref="O28:O29"/>
    <mergeCell ref="P28:P29"/>
    <mergeCell ref="H36:H37"/>
    <mergeCell ref="H45:H47"/>
  </mergeCells>
  <pageMargins left="0.7" right="0.7" top="0.75" bottom="0.75" header="0.3" footer="0.3"/>
  <pageSetup scale="69" orientation="landscape" r:id="rId1"/>
  <headerFooter>
    <oddFooter>&amp;LRev. 8/26 Arizona Department of Education and Auditor General&amp;CFY 2026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F2BCD-3477-455C-B39B-27A606227B57}">
  <dimension ref="A1:AA41"/>
  <sheetViews>
    <sheetView showGridLines="0" tabSelected="1" topLeftCell="A20" workbookViewId="0">
      <selection activeCell="H33" sqref="H33:S34"/>
    </sheetView>
  </sheetViews>
  <sheetFormatPr defaultColWidth="9.33203125" defaultRowHeight="13.2" x14ac:dyDescent="0.25"/>
  <cols>
    <col min="1" max="1" width="3.77734375" customWidth="1"/>
    <col min="2" max="2" width="33.33203125" customWidth="1"/>
    <col min="3" max="3" width="2" customWidth="1"/>
    <col min="4" max="4" width="16" customWidth="1"/>
    <col min="5" max="5" width="3" customWidth="1"/>
    <col min="6" max="6" width="12.77734375" customWidth="1"/>
    <col min="7" max="7" width="13" customWidth="1"/>
    <col min="8" max="9" width="3.77734375" customWidth="1"/>
    <col min="10" max="10" width="2.33203125" customWidth="1"/>
    <col min="11" max="11" width="11" customWidth="1"/>
    <col min="12" max="12" width="18.6640625" customWidth="1"/>
    <col min="13" max="13" width="6.33203125" customWidth="1"/>
    <col min="14" max="14" width="5.33203125" customWidth="1"/>
    <col min="15" max="15" width="7.33203125" customWidth="1"/>
    <col min="16" max="16" width="6.77734375" customWidth="1"/>
    <col min="17" max="17" width="9" customWidth="1"/>
    <col min="18" max="18" width="15.77734375" customWidth="1"/>
    <col min="19" max="19" width="15" customWidth="1"/>
    <col min="20" max="20" width="15.33203125" customWidth="1"/>
    <col min="21" max="21" width="12.77734375" customWidth="1"/>
    <col min="22" max="22" width="15.77734375" customWidth="1"/>
    <col min="23" max="23" width="9.33203125" customWidth="1"/>
  </cols>
  <sheetData>
    <row r="1" spans="1:27" ht="12" customHeight="1" x14ac:dyDescent="0.25">
      <c r="A1" s="52" t="s">
        <v>0</v>
      </c>
      <c r="C1" s="609" t="str">
        <f>'Cover Page'!D1</f>
        <v>Edge School, Inc., The</v>
      </c>
      <c r="D1" s="609"/>
      <c r="E1" s="609"/>
      <c r="F1" s="609"/>
      <c r="H1" t="s">
        <v>23</v>
      </c>
      <c r="I1" s="52" t="s">
        <v>1</v>
      </c>
      <c r="L1" s="61" t="str">
        <f>'Cover Page'!M1</f>
        <v>Pima</v>
      </c>
      <c r="T1" s="6" t="s">
        <v>2</v>
      </c>
      <c r="U1" s="326" t="str">
        <f>'Cover Page'!R1</f>
        <v>108653000</v>
      </c>
    </row>
    <row r="2" spans="1:27" hidden="1" x14ac:dyDescent="0.25">
      <c r="T2" s="188"/>
      <c r="U2" s="188"/>
    </row>
    <row r="3" spans="1:27" x14ac:dyDescent="0.25">
      <c r="V3" s="197"/>
    </row>
    <row r="4" spans="1:27" x14ac:dyDescent="0.25">
      <c r="A4" s="337" t="s">
        <v>238</v>
      </c>
      <c r="B4" s="188"/>
      <c r="C4" s="188"/>
      <c r="D4" s="188"/>
      <c r="E4" s="188"/>
      <c r="F4" s="188"/>
      <c r="G4" s="188"/>
      <c r="H4" s="188"/>
      <c r="I4" s="188"/>
      <c r="J4" s="188"/>
      <c r="K4" s="188"/>
      <c r="L4" s="188"/>
      <c r="M4" s="188"/>
      <c r="N4" s="188"/>
      <c r="O4" s="188"/>
      <c r="P4" s="188"/>
      <c r="Q4" s="188"/>
      <c r="R4" s="188"/>
      <c r="S4" s="188"/>
      <c r="T4" s="188"/>
      <c r="U4" s="188"/>
    </row>
    <row r="5" spans="1:27" x14ac:dyDescent="0.25">
      <c r="B5" s="34"/>
      <c r="D5" s="485" t="s">
        <v>239</v>
      </c>
      <c r="F5" s="485" t="s">
        <v>240</v>
      </c>
    </row>
    <row r="6" spans="1:27" x14ac:dyDescent="0.25">
      <c r="A6" t="s">
        <v>241</v>
      </c>
      <c r="B6" t="s">
        <v>242</v>
      </c>
      <c r="C6" s="160" t="s">
        <v>19</v>
      </c>
      <c r="D6" s="55">
        <v>294278</v>
      </c>
      <c r="E6" s="160" t="s">
        <v>19</v>
      </c>
      <c r="F6" s="55">
        <v>261289</v>
      </c>
      <c r="I6" t="s">
        <v>243</v>
      </c>
      <c r="J6" s="486" t="s">
        <v>27</v>
      </c>
      <c r="K6" s="58" t="s">
        <v>244</v>
      </c>
      <c r="L6" s="86"/>
      <c r="M6" s="87"/>
      <c r="N6" s="86"/>
      <c r="O6" s="87"/>
      <c r="P6" s="85"/>
      <c r="T6" s="201">
        <v>4</v>
      </c>
      <c r="U6" s="636"/>
      <c r="V6" s="636"/>
      <c r="W6" s="636"/>
      <c r="X6" s="636"/>
      <c r="Y6" s="636"/>
      <c r="Z6" s="636"/>
      <c r="AA6" s="636"/>
    </row>
    <row r="7" spans="1:27" x14ac:dyDescent="0.25">
      <c r="D7" s="338"/>
      <c r="F7" s="338"/>
      <c r="J7" s="486" t="s">
        <v>29</v>
      </c>
      <c r="K7" s="58" t="s">
        <v>245</v>
      </c>
      <c r="L7" s="86"/>
      <c r="M7" s="87"/>
      <c r="N7" s="86"/>
      <c r="O7" s="87"/>
      <c r="P7" s="85"/>
      <c r="T7" s="201">
        <v>5</v>
      </c>
      <c r="AA7" s="339" t="str">
        <f>IF(OR(CashBal="",F9="",G9="",F10="",G10="",G14="",G15="",G16="",G17="",G18="",G19="",F23="",F24="",F25="",F26="",F27="",F28="",G33="",G34="",G35="",G36="",G38="",G40=""),"yes","")</f>
        <v/>
      </c>
    </row>
    <row r="8" spans="1:27" x14ac:dyDescent="0.25">
      <c r="A8" t="s">
        <v>246</v>
      </c>
      <c r="B8" s="58" t="s">
        <v>247</v>
      </c>
      <c r="C8" s="160"/>
      <c r="E8" s="160"/>
      <c r="F8" s="25" t="s">
        <v>114</v>
      </c>
      <c r="G8" s="25" t="s">
        <v>26</v>
      </c>
      <c r="J8" s="486" t="s">
        <v>31</v>
      </c>
      <c r="K8" s="58" t="s">
        <v>248</v>
      </c>
      <c r="L8" s="86"/>
      <c r="M8" s="87"/>
      <c r="N8" s="86"/>
      <c r="O8" s="87"/>
      <c r="P8" s="85"/>
      <c r="T8" s="191">
        <v>0</v>
      </c>
      <c r="AA8" s="339" t="str">
        <f>IF(OR(T6="",T7="",T8="",T9="",T10="",T11="",T12="",T13="",T29=""),"yes","")</f>
        <v/>
      </c>
    </row>
    <row r="9" spans="1:27" x14ac:dyDescent="0.25">
      <c r="B9" t="s">
        <v>249</v>
      </c>
      <c r="C9" s="160"/>
      <c r="E9" s="160"/>
      <c r="F9" s="278">
        <v>10000</v>
      </c>
      <c r="G9" s="278">
        <v>10555</v>
      </c>
      <c r="J9" s="292" t="s">
        <v>34</v>
      </c>
      <c r="K9" t="s">
        <v>250</v>
      </c>
      <c r="T9" s="327">
        <v>2</v>
      </c>
      <c r="AA9" s="339" t="str">
        <f>IF(OR(M19="",P19="",R19="",S19="",T19="",M20="",P20="",R20="",S20="",T20="",M21="",P21="",R21="",S21="",T21="",M22="",P22="",R22="",S22="",T22="",M24="",P24="",R24="",S24="",T24=""),"yes","")</f>
        <v/>
      </c>
    </row>
    <row r="10" spans="1:27" ht="13.5" customHeight="1" x14ac:dyDescent="0.25">
      <c r="B10" t="s">
        <v>251</v>
      </c>
      <c r="F10" s="313">
        <v>0</v>
      </c>
      <c r="G10" s="313">
        <v>0</v>
      </c>
      <c r="J10" s="292" t="s">
        <v>36</v>
      </c>
      <c r="K10" t="s">
        <v>252</v>
      </c>
      <c r="T10" s="201">
        <v>180</v>
      </c>
      <c r="AA10" s="339" t="str">
        <f>IF(AND(AA7="",AA8="",AA9=""),"","yes")</f>
        <v/>
      </c>
    </row>
    <row r="11" spans="1:27" ht="13.5" customHeight="1" x14ac:dyDescent="0.25">
      <c r="B11" t="s">
        <v>253</v>
      </c>
      <c r="F11" s="315">
        <f>SUM(F9:F10)</f>
        <v>10000</v>
      </c>
      <c r="G11" s="315">
        <f>SUM(G9:G10)</f>
        <v>10555</v>
      </c>
      <c r="J11" s="190" t="s">
        <v>38</v>
      </c>
      <c r="K11" t="s">
        <v>254</v>
      </c>
      <c r="S11" s="160" t="s">
        <v>19</v>
      </c>
      <c r="T11" s="327">
        <v>0</v>
      </c>
    </row>
    <row r="12" spans="1:27" ht="13.5" customHeight="1" x14ac:dyDescent="0.25">
      <c r="J12" s="190" t="s">
        <v>40</v>
      </c>
      <c r="K12" t="s">
        <v>255</v>
      </c>
      <c r="S12" s="160" t="s">
        <v>19</v>
      </c>
      <c r="T12" s="327">
        <v>0</v>
      </c>
    </row>
    <row r="13" spans="1:27" x14ac:dyDescent="0.25">
      <c r="A13" t="s">
        <v>256</v>
      </c>
      <c r="B13" s="58" t="s">
        <v>257</v>
      </c>
      <c r="F13" s="25" t="s">
        <v>114</v>
      </c>
      <c r="G13" s="25" t="s">
        <v>26</v>
      </c>
      <c r="J13" s="190" t="s">
        <v>42</v>
      </c>
      <c r="K13" t="s">
        <v>258</v>
      </c>
      <c r="S13" s="160" t="s">
        <v>19</v>
      </c>
      <c r="T13" s="36">
        <v>0</v>
      </c>
    </row>
    <row r="14" spans="1:27" x14ac:dyDescent="0.25">
      <c r="B14" t="s">
        <v>259</v>
      </c>
      <c r="F14" s="278">
        <v>0</v>
      </c>
      <c r="G14" s="41">
        <v>0</v>
      </c>
      <c r="J14" s="190"/>
      <c r="T14" s="160"/>
      <c r="U14" s="340"/>
    </row>
    <row r="15" spans="1:27" x14ac:dyDescent="0.25">
      <c r="B15" t="s">
        <v>260</v>
      </c>
      <c r="F15" s="278">
        <v>0</v>
      </c>
      <c r="G15" s="41">
        <v>0</v>
      </c>
    </row>
    <row r="16" spans="1:27" ht="12.75" customHeight="1" x14ac:dyDescent="0.25">
      <c r="B16" t="s">
        <v>261</v>
      </c>
      <c r="F16" s="278">
        <v>0</v>
      </c>
      <c r="G16" s="41">
        <v>0</v>
      </c>
      <c r="M16" s="693" t="s">
        <v>262</v>
      </c>
      <c r="N16" s="694"/>
      <c r="O16" s="695"/>
      <c r="P16" s="693" t="s">
        <v>263</v>
      </c>
      <c r="Q16" s="695"/>
      <c r="R16" s="341" t="s">
        <v>262</v>
      </c>
      <c r="S16" s="341" t="s">
        <v>263</v>
      </c>
      <c r="T16" s="341" t="s">
        <v>264</v>
      </c>
      <c r="V16" s="19"/>
      <c r="W16" s="19"/>
    </row>
    <row r="17" spans="1:21" ht="12.75" customHeight="1" x14ac:dyDescent="0.25">
      <c r="B17" t="s">
        <v>265</v>
      </c>
      <c r="F17" s="278">
        <v>0</v>
      </c>
      <c r="G17" s="41">
        <v>0</v>
      </c>
      <c r="I17" t="s">
        <v>266</v>
      </c>
      <c r="J17" s="58" t="s">
        <v>267</v>
      </c>
      <c r="K17" s="58"/>
      <c r="L17" s="58"/>
      <c r="M17" s="696" t="s">
        <v>268</v>
      </c>
      <c r="N17" s="626"/>
      <c r="O17" s="697"/>
      <c r="P17" s="696" t="s">
        <v>268</v>
      </c>
      <c r="Q17" s="697"/>
      <c r="R17" s="342" t="s">
        <v>269</v>
      </c>
      <c r="S17" s="342" t="s">
        <v>269</v>
      </c>
      <c r="T17" s="342" t="s">
        <v>268</v>
      </c>
    </row>
    <row r="18" spans="1:21" ht="12.75" customHeight="1" x14ac:dyDescent="0.25">
      <c r="B18" t="s">
        <v>270</v>
      </c>
      <c r="F18" s="278">
        <v>15000</v>
      </c>
      <c r="G18" s="41">
        <v>8130</v>
      </c>
      <c r="J18" s="58" t="s">
        <v>271</v>
      </c>
      <c r="K18" s="58"/>
      <c r="L18" s="58"/>
      <c r="M18" s="690" t="s">
        <v>272</v>
      </c>
      <c r="N18" s="691"/>
      <c r="O18" s="692"/>
      <c r="P18" s="690" t="s">
        <v>273</v>
      </c>
      <c r="Q18" s="692"/>
      <c r="R18" s="343" t="s">
        <v>274</v>
      </c>
      <c r="S18" s="343" t="s">
        <v>275</v>
      </c>
      <c r="T18" s="343" t="s">
        <v>276</v>
      </c>
    </row>
    <row r="19" spans="1:21" ht="12.75" customHeight="1" x14ac:dyDescent="0.25">
      <c r="B19" s="58" t="s">
        <v>277</v>
      </c>
      <c r="F19" s="313">
        <v>0</v>
      </c>
      <c r="G19" s="314">
        <v>0</v>
      </c>
      <c r="J19" s="486" t="s">
        <v>27</v>
      </c>
      <c r="K19" s="58" t="s">
        <v>278</v>
      </c>
      <c r="L19" s="58"/>
      <c r="M19" s="680">
        <v>105600</v>
      </c>
      <c r="N19" s="681"/>
      <c r="O19" s="682"/>
      <c r="P19" s="680">
        <v>237450</v>
      </c>
      <c r="Q19" s="681"/>
      <c r="R19" s="344">
        <v>0</v>
      </c>
      <c r="S19" s="344">
        <v>2335</v>
      </c>
      <c r="T19" s="344">
        <v>0</v>
      </c>
    </row>
    <row r="20" spans="1:21" ht="13.5" customHeight="1" x14ac:dyDescent="0.25">
      <c r="B20" t="s">
        <v>279</v>
      </c>
      <c r="F20" s="345">
        <f>SUM(F14:F19)</f>
        <v>15000</v>
      </c>
      <c r="G20" s="315">
        <f>SUM(G14:G19)</f>
        <v>8130</v>
      </c>
      <c r="J20" s="486" t="s">
        <v>29</v>
      </c>
      <c r="K20" s="58" t="s">
        <v>280</v>
      </c>
      <c r="L20" s="58"/>
      <c r="M20" s="680">
        <v>113835</v>
      </c>
      <c r="N20" s="681"/>
      <c r="O20" s="682"/>
      <c r="P20" s="680">
        <v>0</v>
      </c>
      <c r="Q20" s="681"/>
      <c r="R20" s="344">
        <v>0</v>
      </c>
      <c r="S20" s="344">
        <v>2675</v>
      </c>
      <c r="T20" s="344">
        <v>0</v>
      </c>
    </row>
    <row r="21" spans="1:21" ht="13.5" customHeight="1" x14ac:dyDescent="0.25">
      <c r="J21" s="486" t="s">
        <v>31</v>
      </c>
      <c r="K21" s="58" t="s">
        <v>281</v>
      </c>
      <c r="L21" s="58"/>
      <c r="M21" s="680">
        <v>0</v>
      </c>
      <c r="N21" s="681"/>
      <c r="O21" s="682"/>
      <c r="P21" s="680">
        <v>0</v>
      </c>
      <c r="Q21" s="681"/>
      <c r="R21" s="344">
        <v>0</v>
      </c>
      <c r="S21" s="344">
        <v>0</v>
      </c>
      <c r="T21" s="344">
        <v>0</v>
      </c>
      <c r="U21" s="340"/>
    </row>
    <row r="22" spans="1:21" ht="13.5" customHeight="1" x14ac:dyDescent="0.25">
      <c r="A22" t="s">
        <v>282</v>
      </c>
      <c r="B22" s="58" t="s">
        <v>283</v>
      </c>
      <c r="C22" s="58"/>
      <c r="D22" s="58"/>
      <c r="E22" s="58"/>
      <c r="F22" s="58"/>
      <c r="J22" s="486" t="s">
        <v>34</v>
      </c>
      <c r="K22" s="58" t="s">
        <v>284</v>
      </c>
      <c r="L22" s="58"/>
      <c r="M22" s="683">
        <v>0</v>
      </c>
      <c r="N22" s="684"/>
      <c r="O22" s="685"/>
      <c r="P22" s="680">
        <v>0</v>
      </c>
      <c r="Q22" s="682"/>
      <c r="R22" s="344">
        <v>0</v>
      </c>
      <c r="S22" s="344">
        <v>0</v>
      </c>
      <c r="T22" s="344">
        <v>0</v>
      </c>
      <c r="U22" s="340"/>
    </row>
    <row r="23" spans="1:21" ht="13.5" customHeight="1" x14ac:dyDescent="0.25">
      <c r="B23" t="s">
        <v>259</v>
      </c>
      <c r="E23" s="160" t="s">
        <v>19</v>
      </c>
      <c r="F23" s="201">
        <v>0</v>
      </c>
      <c r="J23" s="486" t="s">
        <v>36</v>
      </c>
      <c r="K23" s="686" t="s">
        <v>285</v>
      </c>
      <c r="L23" s="686"/>
      <c r="M23" s="346"/>
      <c r="N23" s="347"/>
      <c r="O23" s="348"/>
      <c r="P23" s="347"/>
      <c r="Q23" s="348"/>
      <c r="R23" s="349"/>
      <c r="S23" s="349"/>
      <c r="T23" s="349"/>
      <c r="U23" s="340"/>
    </row>
    <row r="24" spans="1:21" ht="13.5" customHeight="1" x14ac:dyDescent="0.25">
      <c r="B24" t="s">
        <v>260</v>
      </c>
      <c r="E24" s="160" t="s">
        <v>19</v>
      </c>
      <c r="F24" s="201">
        <v>420000</v>
      </c>
      <c r="J24" s="68"/>
      <c r="K24" s="686"/>
      <c r="L24" s="686"/>
      <c r="M24" s="687">
        <v>0</v>
      </c>
      <c r="N24" s="688"/>
      <c r="O24" s="689"/>
      <c r="P24" s="687">
        <v>0</v>
      </c>
      <c r="Q24" s="688"/>
      <c r="R24" s="29">
        <v>0</v>
      </c>
      <c r="S24" s="29">
        <v>0</v>
      </c>
      <c r="T24" s="29">
        <v>0</v>
      </c>
      <c r="U24" s="340"/>
    </row>
    <row r="25" spans="1:21" ht="13.5" customHeight="1" x14ac:dyDescent="0.25">
      <c r="B25" t="s">
        <v>261</v>
      </c>
      <c r="E25" s="160" t="s">
        <v>19</v>
      </c>
      <c r="F25" s="201">
        <v>123094</v>
      </c>
      <c r="M25" s="191"/>
      <c r="N25" s="191"/>
      <c r="O25" s="191"/>
      <c r="P25" s="191"/>
      <c r="Q25" s="191"/>
      <c r="R25" s="191"/>
      <c r="S25" s="191"/>
      <c r="T25" s="191"/>
      <c r="U25" s="191"/>
    </row>
    <row r="26" spans="1:21" ht="13.5" customHeight="1" x14ac:dyDescent="0.25">
      <c r="B26" t="s">
        <v>265</v>
      </c>
      <c r="E26" s="160" t="s">
        <v>19</v>
      </c>
      <c r="F26" s="327">
        <v>3766025</v>
      </c>
      <c r="M26" s="340"/>
      <c r="N26" s="340"/>
      <c r="O26" s="340"/>
      <c r="P26" s="340"/>
      <c r="Q26" s="340"/>
      <c r="R26" s="340"/>
      <c r="S26" s="340"/>
      <c r="T26" s="340"/>
      <c r="U26" s="340"/>
    </row>
    <row r="27" spans="1:21" ht="15.75" customHeight="1" x14ac:dyDescent="0.25">
      <c r="B27" t="s">
        <v>270</v>
      </c>
      <c r="E27" s="160" t="s">
        <v>19</v>
      </c>
      <c r="F27" s="201">
        <v>121902</v>
      </c>
      <c r="I27" t="s">
        <v>286</v>
      </c>
      <c r="J27" s="58" t="s">
        <v>287</v>
      </c>
      <c r="K27" s="88"/>
      <c r="L27" s="88"/>
      <c r="M27" s="88"/>
      <c r="N27" s="88"/>
      <c r="O27" s="88"/>
      <c r="P27" s="88"/>
      <c r="Q27" s="88"/>
      <c r="R27" s="88"/>
      <c r="S27" s="69"/>
    </row>
    <row r="28" spans="1:21" ht="13.5" customHeight="1" x14ac:dyDescent="0.3">
      <c r="B28" s="58" t="s">
        <v>277</v>
      </c>
      <c r="E28" s="160" t="s">
        <v>19</v>
      </c>
      <c r="F28" s="201">
        <v>0</v>
      </c>
      <c r="I28" s="190"/>
      <c r="K28" s="487"/>
      <c r="L28" s="58" t="s">
        <v>288</v>
      </c>
      <c r="M28" s="350"/>
      <c r="N28" s="350"/>
      <c r="O28" s="350"/>
      <c r="P28" s="350"/>
      <c r="Q28" s="350"/>
      <c r="T28" t="s">
        <v>510</v>
      </c>
      <c r="U28" s="69"/>
    </row>
    <row r="29" spans="1:21" ht="13.5" customHeight="1" x14ac:dyDescent="0.25">
      <c r="B29" t="s">
        <v>289</v>
      </c>
      <c r="E29" s="160" t="s">
        <v>19</v>
      </c>
      <c r="F29" s="351">
        <f>SUM(F23:F28)</f>
        <v>4431021</v>
      </c>
      <c r="I29" s="190"/>
      <c r="J29" t="s">
        <v>27</v>
      </c>
      <c r="K29" s="58" t="s">
        <v>290</v>
      </c>
      <c r="N29" s="352"/>
      <c r="S29" s="160" t="s">
        <v>19</v>
      </c>
      <c r="T29" s="353">
        <v>52606</v>
      </c>
      <c r="U29" s="69"/>
    </row>
    <row r="30" spans="1:21" ht="13.5" customHeight="1" x14ac:dyDescent="0.25">
      <c r="I30" s="190"/>
      <c r="J30" t="s">
        <v>29</v>
      </c>
      <c r="K30" s="58" t="s">
        <v>291</v>
      </c>
      <c r="L30" s="255"/>
      <c r="M30" s="255"/>
      <c r="S30" s="160" t="s">
        <v>19</v>
      </c>
      <c r="T30" s="354">
        <v>53837</v>
      </c>
      <c r="U30" s="69"/>
    </row>
    <row r="31" spans="1:21" x14ac:dyDescent="0.25">
      <c r="A31" t="s">
        <v>292</v>
      </c>
      <c r="B31" s="58" t="s">
        <v>293</v>
      </c>
      <c r="C31" s="58"/>
      <c r="D31" s="58"/>
      <c r="E31" s="68"/>
      <c r="J31" t="s">
        <v>31</v>
      </c>
      <c r="K31" s="58" t="s">
        <v>294</v>
      </c>
      <c r="L31" s="255"/>
      <c r="M31" s="255"/>
      <c r="S31" s="160" t="s">
        <v>19</v>
      </c>
      <c r="T31" s="355">
        <f>T29-T30</f>
        <v>-1231</v>
      </c>
      <c r="U31" s="69"/>
    </row>
    <row r="32" spans="1:21" ht="13.5" customHeight="1" x14ac:dyDescent="0.25">
      <c r="B32" t="s">
        <v>295</v>
      </c>
      <c r="F32" s="160"/>
      <c r="G32" s="191"/>
      <c r="J32" s="356" t="s">
        <v>34</v>
      </c>
      <c r="K32" s="58" t="s">
        <v>296</v>
      </c>
      <c r="L32" s="357"/>
      <c r="M32" s="357"/>
      <c r="P32" s="69"/>
      <c r="Q32" s="69"/>
      <c r="R32" s="69"/>
      <c r="S32" s="160" t="s">
        <v>19</v>
      </c>
      <c r="T32" s="358">
        <f>IF(PriorYearSalary&gt;0,T31/T30,0)</f>
        <v>-2.3E-2</v>
      </c>
      <c r="U32" s="69"/>
    </row>
    <row r="33" spans="1:21" ht="13.5" customHeight="1" x14ac:dyDescent="0.25">
      <c r="B33" t="s">
        <v>297</v>
      </c>
      <c r="F33" s="160" t="s">
        <v>19</v>
      </c>
      <c r="G33" s="201">
        <v>670680</v>
      </c>
      <c r="H33" s="639" t="str">
        <f>IF('Page 2'!J48=0,"",IF(OR(G36&lt;=0),"The Charter did not report any current expenses for student support services on line 4. If the Charter did not have any expense, verify by checking the box in A16 on the Cover Page.",""))</f>
        <v/>
      </c>
      <c r="I33" s="639"/>
      <c r="J33" s="639"/>
      <c r="K33" s="639"/>
      <c r="L33" s="639"/>
      <c r="M33" s="639"/>
      <c r="N33" s="639"/>
      <c r="O33" s="639"/>
      <c r="P33" s="639"/>
      <c r="Q33" s="639"/>
      <c r="R33" s="639"/>
      <c r="S33" s="639"/>
      <c r="T33" s="19"/>
      <c r="U33" s="19"/>
    </row>
    <row r="34" spans="1:21" ht="13.5" customHeight="1" x14ac:dyDescent="0.25">
      <c r="B34" t="s">
        <v>298</v>
      </c>
      <c r="C34" s="68"/>
      <c r="D34" s="68"/>
      <c r="E34" s="68"/>
      <c r="F34" s="160" t="s">
        <v>19</v>
      </c>
      <c r="G34" s="201">
        <v>47367</v>
      </c>
      <c r="H34" s="639"/>
      <c r="I34" s="639"/>
      <c r="J34" s="639"/>
      <c r="K34" s="639"/>
      <c r="L34" s="639"/>
      <c r="M34" s="639"/>
      <c r="N34" s="639"/>
      <c r="O34" s="639"/>
      <c r="P34" s="639"/>
      <c r="Q34" s="639"/>
      <c r="R34" s="639"/>
      <c r="S34" s="639"/>
      <c r="T34" s="19"/>
      <c r="U34" s="19"/>
    </row>
    <row r="35" spans="1:21" x14ac:dyDescent="0.25">
      <c r="B35" t="s">
        <v>299</v>
      </c>
      <c r="C35" s="68"/>
      <c r="D35" s="68"/>
      <c r="E35" s="68"/>
      <c r="F35" s="160" t="s">
        <v>19</v>
      </c>
      <c r="G35" s="327">
        <v>426193</v>
      </c>
      <c r="K35" t="s">
        <v>300</v>
      </c>
    </row>
    <row r="36" spans="1:21" x14ac:dyDescent="0.25">
      <c r="B36" t="s">
        <v>301</v>
      </c>
      <c r="C36" s="68"/>
      <c r="D36" s="68"/>
      <c r="E36" s="68"/>
      <c r="F36" s="160" t="s">
        <v>19</v>
      </c>
      <c r="G36" s="201">
        <v>271641</v>
      </c>
      <c r="K36" s="672" t="s">
        <v>1297</v>
      </c>
      <c r="L36" s="673"/>
      <c r="M36" s="673"/>
      <c r="N36" s="673"/>
      <c r="O36" s="673"/>
      <c r="P36" s="673"/>
      <c r="Q36" s="673"/>
      <c r="R36" s="673"/>
      <c r="S36" s="673"/>
      <c r="T36" s="674"/>
    </row>
    <row r="37" spans="1:21" ht="13.95" customHeight="1" x14ac:dyDescent="0.25">
      <c r="A37" s="359"/>
      <c r="B37" t="s">
        <v>302</v>
      </c>
      <c r="E37" s="68"/>
      <c r="F37" s="160"/>
      <c r="G37" s="191"/>
      <c r="K37" s="675"/>
      <c r="L37" s="676"/>
      <c r="M37" s="676"/>
      <c r="N37" s="676"/>
      <c r="O37" s="676"/>
      <c r="P37" s="676"/>
      <c r="Q37" s="676"/>
      <c r="R37" s="676"/>
      <c r="S37" s="676"/>
      <c r="T37" s="677"/>
    </row>
    <row r="38" spans="1:21" ht="13.95" customHeight="1" x14ac:dyDescent="0.25">
      <c r="A38" s="359"/>
      <c r="B38" t="s">
        <v>303</v>
      </c>
      <c r="E38" s="68"/>
      <c r="F38" s="160" t="s">
        <v>19</v>
      </c>
      <c r="G38" s="201">
        <v>472388</v>
      </c>
      <c r="J38" s="292"/>
      <c r="K38" s="69"/>
      <c r="S38" s="160"/>
      <c r="T38" s="360"/>
    </row>
    <row r="39" spans="1:21" ht="14.25" customHeight="1" x14ac:dyDescent="0.25">
      <c r="A39" s="359"/>
      <c r="B39" s="190" t="s">
        <v>304</v>
      </c>
      <c r="F39" s="160" t="s">
        <v>19</v>
      </c>
      <c r="G39" s="351">
        <f>SUM(G33:G38)</f>
        <v>1888269</v>
      </c>
    </row>
    <row r="40" spans="1:21" ht="13.5" customHeight="1" x14ac:dyDescent="0.25">
      <c r="B40" s="678" t="s">
        <v>305</v>
      </c>
      <c r="C40" s="678"/>
      <c r="D40" s="678"/>
      <c r="E40" s="678"/>
      <c r="F40" s="160" t="s">
        <v>19</v>
      </c>
      <c r="G40" s="201">
        <v>126277</v>
      </c>
    </row>
    <row r="41" spans="1:21" x14ac:dyDescent="0.25">
      <c r="B41" s="679" t="s">
        <v>306</v>
      </c>
      <c r="C41" s="679"/>
      <c r="D41" s="679"/>
      <c r="E41" s="679"/>
      <c r="F41" s="160" t="s">
        <v>19</v>
      </c>
      <c r="G41" s="201">
        <f>G39-G40</f>
        <v>1761992</v>
      </c>
    </row>
  </sheetData>
  <sheetProtection algorithmName="SHA-512" hashValue="fCIOASxsNwxu3DPOX2YSXbDIcBrvsiISQHNLD/ucjOZdLH9KwSjUSPUgho+DGZPkxswQz/FJ+piopr22sECU0A==" saltValue="YSd8YhfeF9KOTsVOLstUdw==" spinCount="100000" sheet="1" objects="1"/>
  <mergeCells count="23">
    <mergeCell ref="C1:F1"/>
    <mergeCell ref="U6:AA6"/>
    <mergeCell ref="M16:O16"/>
    <mergeCell ref="P16:Q16"/>
    <mergeCell ref="M17:O17"/>
    <mergeCell ref="P17:Q17"/>
    <mergeCell ref="M18:O18"/>
    <mergeCell ref="P18:Q18"/>
    <mergeCell ref="M19:O19"/>
    <mergeCell ref="P19:Q19"/>
    <mergeCell ref="M20:O20"/>
    <mergeCell ref="P20:Q20"/>
    <mergeCell ref="H33:S34"/>
    <mergeCell ref="K36:T37"/>
    <mergeCell ref="B40:E40"/>
    <mergeCell ref="B41:E41"/>
    <mergeCell ref="M21:O21"/>
    <mergeCell ref="P21:Q21"/>
    <mergeCell ref="M22:O22"/>
    <mergeCell ref="P22:Q22"/>
    <mergeCell ref="K23:L24"/>
    <mergeCell ref="M24:O24"/>
    <mergeCell ref="P24:Q24"/>
  </mergeCells>
  <dataValidations disablePrompts="1" count="1">
    <dataValidation type="list" allowBlank="1" showInputMessage="1" showErrorMessage="1" sqref="K28" xr:uid="{00000000-0002-0000-0600-000000000000}">
      <formula1>"X"</formula1>
    </dataValidation>
  </dataValidations>
  <pageMargins left="0.7" right="0.7" top="0.75" bottom="0.75" header="0.3" footer="0.3"/>
  <pageSetup scale="63" orientation="landscape" r:id="rId1"/>
  <headerFooter>
    <oddFooter>&amp;LRev. 8/26 Arizona Department of Education and Auditor General&amp;CFY 2026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C3BDB-7179-4DD0-A943-0C76DE5F692A}">
  <dimension ref="A1:AA34"/>
  <sheetViews>
    <sheetView showGridLines="0" workbookViewId="0"/>
  </sheetViews>
  <sheetFormatPr defaultColWidth="9.33203125" defaultRowHeight="12.75" customHeight="1" x14ac:dyDescent="0.25"/>
  <cols>
    <col min="1" max="1" width="2.77734375" customWidth="1"/>
    <col min="2" max="2" width="9.77734375" customWidth="1"/>
    <col min="3" max="3" width="10.33203125" customWidth="1"/>
    <col min="4" max="4" width="10.77734375" customWidth="1"/>
    <col min="5" max="17" width="6.77734375" customWidth="1"/>
    <col min="18" max="18" width="9.6640625" customWidth="1"/>
    <col min="19" max="19" width="10.77734375" customWidth="1"/>
    <col min="20" max="20" width="10.33203125" customWidth="1"/>
    <col min="21" max="22" width="11" customWidth="1"/>
    <col min="23" max="23" width="3.77734375" customWidth="1"/>
    <col min="24" max="24" width="9.33203125" customWidth="1"/>
  </cols>
  <sheetData>
    <row r="1" spans="1:27" ht="12.75" customHeight="1" x14ac:dyDescent="0.25">
      <c r="A1" s="52" t="s">
        <v>0</v>
      </c>
      <c r="D1" s="609" t="str">
        <f>'Cover Page'!D1</f>
        <v>Edge School, Inc., The</v>
      </c>
      <c r="E1" s="609"/>
      <c r="F1" s="609"/>
      <c r="G1" s="609"/>
      <c r="K1" s="6" t="s">
        <v>1</v>
      </c>
      <c r="L1" s="609" t="str">
        <f>'Cover Page'!M1</f>
        <v>Pima</v>
      </c>
      <c r="M1" s="609"/>
      <c r="P1" s="188"/>
      <c r="U1" s="6" t="s">
        <v>2</v>
      </c>
      <c r="V1" s="326" t="str">
        <f>'Cover Page'!R1</f>
        <v>108653000</v>
      </c>
    </row>
    <row r="2" spans="1:27" ht="12.75" customHeight="1" x14ac:dyDescent="0.25">
      <c r="Q2" s="188"/>
      <c r="T2" s="188"/>
    </row>
    <row r="3" spans="1:27" ht="12.75" customHeight="1" x14ac:dyDescent="0.25">
      <c r="A3" s="63" t="s">
        <v>307</v>
      </c>
      <c r="B3" s="57"/>
      <c r="C3" s="57"/>
      <c r="F3" s="711"/>
      <c r="G3" s="711"/>
      <c r="H3" s="711"/>
      <c r="K3" s="188"/>
      <c r="O3" s="188"/>
      <c r="P3" s="188"/>
      <c r="Q3" s="188"/>
      <c r="R3" s="188"/>
      <c r="S3" s="188"/>
      <c r="T3" s="188"/>
      <c r="U3" s="188"/>
      <c r="Y3" s="6"/>
    </row>
    <row r="4" spans="1:27" ht="6" customHeight="1" x14ac:dyDescent="0.25"/>
    <row r="5" spans="1:27" ht="12.75" customHeight="1" x14ac:dyDescent="0.25">
      <c r="A5" t="s">
        <v>308</v>
      </c>
    </row>
    <row r="6" spans="1:27" ht="12.75" customHeight="1" x14ac:dyDescent="0.25">
      <c r="E6" s="649" t="s">
        <v>309</v>
      </c>
      <c r="F6" s="671"/>
      <c r="G6" s="671"/>
      <c r="H6" s="671"/>
      <c r="I6" s="671"/>
      <c r="J6" s="671"/>
      <c r="K6" s="671"/>
      <c r="L6" s="671"/>
      <c r="M6" s="671"/>
      <c r="N6" s="671"/>
      <c r="O6" s="671"/>
      <c r="P6" s="671"/>
      <c r="Q6" s="671"/>
      <c r="R6" s="650"/>
    </row>
    <row r="7" spans="1:27" ht="12.75" customHeight="1" x14ac:dyDescent="0.25">
      <c r="B7" t="s">
        <v>310</v>
      </c>
      <c r="E7" s="25" t="s">
        <v>311</v>
      </c>
      <c r="F7" s="25">
        <v>1</v>
      </c>
      <c r="G7" s="25">
        <v>2</v>
      </c>
      <c r="H7" s="25">
        <v>3</v>
      </c>
      <c r="I7" s="25">
        <v>4</v>
      </c>
      <c r="J7" s="25">
        <v>5</v>
      </c>
      <c r="K7" s="25">
        <v>6</v>
      </c>
      <c r="L7" s="25">
        <v>7</v>
      </c>
      <c r="M7" s="25">
        <v>8</v>
      </c>
      <c r="N7" s="25">
        <v>9</v>
      </c>
      <c r="O7" s="25">
        <v>10</v>
      </c>
      <c r="P7" s="25">
        <v>11</v>
      </c>
      <c r="Q7" s="25">
        <v>12</v>
      </c>
      <c r="R7" s="25" t="s">
        <v>312</v>
      </c>
      <c r="S7" s="57"/>
      <c r="T7" s="57"/>
      <c r="AA7" s="148"/>
    </row>
    <row r="8" spans="1:27" ht="12.75" customHeight="1" x14ac:dyDescent="0.25">
      <c r="B8" t="s">
        <v>313</v>
      </c>
      <c r="E8" s="41">
        <v>0</v>
      </c>
      <c r="F8" s="41">
        <v>0</v>
      </c>
      <c r="G8" s="41">
        <v>0</v>
      </c>
      <c r="H8" s="41">
        <v>0</v>
      </c>
      <c r="I8" s="41">
        <v>0</v>
      </c>
      <c r="J8" s="41">
        <v>0</v>
      </c>
      <c r="K8" s="41">
        <v>0</v>
      </c>
      <c r="L8" s="41">
        <v>0</v>
      </c>
      <c r="M8" s="41">
        <v>0</v>
      </c>
      <c r="N8" s="41">
        <v>0</v>
      </c>
      <c r="O8" s="41">
        <v>0</v>
      </c>
      <c r="P8" s="41">
        <v>0</v>
      </c>
      <c r="Q8" s="41">
        <v>0</v>
      </c>
      <c r="R8" s="41">
        <f>SUM(E8:Q8)</f>
        <v>0</v>
      </c>
      <c r="S8" s="85" t="s">
        <v>27</v>
      </c>
      <c r="AA8" s="148" t="str">
        <f>IF(OR(E8="",F8="",G8="",H8="",I8="",J8="",K8="",L8="",M8="",N8="",O8="",P8="",Q8="",E9="",F9="",G9="",H9="",I9="",J9="",K9="",L9="",M9="",N9="",O9="",P9="",Q9=""),"yes","")</f>
        <v/>
      </c>
    </row>
    <row r="9" spans="1:27" ht="12.75" customHeight="1" x14ac:dyDescent="0.25">
      <c r="B9" t="s">
        <v>314</v>
      </c>
      <c r="E9" s="41">
        <v>0</v>
      </c>
      <c r="F9" s="41">
        <v>0</v>
      </c>
      <c r="G9" s="41">
        <v>0</v>
      </c>
      <c r="H9" s="41">
        <v>0</v>
      </c>
      <c r="I9" s="41">
        <v>0</v>
      </c>
      <c r="J9" s="41">
        <v>0</v>
      </c>
      <c r="K9" s="41">
        <v>0</v>
      </c>
      <c r="L9" s="41">
        <v>0</v>
      </c>
      <c r="M9" s="41">
        <v>0</v>
      </c>
      <c r="N9" s="41">
        <v>0</v>
      </c>
      <c r="O9" s="41">
        <v>0</v>
      </c>
      <c r="P9" s="41">
        <v>0</v>
      </c>
      <c r="Q9" s="41">
        <v>0</v>
      </c>
      <c r="R9" s="41">
        <f>SUM(E9:Q9)</f>
        <v>0</v>
      </c>
      <c r="S9" s="85" t="s">
        <v>29</v>
      </c>
      <c r="AA9" s="148" t="str">
        <f>IF(OR(E10="",F10="",G10="",H10="",I10="",J10="",K10="",L10="",M10="",N10="",O10="",P10="",Q10=""),"yes","")</f>
        <v/>
      </c>
    </row>
    <row r="10" spans="1:27" ht="12.75" customHeight="1" x14ac:dyDescent="0.25">
      <c r="B10" t="s">
        <v>315</v>
      </c>
      <c r="E10" s="314">
        <v>0</v>
      </c>
      <c r="F10" s="314">
        <v>0</v>
      </c>
      <c r="G10" s="314">
        <v>0</v>
      </c>
      <c r="H10" s="314">
        <v>0</v>
      </c>
      <c r="I10" s="314">
        <v>0</v>
      </c>
      <c r="J10" s="314">
        <v>0</v>
      </c>
      <c r="K10" s="314">
        <v>0</v>
      </c>
      <c r="L10" s="314">
        <v>0</v>
      </c>
      <c r="M10" s="314">
        <v>0</v>
      </c>
      <c r="N10" s="314">
        <v>0</v>
      </c>
      <c r="O10" s="314">
        <v>0</v>
      </c>
      <c r="P10" s="314">
        <v>0</v>
      </c>
      <c r="Q10" s="314">
        <v>0</v>
      </c>
      <c r="R10" s="314">
        <f>SUM(E10:Q10)</f>
        <v>0</v>
      </c>
      <c r="S10" s="85" t="s">
        <v>31</v>
      </c>
      <c r="AA10" s="148"/>
    </row>
    <row r="11" spans="1:27" ht="12.75" customHeight="1" x14ac:dyDescent="0.25">
      <c r="B11" t="s">
        <v>316</v>
      </c>
      <c r="E11" s="708">
        <f t="shared" ref="E11:Q11" si="0">SUM(E8:E10)</f>
        <v>0</v>
      </c>
      <c r="F11" s="708">
        <f t="shared" si="0"/>
        <v>0</v>
      </c>
      <c r="G11" s="708">
        <f t="shared" si="0"/>
        <v>0</v>
      </c>
      <c r="H11" s="708">
        <f t="shared" si="0"/>
        <v>0</v>
      </c>
      <c r="I11" s="708">
        <f t="shared" si="0"/>
        <v>0</v>
      </c>
      <c r="J11" s="708">
        <f t="shared" si="0"/>
        <v>0</v>
      </c>
      <c r="K11" s="708">
        <f t="shared" si="0"/>
        <v>0</v>
      </c>
      <c r="L11" s="708">
        <f t="shared" si="0"/>
        <v>0</v>
      </c>
      <c r="M11" s="708">
        <f t="shared" si="0"/>
        <v>0</v>
      </c>
      <c r="N11" s="708">
        <f t="shared" si="0"/>
        <v>0</v>
      </c>
      <c r="O11" s="708">
        <f t="shared" si="0"/>
        <v>0</v>
      </c>
      <c r="P11" s="708">
        <f t="shared" si="0"/>
        <v>0</v>
      </c>
      <c r="Q11" s="708">
        <f t="shared" si="0"/>
        <v>0</v>
      </c>
      <c r="R11" s="708">
        <f>SUM(E11:Q11)</f>
        <v>0</v>
      </c>
      <c r="S11" s="85"/>
      <c r="AA11" s="148" t="str">
        <f>IF(OR(D17="",D18="",T16="",T17="",T18="",T19="",T20="",T21="",T22="",T25=""),"yes","")</f>
        <v/>
      </c>
    </row>
    <row r="12" spans="1:27" ht="13.5" customHeight="1" x14ac:dyDescent="0.25">
      <c r="B12" t="s">
        <v>317</v>
      </c>
      <c r="E12" s="709"/>
      <c r="F12" s="709"/>
      <c r="G12" s="709"/>
      <c r="H12" s="709"/>
      <c r="I12" s="709"/>
      <c r="J12" s="709"/>
      <c r="K12" s="709"/>
      <c r="L12" s="709"/>
      <c r="M12" s="709"/>
      <c r="N12" s="709"/>
      <c r="O12" s="709"/>
      <c r="P12" s="709"/>
      <c r="Q12" s="709"/>
      <c r="R12" s="709"/>
      <c r="S12" s="85" t="s">
        <v>34</v>
      </c>
      <c r="AA12" s="148" t="str">
        <f>IF(AND(AA8="",AA9="",AA11=""),"","yes")</f>
        <v/>
      </c>
    </row>
    <row r="13" spans="1:27" ht="16.5" customHeight="1" x14ac:dyDescent="0.25">
      <c r="AA13" s="148"/>
    </row>
    <row r="14" spans="1:27" ht="12.75" customHeight="1" x14ac:dyDescent="0.25">
      <c r="A14" s="706" t="s">
        <v>318</v>
      </c>
      <c r="B14" s="706"/>
      <c r="C14" s="706"/>
      <c r="D14" s="706"/>
      <c r="E14" s="706"/>
      <c r="G14" s="68"/>
      <c r="AA14" s="148"/>
    </row>
    <row r="15" spans="1:27" ht="25.5" customHeight="1" x14ac:dyDescent="0.25">
      <c r="A15" s="58"/>
      <c r="B15" s="710" t="s">
        <v>319</v>
      </c>
      <c r="C15" s="710"/>
      <c r="D15" s="710"/>
      <c r="E15" s="710"/>
      <c r="G15" s="69"/>
      <c r="K15" s="58" t="s">
        <v>320</v>
      </c>
      <c r="L15" s="58"/>
      <c r="M15" s="58"/>
      <c r="N15" s="58"/>
      <c r="O15" s="58"/>
      <c r="P15" s="58"/>
      <c r="Q15" s="58"/>
      <c r="R15" s="58"/>
      <c r="S15" s="488" t="s">
        <v>321</v>
      </c>
      <c r="T15" s="46" t="s">
        <v>322</v>
      </c>
      <c r="AA15" s="148"/>
    </row>
    <row r="16" spans="1:27" ht="12.75" customHeight="1" x14ac:dyDescent="0.25">
      <c r="B16" s="53" t="s">
        <v>323</v>
      </c>
      <c r="K16" s="489" t="s">
        <v>27</v>
      </c>
      <c r="L16" s="706" t="s">
        <v>324</v>
      </c>
      <c r="M16" s="706"/>
      <c r="N16" s="706"/>
      <c r="O16" s="706"/>
      <c r="P16" s="706"/>
      <c r="Q16" s="58"/>
      <c r="R16" s="58"/>
      <c r="S16" s="278">
        <v>200939</v>
      </c>
      <c r="T16" s="278">
        <v>194587.27</v>
      </c>
      <c r="U16" s="85" t="s">
        <v>27</v>
      </c>
    </row>
    <row r="17" spans="1:21" ht="12.75" customHeight="1" x14ac:dyDescent="0.25">
      <c r="B17" t="s">
        <v>325</v>
      </c>
      <c r="C17" s="160" t="s">
        <v>19</v>
      </c>
      <c r="D17" s="201">
        <v>0</v>
      </c>
      <c r="K17" s="489" t="s">
        <v>29</v>
      </c>
      <c r="L17" s="706" t="s">
        <v>326</v>
      </c>
      <c r="M17" s="706"/>
      <c r="N17" s="706"/>
      <c r="O17" s="490"/>
      <c r="P17" s="58"/>
      <c r="Q17" s="58"/>
      <c r="R17" s="58"/>
      <c r="S17" s="278">
        <v>0</v>
      </c>
      <c r="T17" s="278">
        <v>0</v>
      </c>
      <c r="U17" s="85" t="s">
        <v>29</v>
      </c>
    </row>
    <row r="18" spans="1:21" ht="12.75" customHeight="1" x14ac:dyDescent="0.25">
      <c r="B18" s="85" t="s">
        <v>327</v>
      </c>
      <c r="C18" s="160" t="s">
        <v>19</v>
      </c>
      <c r="D18" s="327">
        <v>0</v>
      </c>
      <c r="K18" s="489" t="s">
        <v>31</v>
      </c>
      <c r="L18" s="58" t="s">
        <v>328</v>
      </c>
      <c r="M18" s="58"/>
      <c r="N18" s="58"/>
      <c r="O18" s="58"/>
      <c r="P18" s="58"/>
      <c r="Q18" s="58"/>
      <c r="R18" s="58"/>
      <c r="S18" s="491">
        <v>0</v>
      </c>
      <c r="T18" s="278">
        <v>0</v>
      </c>
      <c r="U18" s="85" t="s">
        <v>31</v>
      </c>
    </row>
    <row r="19" spans="1:21" ht="12.75" customHeight="1" x14ac:dyDescent="0.25">
      <c r="B19" t="s">
        <v>329</v>
      </c>
      <c r="C19" s="160" t="s">
        <v>19</v>
      </c>
      <c r="D19" s="328">
        <f>SUM(D17:D18)</f>
        <v>0</v>
      </c>
      <c r="E19" s="169"/>
      <c r="K19" s="189" t="s">
        <v>34</v>
      </c>
      <c r="L19" t="s">
        <v>330</v>
      </c>
      <c r="S19" s="278">
        <v>0</v>
      </c>
      <c r="T19" s="278">
        <v>0</v>
      </c>
      <c r="U19" s="85" t="s">
        <v>34</v>
      </c>
    </row>
    <row r="20" spans="1:21" ht="12.75" customHeight="1" x14ac:dyDescent="0.25">
      <c r="K20" s="189" t="s">
        <v>36</v>
      </c>
      <c r="L20" t="s">
        <v>331</v>
      </c>
      <c r="S20" s="278">
        <v>0</v>
      </c>
      <c r="T20" s="278">
        <v>0</v>
      </c>
      <c r="U20" s="85" t="s">
        <v>36</v>
      </c>
    </row>
    <row r="21" spans="1:21" ht="13.2" customHeight="1" x14ac:dyDescent="0.25">
      <c r="K21" s="189" t="s">
        <v>38</v>
      </c>
      <c r="L21" t="s">
        <v>332</v>
      </c>
      <c r="S21" s="278">
        <v>0</v>
      </c>
      <c r="T21" s="278">
        <v>0</v>
      </c>
      <c r="U21" s="85" t="s">
        <v>38</v>
      </c>
    </row>
    <row r="22" spans="1:21" ht="12" customHeight="1" x14ac:dyDescent="0.25">
      <c r="K22" s="189" t="s">
        <v>40</v>
      </c>
      <c r="L22" t="s">
        <v>333</v>
      </c>
      <c r="S22" s="313">
        <v>0</v>
      </c>
      <c r="T22" s="313">
        <v>0</v>
      </c>
      <c r="U22" s="85" t="s">
        <v>40</v>
      </c>
    </row>
    <row r="23" spans="1:21" ht="12.75" customHeight="1" x14ac:dyDescent="0.25">
      <c r="K23" s="189" t="s">
        <v>42</v>
      </c>
      <c r="L23" s="639" t="s">
        <v>334</v>
      </c>
      <c r="M23" s="639"/>
      <c r="N23" s="639"/>
      <c r="O23" s="639"/>
      <c r="P23" s="639"/>
      <c r="Q23" s="19"/>
      <c r="S23" s="329">
        <f>SUM(S16:S22)</f>
        <v>200939</v>
      </c>
      <c r="T23" s="329">
        <f>SUM(T16:T22)</f>
        <v>194587</v>
      </c>
      <c r="U23" s="85" t="s">
        <v>42</v>
      </c>
    </row>
    <row r="24" spans="1:21" ht="12.75" customHeight="1" x14ac:dyDescent="0.25">
      <c r="A24" s="160"/>
      <c r="B24" s="636"/>
      <c r="C24" s="636"/>
      <c r="D24" s="636"/>
      <c r="E24" s="636"/>
      <c r="F24" s="636"/>
      <c r="G24" s="636"/>
      <c r="H24" s="636"/>
      <c r="K24" s="189"/>
      <c r="U24" s="85"/>
    </row>
    <row r="25" spans="1:21" ht="12.75" customHeight="1" x14ac:dyDescent="0.25">
      <c r="A25" s="160"/>
      <c r="B25" s="636"/>
      <c r="C25" s="636"/>
      <c r="D25" s="636"/>
      <c r="E25" s="636"/>
      <c r="F25" s="636"/>
      <c r="G25" s="636"/>
      <c r="H25" s="636"/>
      <c r="K25" s="189" t="s">
        <v>44</v>
      </c>
      <c r="L25" s="707" t="s">
        <v>335</v>
      </c>
      <c r="M25" s="707"/>
      <c r="N25" s="707"/>
      <c r="O25" s="707"/>
      <c r="P25" s="707"/>
      <c r="Q25" s="707"/>
      <c r="R25" s="707"/>
      <c r="S25" s="700">
        <v>0</v>
      </c>
      <c r="T25" s="702">
        <v>0</v>
      </c>
      <c r="U25" s="85" t="s">
        <v>44</v>
      </c>
    </row>
    <row r="26" spans="1:21" ht="19.5" customHeight="1" x14ac:dyDescent="0.25">
      <c r="A26" s="189"/>
      <c r="L26" s="707"/>
      <c r="M26" s="707"/>
      <c r="N26" s="707"/>
      <c r="O26" s="707"/>
      <c r="P26" s="707"/>
      <c r="Q26" s="707"/>
      <c r="R26" s="707"/>
      <c r="S26" s="701"/>
      <c r="T26" s="703"/>
    </row>
    <row r="27" spans="1:21" ht="19.5" customHeight="1" x14ac:dyDescent="0.25">
      <c r="A27" s="189"/>
      <c r="J27" s="330"/>
      <c r="K27" s="330"/>
      <c r="L27" s="31"/>
      <c r="M27" s="31"/>
      <c r="N27" s="31"/>
      <c r="O27" s="31"/>
      <c r="P27" s="31"/>
      <c r="Q27" s="31"/>
      <c r="R27" s="31"/>
      <c r="S27" s="331"/>
      <c r="T27" s="332"/>
    </row>
    <row r="28" spans="1:21" ht="12.75" customHeight="1" x14ac:dyDescent="0.25">
      <c r="K28" s="492" t="s">
        <v>336</v>
      </c>
      <c r="L28" s="333"/>
      <c r="M28" s="333"/>
      <c r="N28" s="333"/>
      <c r="O28" s="333"/>
      <c r="P28" s="333"/>
      <c r="Q28" s="333"/>
      <c r="R28" s="333"/>
      <c r="S28" s="333"/>
      <c r="T28" s="25" t="s">
        <v>337</v>
      </c>
    </row>
    <row r="29" spans="1:21" ht="46.5" customHeight="1" x14ac:dyDescent="0.25">
      <c r="K29" s="334" t="s">
        <v>338</v>
      </c>
      <c r="L29" s="704" t="s">
        <v>339</v>
      </c>
      <c r="M29" s="704"/>
      <c r="N29" s="704"/>
      <c r="O29" s="704"/>
      <c r="P29" s="704"/>
      <c r="Q29" s="704"/>
      <c r="R29" s="704"/>
      <c r="S29" s="705"/>
      <c r="T29" s="278">
        <v>223099</v>
      </c>
      <c r="U29" s="335" t="s">
        <v>338</v>
      </c>
    </row>
    <row r="30" spans="1:21" ht="44.25" customHeight="1" x14ac:dyDescent="0.25">
      <c r="K30" s="334" t="s">
        <v>29</v>
      </c>
      <c r="L30" s="698" t="s">
        <v>340</v>
      </c>
      <c r="M30" s="698"/>
      <c r="N30" s="698"/>
      <c r="O30" s="698"/>
      <c r="P30" s="698"/>
      <c r="Q30" s="698"/>
      <c r="R30" s="698"/>
      <c r="S30" s="699"/>
      <c r="T30" s="278">
        <v>172626</v>
      </c>
      <c r="U30" s="335" t="s">
        <v>29</v>
      </c>
    </row>
    <row r="31" spans="1:21" ht="42" customHeight="1" x14ac:dyDescent="0.25">
      <c r="K31" s="334" t="s">
        <v>31</v>
      </c>
      <c r="L31" s="698" t="s">
        <v>341</v>
      </c>
      <c r="M31" s="698"/>
      <c r="N31" s="698"/>
      <c r="O31" s="698"/>
      <c r="P31" s="698"/>
      <c r="Q31" s="698"/>
      <c r="R31" s="698"/>
      <c r="S31" s="699"/>
      <c r="T31" s="278">
        <v>35876</v>
      </c>
      <c r="U31" s="335" t="s">
        <v>31</v>
      </c>
    </row>
    <row r="32" spans="1:21" ht="45.75" customHeight="1" x14ac:dyDescent="0.25">
      <c r="K32" s="334" t="s">
        <v>34</v>
      </c>
      <c r="L32" s="698" t="s">
        <v>342</v>
      </c>
      <c r="M32" s="698"/>
      <c r="N32" s="698"/>
      <c r="O32" s="698"/>
      <c r="P32" s="698"/>
      <c r="Q32" s="698"/>
      <c r="R32" s="698"/>
      <c r="S32" s="699"/>
      <c r="T32" s="278">
        <v>14596</v>
      </c>
      <c r="U32" s="335" t="s">
        <v>34</v>
      </c>
    </row>
    <row r="33" spans="11:21" ht="45" customHeight="1" x14ac:dyDescent="0.25">
      <c r="K33" s="334" t="s">
        <v>36</v>
      </c>
      <c r="L33" s="698" t="s">
        <v>343</v>
      </c>
      <c r="M33" s="698"/>
      <c r="N33" s="698"/>
      <c r="O33" s="698"/>
      <c r="P33" s="698"/>
      <c r="Q33" s="698"/>
      <c r="R33" s="698"/>
      <c r="S33" s="699"/>
      <c r="T33" s="336">
        <v>0</v>
      </c>
      <c r="U33" s="335" t="s">
        <v>36</v>
      </c>
    </row>
    <row r="34" spans="11:21" ht="13.2" customHeight="1" x14ac:dyDescent="0.25">
      <c r="L34" s="163"/>
      <c r="M34" s="163"/>
      <c r="N34" s="163"/>
      <c r="O34" s="163"/>
      <c r="P34" s="163"/>
      <c r="Q34" s="163"/>
      <c r="R34" s="163"/>
      <c r="S34" s="163"/>
    </row>
  </sheetData>
  <sheetProtection algorithmName="SHA-512" hashValue="GdbBr8WMGCNLLUjfchWFipxZ9OJK/NTuOdzGNNSj5k0lR6uE/2CnWw1zsYCYBXMCOqujR+1YDijXIB8o8yth3g==" saltValue="V2uT/r5rAsL85FjlRoNjAg==" spinCount="100000" sheet="1" objects="1"/>
  <mergeCells count="33">
    <mergeCell ref="D1:G1"/>
    <mergeCell ref="L1:M1"/>
    <mergeCell ref="F3:H3"/>
    <mergeCell ref="E6:R6"/>
    <mergeCell ref="E11:E12"/>
    <mergeCell ref="F11:F12"/>
    <mergeCell ref="G11:G12"/>
    <mergeCell ref="H11:H12"/>
    <mergeCell ref="I11:I12"/>
    <mergeCell ref="J11:J12"/>
    <mergeCell ref="K11:K12"/>
    <mergeCell ref="L11:L12"/>
    <mergeCell ref="M11:M12"/>
    <mergeCell ref="N11:N12"/>
    <mergeCell ref="O11:O12"/>
    <mergeCell ref="P11:P12"/>
    <mergeCell ref="Q11:Q12"/>
    <mergeCell ref="R11:R12"/>
    <mergeCell ref="A14:E14"/>
    <mergeCell ref="B15:E15"/>
    <mergeCell ref="L16:P16"/>
    <mergeCell ref="L17:N17"/>
    <mergeCell ref="L23:P23"/>
    <mergeCell ref="B24:H24"/>
    <mergeCell ref="B25:H25"/>
    <mergeCell ref="L25:R26"/>
    <mergeCell ref="L32:S32"/>
    <mergeCell ref="L33:S33"/>
    <mergeCell ref="S25:S26"/>
    <mergeCell ref="T25:T26"/>
    <mergeCell ref="L29:S29"/>
    <mergeCell ref="L30:S30"/>
    <mergeCell ref="L31:S31"/>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DF450-DE68-4942-B800-97A2E5966727}">
  <dimension ref="A1:AC42"/>
  <sheetViews>
    <sheetView showGridLines="0" workbookViewId="0"/>
  </sheetViews>
  <sheetFormatPr defaultColWidth="9.33203125" defaultRowHeight="13.2" x14ac:dyDescent="0.25"/>
  <cols>
    <col min="1" max="1" width="21.33203125" customWidth="1"/>
    <col min="2" max="2" width="19.33203125" customWidth="1"/>
    <col min="3" max="3" width="13" customWidth="1"/>
    <col min="4" max="4" width="3.77734375" style="160" customWidth="1"/>
    <col min="5" max="12" width="13.77734375" customWidth="1"/>
    <col min="13" max="13" width="15.33203125" customWidth="1"/>
    <col min="14" max="14" width="13.77734375" customWidth="1"/>
    <col min="15" max="15" width="3.33203125" bestFit="1" customWidth="1"/>
    <col min="16" max="17" width="9.33203125" customWidth="1"/>
    <col min="18" max="18" width="9.33203125" hidden="1" customWidth="1"/>
    <col min="19" max="19" width="11" hidden="1" customWidth="1"/>
    <col min="20" max="25" width="9.33203125" hidden="1" customWidth="1"/>
    <col min="26" max="26" width="9.33203125" customWidth="1"/>
  </cols>
  <sheetData>
    <row r="1" spans="1:29" x14ac:dyDescent="0.25">
      <c r="A1" s="52" t="s">
        <v>0</v>
      </c>
      <c r="B1" s="609" t="str">
        <f>'Cover Page'!D1</f>
        <v>Edge School, Inc., The</v>
      </c>
      <c r="C1" s="609"/>
      <c r="D1" s="609"/>
      <c r="G1" s="6" t="s">
        <v>1</v>
      </c>
      <c r="H1" s="609" t="str">
        <f>'Cover Page'!M1</f>
        <v>Pima</v>
      </c>
      <c r="I1" s="609"/>
      <c r="M1" s="6" t="s">
        <v>2</v>
      </c>
      <c r="N1" s="54" t="str">
        <f>'Cover Page'!R1</f>
        <v>108653000</v>
      </c>
    </row>
    <row r="3" spans="1:29" x14ac:dyDescent="0.25">
      <c r="A3" s="623" t="s">
        <v>344</v>
      </c>
      <c r="B3" s="623"/>
      <c r="C3" s="623"/>
      <c r="D3" s="623"/>
      <c r="E3" s="493" t="s">
        <v>206</v>
      </c>
      <c r="F3" s="493" t="s">
        <v>345</v>
      </c>
      <c r="G3" s="51"/>
      <c r="H3" s="51" t="s">
        <v>346</v>
      </c>
      <c r="I3" s="51"/>
      <c r="J3" s="307"/>
      <c r="K3" s="308"/>
      <c r="L3" s="308" t="s">
        <v>347</v>
      </c>
      <c r="M3" s="51" t="s">
        <v>348</v>
      </c>
      <c r="N3" s="51" t="s">
        <v>209</v>
      </c>
    </row>
    <row r="4" spans="1:29" x14ac:dyDescent="0.25">
      <c r="A4" s="58"/>
      <c r="B4" s="660" t="s">
        <v>349</v>
      </c>
      <c r="C4" s="660"/>
      <c r="D4" s="494"/>
      <c r="E4" s="483" t="s">
        <v>211</v>
      </c>
      <c r="F4" s="483" t="s">
        <v>350</v>
      </c>
      <c r="G4" s="309" t="s">
        <v>24</v>
      </c>
      <c r="H4" s="309" t="s">
        <v>351</v>
      </c>
      <c r="I4" s="309" t="s">
        <v>352</v>
      </c>
      <c r="J4" s="712" t="s">
        <v>105</v>
      </c>
      <c r="K4" s="713"/>
      <c r="L4" s="310" t="s">
        <v>353</v>
      </c>
      <c r="M4" s="309" t="s">
        <v>354</v>
      </c>
      <c r="N4" s="309" t="s">
        <v>212</v>
      </c>
      <c r="AA4" s="69"/>
      <c r="AB4" s="148"/>
      <c r="AC4" s="148"/>
    </row>
    <row r="5" spans="1:29" x14ac:dyDescent="0.25">
      <c r="A5" s="52" t="s">
        <v>355</v>
      </c>
      <c r="B5" s="58"/>
      <c r="C5" s="58"/>
      <c r="D5" s="494"/>
      <c r="E5" s="484" t="s">
        <v>212</v>
      </c>
      <c r="F5" s="484" t="s">
        <v>356</v>
      </c>
      <c r="G5" s="311" t="s">
        <v>115</v>
      </c>
      <c r="H5" s="311" t="s">
        <v>115</v>
      </c>
      <c r="I5" s="311" t="s">
        <v>115</v>
      </c>
      <c r="J5" s="25" t="s">
        <v>114</v>
      </c>
      <c r="K5" s="25" t="s">
        <v>26</v>
      </c>
      <c r="L5" s="311" t="s">
        <v>357</v>
      </c>
      <c r="M5" s="311" t="s">
        <v>115</v>
      </c>
      <c r="N5" s="311" t="s">
        <v>115</v>
      </c>
      <c r="T5" s="69"/>
      <c r="AB5" s="148"/>
      <c r="AC5" s="148"/>
    </row>
    <row r="6" spans="1:29" x14ac:dyDescent="0.25">
      <c r="A6" s="58" t="s">
        <v>358</v>
      </c>
      <c r="B6" s="58"/>
      <c r="C6" s="58"/>
      <c r="D6" s="494" t="s">
        <v>27</v>
      </c>
      <c r="E6" s="278">
        <v>0</v>
      </c>
      <c r="F6" s="278">
        <v>0</v>
      </c>
      <c r="G6" s="278">
        <f>-(SUMIFS('Accounting data'!$G$2:$G$37000,'Accounting data'!$H$2:$H$37000,"1100*",'Accounting data'!$K$2:$K$37000,"1*")+SUMIFS('Accounting data'!$G$2:$G$37000,'Accounting data'!$H$2:$H$37000,"1100*",'Accounting data'!$K$2:$K$37000,"2*")+SUMIFS('Accounting data'!$G$2:$G$37000,'Accounting data'!$H$2:$H$37000,"1100*",'Accounting data'!$K$2:$K$37000,"3*")+SUMIFS('Accounting data'!$G$2:$G$37000,'Accounting data'!$H$2:$H$37000,"1100*",'Accounting data'!$K$2:$K$37000,"4*")+SUMIFS('Accounting data'!$G$2:$G$37000,'Accounting data'!$H$2:$H$37000,"1100*",'Accounting data'!$K$2:$K$37000,"Other*"))</f>
        <v>48749</v>
      </c>
      <c r="H6" s="41">
        <f>SUMIFS('Accounting data'!$G$2:$G$37000,'Accounting data'!$H$2:$H$37000,"1100*",'Accounting data'!$K$2:$K$37000,"69*")</f>
        <v>3997</v>
      </c>
      <c r="I6" s="41">
        <v>0</v>
      </c>
      <c r="J6" s="278">
        <v>45875</v>
      </c>
      <c r="K6" s="41">
        <f>SUMIFS('Accounting data'!$G$2:$G$37000,'Accounting data'!$H$2:$H$37000,"1100*",'Accounting data'!$K$2:$K$37000,"6*")-SUMIFS('Accounting data'!$G$2:$G$37000,'Accounting data'!$H$2:$H$37000,"1100*",'Accounting data'!$K$2:$K$37000,"69*")-SUMIFS('Accounting data'!$G$2:$G$37000,'Accounting data'!$H$2:$H$37000,"1100*",'Accounting data'!$K$2:$K$37000,"67*")</f>
        <v>44752</v>
      </c>
      <c r="L6" s="312"/>
      <c r="M6" s="41">
        <v>0</v>
      </c>
      <c r="N6" s="41">
        <f t="shared" ref="N6:N21" si="0">SUM(IF(F6="",E6,F6)+G6-H6-I6-K6-M6)</f>
        <v>0</v>
      </c>
      <c r="O6" s="292" t="s">
        <v>27</v>
      </c>
      <c r="P6" s="191"/>
      <c r="AB6" s="148"/>
      <c r="AC6" s="148" t="str">
        <f>IF(OR(I6="",I7="",I8="",I9="",I10="",I11="",I12="",I13="",I14="",I15="",I16="",I17="",I18="",I19="",I20="",I21="",I22=""),"yes","")</f>
        <v/>
      </c>
    </row>
    <row r="7" spans="1:29" x14ac:dyDescent="0.25">
      <c r="A7" s="58" t="s">
        <v>359</v>
      </c>
      <c r="B7" s="58"/>
      <c r="C7" s="58"/>
      <c r="D7" s="494" t="s">
        <v>29</v>
      </c>
      <c r="E7" s="278">
        <v>0</v>
      </c>
      <c r="F7" s="278">
        <v>0</v>
      </c>
      <c r="G7" s="278">
        <f>-(SUMIFS('Accounting data'!$G$2:$G$37000,'Accounting data'!$H$2:$H$37000,"1140*",'Accounting data'!$K$2:$K$37000,"1*")+SUMIFS('Accounting data'!$G$2:$G$37000,'Accounting data'!$H$2:$H$37000,"1140*",'Accounting data'!$K$2:$K$37000,"2*")+SUMIFS('Accounting data'!$G$2:$G$37000,'Accounting data'!$H$2:$H$37000,"1140*",'Accounting data'!$K$2:$K$37000,"3*")+SUMIFS('Accounting data'!$G$2:$G$37000,'Accounting data'!$H$2:$H$37000,"1140*",'Accounting data'!$K$2:$K$37000,"4*")+SUMIFS('Accounting data'!$G$2:$G$37000,'Accounting data'!$H$2:$H$37000,"1140*",'Accounting data'!$K$2:$K$37000,"Other*"))</f>
        <v>0</v>
      </c>
      <c r="H7" s="41">
        <f>SUMIFS('Accounting data'!$G$2:$G$37000,'Accounting data'!$H$2:$H$37000,"1140*",'Accounting data'!$K$2:$K$37000,"69*")</f>
        <v>0</v>
      </c>
      <c r="I7" s="41">
        <v>0</v>
      </c>
      <c r="J7" s="278">
        <v>0</v>
      </c>
      <c r="K7" s="41">
        <f>SUMIFS('Accounting data'!$G$2:$G$37000,'Accounting data'!$H$2:$H$37000,"1140*",'Accounting data'!$K$2:$K$37000,"6*")-SUMIFS('Accounting data'!$G$2:$G$37000,'Accounting data'!$H$2:$H$37000,"1140*",'Accounting data'!$K$2:$K$37000,"69*")-SUMIFS('Accounting data'!$G$2:$G$37000,'Accounting data'!$H$2:$H$37000,"1140*",'Accounting data'!$K$2:$K$37000,"67*")</f>
        <v>0</v>
      </c>
      <c r="L7" s="312"/>
      <c r="M7" s="41">
        <v>0</v>
      </c>
      <c r="N7" s="41">
        <f t="shared" si="0"/>
        <v>0</v>
      </c>
      <c r="O7" t="s">
        <v>29</v>
      </c>
      <c r="AB7" s="148"/>
      <c r="AC7" s="148" t="str">
        <f>IF(OR(M6="",M7="",M8="",M9="",M10="",M11="",M12="",M13="",M14="",M15="",M16="",M17="",M18="",M19="",M20="",M21="",M22=""),"yes","")</f>
        <v/>
      </c>
    </row>
    <row r="8" spans="1:29" x14ac:dyDescent="0.25">
      <c r="A8" s="58" t="s">
        <v>360</v>
      </c>
      <c r="B8" s="58"/>
      <c r="C8" s="58"/>
      <c r="D8" s="494" t="s">
        <v>31</v>
      </c>
      <c r="E8" s="278">
        <v>0</v>
      </c>
      <c r="F8" s="278">
        <v>0</v>
      </c>
      <c r="G8" s="278">
        <f>-(SUMIFS('Accounting data'!$G$2:$G$37000,'Accounting data'!$H$2:$H$37000,"1160*",'Accounting data'!$K$2:$K$37000,"1*")+SUMIFS('Accounting data'!$G$2:$G$37000,'Accounting data'!$H$2:$H$37000,"1160*",'Accounting data'!$K$2:$K$37000,"2*")+SUMIFS('Accounting data'!$G$2:$G$37000,'Accounting data'!$H$2:$H$37000,"1160*",'Accounting data'!$K$2:$K$37000,"3*")+SUMIFS('Accounting data'!$G$2:$G$37000,'Accounting data'!$H$2:$H$37000,"1160*",'Accounting data'!$K$2:$K$37000,"4*")+SUMIFS('Accounting data'!$G$2:$G$37000,'Accounting data'!$H$2:$H$37000,"1160*",'Accounting data'!$K$2:$K$37000,"Other*"))</f>
        <v>10000</v>
      </c>
      <c r="H8" s="41">
        <f>SUMIFS('Accounting data'!$G$2:$G$37000,'Accounting data'!$H$2:$H$37000,"1160*",'Accounting data'!$K$2:$K$37000,"69*")</f>
        <v>0</v>
      </c>
      <c r="I8" s="41">
        <v>0</v>
      </c>
      <c r="J8" s="278">
        <v>10000</v>
      </c>
      <c r="K8" s="41">
        <f>SUMIFS('Accounting data'!$G$2:$G$37000,'Accounting data'!$H$2:$H$37000,"1160*",'Accounting data'!$K$2:$K$37000,"6*")-SUMIFS('Accounting data'!$G$2:$G$37000,'Accounting data'!$H$2:$H$37000,"1160*",'Accounting data'!$K$2:$K$37000,"69*")-SUMIFS('Accounting data'!$G$2:$G$37000,'Accounting data'!$H$2:$H$37000,"1160*",'Accounting data'!$K$2:$K$37000,"67*")</f>
        <v>10000</v>
      </c>
      <c r="L8" s="312"/>
      <c r="M8" s="41">
        <v>0</v>
      </c>
      <c r="N8" s="41">
        <f t="shared" si="0"/>
        <v>0</v>
      </c>
      <c r="O8" t="s">
        <v>31</v>
      </c>
      <c r="AB8" s="148"/>
      <c r="AC8" s="148" t="str">
        <f>IF(OR(I25="",J25="",M25=""),"yes","")</f>
        <v>yes</v>
      </c>
    </row>
    <row r="9" spans="1:29" x14ac:dyDescent="0.25">
      <c r="A9" s="58" t="s">
        <v>361</v>
      </c>
      <c r="B9" s="58"/>
      <c r="C9" s="58"/>
      <c r="D9" s="494" t="s">
        <v>34</v>
      </c>
      <c r="E9" s="278">
        <v>0</v>
      </c>
      <c r="F9" s="278">
        <v>0</v>
      </c>
      <c r="G9" s="278">
        <f>-(SUMIFS('Accounting data'!$G$2:$G$37000,'Accounting data'!$H$2:$H$37000,"1170*",'Accounting data'!$K$2:$K$37000,"1*")+SUMIFS('Accounting data'!$G$2:$G$37000,'Accounting data'!$H$2:$H$37000,"1170*",'Accounting data'!$K$2:$K$37000,"2*")+SUMIFS('Accounting data'!$G$2:$G$37000,'Accounting data'!$H$2:$H$37000,"1170*",'Accounting data'!$K$2:$K$37000,"3*")+SUMIFS('Accounting data'!$G$2:$G$37000,'Accounting data'!$H$2:$H$37000,"1170*",'Accounting data'!$K$2:$K$37000,"4*")+SUMIFS('Accounting data'!$G$2:$G$37000,'Accounting data'!$H$2:$H$37000,"1170*",'Accounting data'!$K$2:$K$37000,"Other*"))</f>
        <v>0</v>
      </c>
      <c r="H9" s="41">
        <f>SUMIFS('Accounting data'!$G$2:$G$37000,'Accounting data'!$H$2:$H$37000,"1170*",'Accounting data'!$K$2:$K$37000,"69*")</f>
        <v>0</v>
      </c>
      <c r="I9" s="41">
        <v>0</v>
      </c>
      <c r="J9" s="278">
        <v>0</v>
      </c>
      <c r="K9" s="41">
        <f>SUMIFS('Accounting data'!$G$2:$G$37000,'Accounting data'!$H$2:$H$37000,"1170*",'Accounting data'!$K$2:$K$37000,"6*")-SUMIFS('Accounting data'!$G$2:$G$37000,'Accounting data'!$H$2:$H$37000,"1170*",'Accounting data'!$K$2:$K$37000,"69*")-SUMIFS('Accounting data'!$G$2:$G$37000,'Accounting data'!$H$2:$H$37000,"1170*",'Accounting data'!$K$2:$K$37000,"67*")</f>
        <v>0</v>
      </c>
      <c r="L9" s="312"/>
      <c r="M9" s="41">
        <v>0</v>
      </c>
      <c r="N9" s="41">
        <f t="shared" si="0"/>
        <v>0</v>
      </c>
      <c r="O9" t="s">
        <v>34</v>
      </c>
      <c r="AB9" s="148"/>
      <c r="AC9" s="148" t="str">
        <f>IF(OR(I28="",I29="",I30="",I31="",I32="",I33="",I34="",I35="",I36="",I37="",I38="",I39=""),"yes","")</f>
        <v/>
      </c>
    </row>
    <row r="10" spans="1:29" x14ac:dyDescent="0.25">
      <c r="A10" s="58" t="s">
        <v>362</v>
      </c>
      <c r="B10" s="58"/>
      <c r="C10" s="58"/>
      <c r="D10" s="494" t="s">
        <v>36</v>
      </c>
      <c r="E10" s="278">
        <v>0</v>
      </c>
      <c r="F10" s="278">
        <v>0</v>
      </c>
      <c r="G10" s="278">
        <f>-(SUMIFS('Accounting data'!$G$2:$G$37000,'Accounting data'!$H$2:$H$37000,"1190*",'Accounting data'!$K$2:$K$37000,"1*")+SUMIFS('Accounting data'!$G$2:$G$37000,'Accounting data'!$H$2:$H$37000,"1190*",'Accounting data'!$K$2:$K$37000,"2*")+SUMIFS('Accounting data'!$G$2:$G$37000,'Accounting data'!$H$2:$H$37000,"1190*",'Accounting data'!$K$2:$K$37000,"3*")+SUMIFS('Accounting data'!$G$2:$G$37000,'Accounting data'!$H$2:$H$37000,"1190*",'Accounting data'!$K$2:$K$37000,"4*")+SUMIFS('Accounting data'!$G$2:$G$37000,'Accounting data'!$H$2:$H$37000,"1190*",'Accounting data'!$K$2:$K$37000,"Other*"))</f>
        <v>0</v>
      </c>
      <c r="H10" s="41">
        <f>SUMIFS('Accounting data'!$G$2:$G$37000,'Accounting data'!$H$2:$H$37000,"1190*",'Accounting data'!$K$2:$K$37000,"69*")</f>
        <v>0</v>
      </c>
      <c r="I10" s="41">
        <v>0</v>
      </c>
      <c r="J10" s="278">
        <v>0</v>
      </c>
      <c r="K10" s="41">
        <f>SUMIFS('Accounting data'!$G$2:$G$37000,'Accounting data'!$H$2:$H$37000,"1190*",'Accounting data'!$K$2:$K$37000,"6*")-SUMIFS('Accounting data'!$G$2:$G$37000,'Accounting data'!$H$2:$H$37000,"1190*",'Accounting data'!$K$2:$K$37000,"69*")-SUMIFS('Accounting data'!$G$2:$G$37000,'Accounting data'!$H$2:$H$37000,"1190*",'Accounting data'!$K$2:$K$37000,"67*")</f>
        <v>0</v>
      </c>
      <c r="L10" s="312"/>
      <c r="M10" s="41">
        <v>0</v>
      </c>
      <c r="N10" s="41">
        <f t="shared" si="0"/>
        <v>0</v>
      </c>
      <c r="O10" t="s">
        <v>36</v>
      </c>
      <c r="AB10" s="148"/>
      <c r="AC10" s="148" t="str">
        <f>IF(OR(M28="",M29="",M30="",M31="",M32="",M33="",M34="",M35="",M36="",M37="",M38="",M39=""),"yes","")</f>
        <v/>
      </c>
    </row>
    <row r="11" spans="1:29" x14ac:dyDescent="0.25">
      <c r="A11" s="58" t="s">
        <v>363</v>
      </c>
      <c r="B11" s="58"/>
      <c r="C11" s="58"/>
      <c r="D11" s="494" t="s">
        <v>38</v>
      </c>
      <c r="E11" s="278">
        <v>0</v>
      </c>
      <c r="F11" s="278">
        <v>0</v>
      </c>
      <c r="G11" s="278">
        <f>-(SUMIFS('Accounting data'!$G$2:$G$37000,'Accounting data'!$H$2:$H$37000,"1200*",'Accounting data'!$K$2:$K$37000,"1*")+SUMIFS('Accounting data'!$G$2:$G$37000,'Accounting data'!$H$2:$H$37000,"1200*",'Accounting data'!$K$2:$K$37000,"2*")+SUMIFS('Accounting data'!$G$2:$G$37000,'Accounting data'!$H$2:$H$37000,"1200*",'Accounting data'!$K$2:$K$37000,"3*")+SUMIFS('Accounting data'!$G$2:$G$37000,'Accounting data'!$H$2:$H$37000,"1200*",'Accounting data'!$K$2:$K$37000,"4*")+SUMIFS('Accounting data'!$G$2:$G$37000,'Accounting data'!$H$2:$H$37000,"1200*",'Accounting data'!$K$2:$K$37000,"Other*"))</f>
        <v>0</v>
      </c>
      <c r="H11" s="41">
        <f>SUMIFS('Accounting data'!$G$2:$G$37000,'Accounting data'!$H$2:$H$37000,"1200*",'Accounting data'!$K$2:$K$37000,"69*")</f>
        <v>0</v>
      </c>
      <c r="I11" s="41">
        <v>0</v>
      </c>
      <c r="J11" s="278">
        <v>0</v>
      </c>
      <c r="K11" s="41">
        <f>SUMIFS('Accounting data'!$G$2:$G$37000,'Accounting data'!$H$2:$H$37000,"1200*",'Accounting data'!$K$2:$K$37000,"6*")-SUMIFS('Accounting data'!$G$2:$G$37000,'Accounting data'!$H$2:$H$37000,"1200*",'Accounting data'!$K$2:$K$37000,"69*")-SUMIFS('Accounting data'!$G$2:$G$37000,'Accounting data'!$H$2:$H$37000,"1200*",'Accounting data'!$K$2:$K$37000,"67*")</f>
        <v>0</v>
      </c>
      <c r="L11" s="312"/>
      <c r="M11" s="41">
        <v>0</v>
      </c>
      <c r="N11" s="41">
        <f t="shared" si="0"/>
        <v>0</v>
      </c>
      <c r="O11" t="s">
        <v>38</v>
      </c>
      <c r="AB11" s="148"/>
      <c r="AC11" s="148" t="str">
        <f>IF(AND(AC6="",AC8="",AC9="",AC7="",AC10=""),"","yes")</f>
        <v>yes</v>
      </c>
    </row>
    <row r="12" spans="1:29" x14ac:dyDescent="0.25">
      <c r="A12" s="58" t="s">
        <v>364</v>
      </c>
      <c r="B12" s="58"/>
      <c r="C12" s="58"/>
      <c r="D12" s="494" t="s">
        <v>40</v>
      </c>
      <c r="E12" s="278">
        <v>0</v>
      </c>
      <c r="F12" s="278">
        <v>0</v>
      </c>
      <c r="G12" s="278">
        <f>-(SUMIFS('Accounting data'!$G$2:$G$37000,'Accounting data'!$H$2:$H$37000,"1210*",'Accounting data'!$K$2:$K$37000,"1*")+SUMIFS('Accounting data'!$G$2:$G$37000,'Accounting data'!$H$2:$H$37000,"1210*",'Accounting data'!$K$2:$K$37000,"2*")+SUMIFS('Accounting data'!$G$2:$G$37000,'Accounting data'!$H$2:$H$37000,"1210*",'Accounting data'!$K$2:$K$37000,"3*")+SUMIFS('Accounting data'!$G$2:$G$37000,'Accounting data'!$H$2:$H$37000,"1210*",'Accounting data'!$K$2:$K$37000,"4*")+SUMIFS('Accounting data'!$G$2:$G$37000,'Accounting data'!$H$2:$H$37000,"1210*",'Accounting data'!$K$2:$K$37000,"Other*"))</f>
        <v>0</v>
      </c>
      <c r="H12" s="41">
        <f>SUMIFS('Accounting data'!$G$2:$G$37000,'Accounting data'!$H$2:$H$37000,"1210*",'Accounting data'!$K$2:$K$37000,"69*")</f>
        <v>0</v>
      </c>
      <c r="I12" s="41">
        <v>0</v>
      </c>
      <c r="J12" s="278">
        <v>0</v>
      </c>
      <c r="K12" s="41">
        <f>SUMIFS('Accounting data'!$G$2:$G$37000,'Accounting data'!$H$2:$H$37000,"1210*",'Accounting data'!$K$2:$K$37000,"6*")-SUMIFS('Accounting data'!$G$2:$G$37000,'Accounting data'!$H$2:$H$37000,"1210*",'Accounting data'!$K$2:$K$37000,"69*")-SUMIFS('Accounting data'!$G$2:$G$37000,'Accounting data'!$H$2:$H$37000,"1210*",'Accounting data'!$K$2:$K$37000,"67*")</f>
        <v>0</v>
      </c>
      <c r="L12" s="312"/>
      <c r="M12" s="41">
        <v>0</v>
      </c>
      <c r="N12" s="41">
        <f t="shared" si="0"/>
        <v>0</v>
      </c>
      <c r="O12" t="s">
        <v>40</v>
      </c>
      <c r="AB12" s="148"/>
      <c r="AC12" s="148"/>
    </row>
    <row r="13" spans="1:29" x14ac:dyDescent="0.25">
      <c r="A13" s="58" t="s">
        <v>365</v>
      </c>
      <c r="B13" s="58"/>
      <c r="C13" s="58"/>
      <c r="D13" s="494" t="s">
        <v>42</v>
      </c>
      <c r="E13" s="278">
        <v>0</v>
      </c>
      <c r="F13" s="278">
        <v>0</v>
      </c>
      <c r="G13" s="278">
        <f>-(SUMIFS('Accounting data'!$G$2:$G$37000,'Accounting data'!$H$2:$H$37000,"122*",'Accounting data'!$K$2:$K$37000,"1*")+SUMIFS('Accounting data'!$G$2:$G$37000,'Accounting data'!$H$2:$H$37000,"122*",'Accounting data'!$K$2:$K$37000,"2*")+SUMIFS('Accounting data'!$G$2:$G$37000,'Accounting data'!$H$2:$H$37000,"122*",'Accounting data'!$K$2:$K$37000,"3*")+SUMIFS('Accounting data'!$G$2:$G$37000,'Accounting data'!$H$2:$H$37000,"122*",'Accounting data'!$K$2:$K$37000,"4*")+SUMIFS('Accounting data'!$G$2:$G$37000,'Accounting data'!$H$2:$H$37000,"122*",'Accounting data'!$K$2:$K$37000,"Other*"))</f>
        <v>30737</v>
      </c>
      <c r="H13" s="278">
        <f>SUMIFS('Accounting data'!$G$2:$G$37000,'Accounting data'!$H$2:$H$37000,"122*",'Accounting data'!$K$2:$K$37000,"69*")</f>
        <v>2275</v>
      </c>
      <c r="I13" s="41">
        <v>0</v>
      </c>
      <c r="J13" s="278">
        <v>28461</v>
      </c>
      <c r="K13" s="41">
        <f>SUMIFS('Accounting data'!$G$2:$G$37000,'Accounting data'!$H$2:$H$37000,"122*",'Accounting data'!$K$2:$K$37000,"6*")-SUMIFS('Accounting data'!$G$2:$G$37000,'Accounting data'!$H$2:$H$37000,"122*",'Accounting data'!$K$2:$K$37000,"69*")-SUMIFS('Accounting data'!$G$2:$G$37000,'Accounting data'!$H$2:$H$37000,"122*",'Accounting data'!$K$2:$K$37000,"67*")</f>
        <v>28462</v>
      </c>
      <c r="L13" s="312"/>
      <c r="M13" s="41">
        <v>0</v>
      </c>
      <c r="N13" s="41">
        <f t="shared" si="0"/>
        <v>0</v>
      </c>
      <c r="O13" t="s">
        <v>42</v>
      </c>
      <c r="AB13" s="148"/>
      <c r="AC13" s="148"/>
    </row>
    <row r="14" spans="1:29" x14ac:dyDescent="0.25">
      <c r="A14" s="58" t="s">
        <v>366</v>
      </c>
      <c r="B14" s="58"/>
      <c r="C14" s="58"/>
      <c r="D14" s="494" t="s">
        <v>44</v>
      </c>
      <c r="E14" s="278">
        <v>0</v>
      </c>
      <c r="F14" s="278">
        <v>0</v>
      </c>
      <c r="G14" s="278">
        <f>-(SUMIFS('Accounting data'!$G$2:$G$37000,'Accounting data'!$H$2:$H$37000,"1230*",'Accounting data'!$K$2:$K$37000,"1*")+SUMIFS('Accounting data'!$G$2:$G$37000,'Accounting data'!$H$2:$H$37000,"1230*",'Accounting data'!$K$2:$K$37000,"2*")+SUMIFS('Accounting data'!$G$2:$G$37000,'Accounting data'!$H$2:$H$37000,"1230*",'Accounting data'!$K$2:$K$37000,"3*")+SUMIFS('Accounting data'!$G$2:$G$37000,'Accounting data'!$H$2:$H$37000,"1230*",'Accounting data'!$K$2:$K$37000,"4*")+SUMIFS('Accounting data'!$G$2:$G$37000,'Accounting data'!$H$2:$H$37000,"1230*",'Accounting data'!$K$2:$K$37000,"Other*"))</f>
        <v>0</v>
      </c>
      <c r="H14" s="41">
        <f>SUMIFS('Accounting data'!$G$2:$G$37000,'Accounting data'!$H$2:$H$37000,"1230*",'Accounting data'!$K$2:$K$37000,"69*")</f>
        <v>0</v>
      </c>
      <c r="I14" s="41">
        <v>0</v>
      </c>
      <c r="J14" s="278">
        <v>0</v>
      </c>
      <c r="K14" s="41">
        <f>SUMIFS('Accounting data'!$G$2:$G$37000,'Accounting data'!$H$2:$H$37000,"1230*",'Accounting data'!$K$2:$K$37000,"6*")-SUMIFS('Accounting data'!$G$2:$G$37000,'Accounting data'!$H$2:$H$37000,"1230*",'Accounting data'!$K$2:$K$37000,"69*")-SUMIFS('Accounting data'!$G$2:$G$37000,'Accounting data'!$H$2:$H$37000,"1230*",'Accounting data'!$K$2:$K$37000,"67*")</f>
        <v>0</v>
      </c>
      <c r="L14" s="312"/>
      <c r="M14" s="41">
        <v>0</v>
      </c>
      <c r="N14" s="41">
        <f t="shared" si="0"/>
        <v>0</v>
      </c>
      <c r="O14" t="s">
        <v>44</v>
      </c>
      <c r="AB14" s="148"/>
      <c r="AC14" s="148"/>
    </row>
    <row r="15" spans="1:29" x14ac:dyDescent="0.25">
      <c r="A15" s="58" t="s">
        <v>367</v>
      </c>
      <c r="B15" s="58"/>
      <c r="C15" s="58"/>
      <c r="D15" s="494" t="s">
        <v>46</v>
      </c>
      <c r="E15" s="278">
        <v>0</v>
      </c>
      <c r="F15" s="278">
        <v>0</v>
      </c>
      <c r="G15" s="278">
        <f>-(SUMIFS('Accounting data'!$G$2:$G$37000,'Accounting data'!$H$2:$H$37000,"1240*",'Accounting data'!$K$2:$K$37000,"1*")+SUMIFS('Accounting data'!$G$2:$G$37000,'Accounting data'!$H$2:$H$37000,"1240*",'Accounting data'!$K$2:$K$37000,"2*")+SUMIFS('Accounting data'!$G$2:$G$37000,'Accounting data'!$H$2:$H$37000,"1240*",'Accounting data'!$K$2:$K$37000,"3*")+SUMIFS('Accounting data'!$G$2:$G$37000,'Accounting data'!$H$2:$H$37000,"1240*",'Accounting data'!$K$2:$K$37000,"4*")+SUMIFS('Accounting data'!$G$2:$G$37000,'Accounting data'!$H$2:$H$37000,"1240*",'Accounting data'!$K$2:$K$37000,"Other*"))</f>
        <v>0</v>
      </c>
      <c r="H15" s="41">
        <f>SUMIFS('Accounting data'!$G$2:$G$37000,'Accounting data'!$H$2:$H$37000,"1240*",'Accounting data'!$K$2:$K$37000,"69*")</f>
        <v>0</v>
      </c>
      <c r="I15" s="41">
        <v>0</v>
      </c>
      <c r="J15" s="278">
        <v>0</v>
      </c>
      <c r="K15" s="41">
        <f>SUMIFS('Accounting data'!$G$2:$G$37000,'Accounting data'!$H$2:$H$37000,"1240*",'Accounting data'!$K$2:$K$37000,"6*")-SUMIFS('Accounting data'!$G$2:$G$37000,'Accounting data'!$H$2:$H$37000,"1240*",'Accounting data'!$K$2:$K$37000,"69*")-SUMIFS('Accounting data'!$G$2:$G$37000,'Accounting data'!$H$2:$H$37000,"1240*",'Accounting data'!$K$2:$K$37000,"67*")</f>
        <v>0</v>
      </c>
      <c r="L15" s="312"/>
      <c r="M15" s="41">
        <v>0</v>
      </c>
      <c r="N15" s="41">
        <f t="shared" si="0"/>
        <v>0</v>
      </c>
      <c r="O15" t="s">
        <v>46</v>
      </c>
      <c r="AB15" s="148"/>
      <c r="AC15" s="148"/>
    </row>
    <row r="16" spans="1:29" x14ac:dyDescent="0.25">
      <c r="A16" s="58" t="s">
        <v>368</v>
      </c>
      <c r="B16" s="58"/>
      <c r="C16" s="58"/>
      <c r="D16" s="494" t="s">
        <v>48</v>
      </c>
      <c r="E16" s="278">
        <v>0</v>
      </c>
      <c r="F16" s="278">
        <v>0</v>
      </c>
      <c r="G16" s="278">
        <f>-(SUMIFS('Accounting data'!$G$2:$G$37000,'Accounting data'!$H$2:$H$37000,"1250*",'Accounting data'!$K$2:$K$37000,"1*")+SUMIFS('Accounting data'!$G$2:$G$37000,'Accounting data'!$H$2:$H$37000,"1250*",'Accounting data'!$K$2:$K$37000,"2*")+SUMIFS('Accounting data'!$G$2:$G$37000,'Accounting data'!$H$2:$H$37000,"1250*",'Accounting data'!$K$2:$K$37000,"3*")+SUMIFS('Accounting data'!$G$2:$G$37000,'Accounting data'!$H$2:$H$37000,"1250*",'Accounting data'!$K$2:$K$37000,"4*")+SUMIFS('Accounting data'!$G$2:$G$37000,'Accounting data'!$H$2:$H$37000,"1250*",'Accounting data'!$K$2:$K$37000,"Other*"))</f>
        <v>0</v>
      </c>
      <c r="H16" s="41">
        <f>SUMIFS('Accounting data'!$G$2:$G$37000,'Accounting data'!$H$2:$H$37000,"1250*",'Accounting data'!$K$2:$K$37000,"69*")</f>
        <v>0</v>
      </c>
      <c r="I16" s="41">
        <v>0</v>
      </c>
      <c r="J16" s="278">
        <v>0</v>
      </c>
      <c r="K16" s="41">
        <f>SUMIFS('Accounting data'!$G$2:$G$37000,'Accounting data'!$H$2:$H$37000,"1250*",'Accounting data'!$K$2:$K$37000,"6*")-SUMIFS('Accounting data'!$G$2:$G$37000,'Accounting data'!$H$2:$H$37000,"1250*",'Accounting data'!$K$2:$K$37000,"69*")-SUMIFS('Accounting data'!$G$2:$G$37000,'Accounting data'!$H$2:$H$37000,"1250*",'Accounting data'!$K$2:$K$37000,"67*")</f>
        <v>0</v>
      </c>
      <c r="L16" s="312"/>
      <c r="M16" s="41">
        <v>0</v>
      </c>
      <c r="N16" s="41">
        <f t="shared" si="0"/>
        <v>0</v>
      </c>
      <c r="O16" t="s">
        <v>48</v>
      </c>
      <c r="AB16" s="148"/>
      <c r="AC16" s="148"/>
    </row>
    <row r="17" spans="1:26" x14ac:dyDescent="0.25">
      <c r="A17" s="58" t="s">
        <v>369</v>
      </c>
      <c r="B17" s="58"/>
      <c r="C17" s="58"/>
      <c r="D17" s="494" t="s">
        <v>50</v>
      </c>
      <c r="E17" s="278">
        <v>0</v>
      </c>
      <c r="F17" s="278">
        <v>0</v>
      </c>
      <c r="G17" s="278">
        <f>-(SUMIFS('Accounting data'!$G$2:$G$37000,'Accounting data'!$H$2:$H$37000,"1260*",'Accounting data'!$K$2:$K$37000,"1*")+SUMIFS('Accounting data'!$G$2:$G$37000,'Accounting data'!$H$2:$H$37000,"1260*",'Accounting data'!$K$2:$K$37000,"2*")+SUMIFS('Accounting data'!$G$2:$G$37000,'Accounting data'!$H$2:$H$37000,"1260*",'Accounting data'!$K$2:$K$37000,"3*")+SUMIFS('Accounting data'!$G$2:$G$37000,'Accounting data'!$H$2:$H$37000,"1260*",'Accounting data'!$K$2:$K$37000,"4*")+SUMIFS('Accounting data'!$G$2:$G$37000,'Accounting data'!$H$2:$H$37000,"1260*",'Accounting data'!$K$2:$K$37000,"Other*"))</f>
        <v>0</v>
      </c>
      <c r="H17" s="41">
        <f>SUMIFS('Accounting data'!$G$2:$G$37000,'Accounting data'!$H$2:$H$37000,"1260*",'Accounting data'!$K$2:$K$37000,"69*")</f>
        <v>0</v>
      </c>
      <c r="I17" s="41">
        <v>0</v>
      </c>
      <c r="J17" s="278">
        <v>0</v>
      </c>
      <c r="K17" s="41">
        <f>SUMIFS('Accounting data'!$G$2:$G$37000,'Accounting data'!$H$2:$H$37000,"1260*",'Accounting data'!$K$2:$K$37000,"6*")-SUMIFS('Accounting data'!$G$2:$G$37000,'Accounting data'!$H$2:$H$37000,"1260*",'Accounting data'!$K$2:$K$37000,"69*")-SUMIFS('Accounting data'!$G$2:$G$37000,'Accounting data'!$H$2:$H$37000,"1260*",'Accounting data'!$K$2:$K$37000,"67*")</f>
        <v>0</v>
      </c>
      <c r="L17" s="312"/>
      <c r="M17" s="41">
        <v>0</v>
      </c>
      <c r="N17" s="41">
        <f t="shared" si="0"/>
        <v>0</v>
      </c>
      <c r="O17" t="s">
        <v>50</v>
      </c>
    </row>
    <row r="18" spans="1:26" x14ac:dyDescent="0.25">
      <c r="A18" s="58" t="s">
        <v>370</v>
      </c>
      <c r="B18" s="58"/>
      <c r="C18" s="58"/>
      <c r="D18" s="494" t="s">
        <v>52</v>
      </c>
      <c r="E18" s="278">
        <v>0</v>
      </c>
      <c r="F18" s="278">
        <v>0</v>
      </c>
      <c r="G18" s="278">
        <f>-(SUMIFS('Accounting data'!$G$2:$G$37000,'Accounting data'!$H$2:$H$37000,"1280*",'Accounting data'!$K$2:$K$37000,"1*")+SUMIFS('Accounting data'!$G$2:$G$37000,'Accounting data'!$H$2:$H$37000,"1280*",'Accounting data'!$K$2:$K$37000,"2*")+SUMIFS('Accounting data'!$G$2:$G$37000,'Accounting data'!$H$2:$H$37000,"1280*",'Accounting data'!$K$2:$K$37000,"3*")+SUMIFS('Accounting data'!$G$2:$G$37000,'Accounting data'!$H$2:$H$37000,"1280*",'Accounting data'!$K$2:$K$37000,"4*")+SUMIFS('Accounting data'!$G$2:$G$37000,'Accounting data'!$H$2:$H$37000,"1280*",'Accounting data'!$K$2:$K$37000,"Other*"))</f>
        <v>0</v>
      </c>
      <c r="H18" s="41">
        <f>SUMIFS('Accounting data'!$G$2:$G$37000,'Accounting data'!$H$2:$H$37000,"1280*",'Accounting data'!$K$2:$K$37000,"69*")</f>
        <v>0</v>
      </c>
      <c r="I18" s="41">
        <v>0</v>
      </c>
      <c r="J18" s="278">
        <v>0</v>
      </c>
      <c r="K18" s="41">
        <f>SUMIFS('Accounting data'!$G$2:$G$37000,'Accounting data'!$H$2:$H$37000,"1280*",'Accounting data'!$K$2:$K$37000,"6*")-SUMIFS('Accounting data'!$G$2:$G$37000,'Accounting data'!$H$2:$H$37000,"1280*",'Accounting data'!$K$2:$K$37000,"69*")-SUMIFS('Accounting data'!$G$2:$G$37000,'Accounting data'!$H$2:$H$37000,"1280*",'Accounting data'!$K$2:$K$37000,"67*")</f>
        <v>0</v>
      </c>
      <c r="L18" s="312"/>
      <c r="M18" s="41">
        <v>0</v>
      </c>
      <c r="N18" s="41">
        <f t="shared" si="0"/>
        <v>0</v>
      </c>
      <c r="O18" t="s">
        <v>52</v>
      </c>
      <c r="P18" s="69"/>
    </row>
    <row r="19" spans="1:26" x14ac:dyDescent="0.25">
      <c r="A19" s="58" t="s">
        <v>371</v>
      </c>
      <c r="B19" s="58"/>
      <c r="C19" s="58"/>
      <c r="D19" s="494" t="s">
        <v>54</v>
      </c>
      <c r="E19" s="278">
        <v>0</v>
      </c>
      <c r="F19" s="278">
        <v>0</v>
      </c>
      <c r="G19" s="278">
        <f>-(SUMIFS('Accounting data'!$G$2:$G$37000,'Accounting data'!$H$2:$H$37000,"1290*",'Accounting data'!$K$2:$K$37000,"1*")+SUMIFS('Accounting data'!$G$2:$G$37000,'Accounting data'!$H$2:$H$37000,"1290*",'Accounting data'!$K$2:$K$37000,"2*")+SUMIFS('Accounting data'!$G$2:$G$37000,'Accounting data'!$H$2:$H$37000,"1290*",'Accounting data'!$K$2:$K$37000,"3*")+SUMIFS('Accounting data'!$G$2:$G$37000,'Accounting data'!$H$2:$H$37000,"1290*",'Accounting data'!$K$2:$K$37000,"4*")+SUMIFS('Accounting data'!$G$2:$G$37000,'Accounting data'!$H$2:$H$37000,"1290*",'Accounting data'!$K$2:$K$37000,"Other*"))</f>
        <v>0</v>
      </c>
      <c r="H19" s="41">
        <f>SUMIFS('Accounting data'!$G$2:$G$37000,'Accounting data'!$H$2:$H$37000,"1290*",'Accounting data'!$K$2:$K$37000,"69*")</f>
        <v>0</v>
      </c>
      <c r="I19" s="41">
        <v>0</v>
      </c>
      <c r="J19" s="278">
        <v>0</v>
      </c>
      <c r="K19" s="41">
        <f>SUMIFS('Accounting data'!$G$2:$G$37000,'Accounting data'!$H$2:$H$37000,"1290*",'Accounting data'!$K$2:$K$37000,"6*")-SUMIFS('Accounting data'!$G$2:$G$37000,'Accounting data'!$H$2:$H$37000,"1290*",'Accounting data'!$K$2:$K$37000,"69*")-SUMIFS('Accounting data'!$G$2:$G$37000,'Accounting data'!$H$2:$H$37000,"1290*",'Accounting data'!$K$2:$K$37000,"67*")</f>
        <v>0</v>
      </c>
      <c r="L19" s="312"/>
      <c r="M19" s="41">
        <v>0</v>
      </c>
      <c r="N19" s="41">
        <f t="shared" si="0"/>
        <v>0</v>
      </c>
      <c r="O19" t="s">
        <v>54</v>
      </c>
      <c r="P19" s="69"/>
      <c r="Q19" s="69"/>
      <c r="S19" s="191"/>
    </row>
    <row r="20" spans="1:26" x14ac:dyDescent="0.25">
      <c r="A20" s="58" t="s">
        <v>372</v>
      </c>
      <c r="B20" s="58"/>
      <c r="C20" s="58"/>
      <c r="D20" s="489" t="s">
        <v>56</v>
      </c>
      <c r="E20" s="278">
        <v>0</v>
      </c>
      <c r="F20" s="278">
        <v>0</v>
      </c>
      <c r="G20" s="278">
        <f>-(SUMIFS('Accounting data'!$G$2:$G$37000,'Accounting data'!$H$2:$H$37000,"1300*",'Accounting data'!$K$2:$K$37000,"1*")+SUMIFS('Accounting data'!$G$2:$G$37000,'Accounting data'!$H$2:$H$37000,"1300*",'Accounting data'!$K$2:$K$37000,"2*")+SUMIFS('Accounting data'!$G$2:$G$37000,'Accounting data'!$H$2:$H$37000,"1300*",'Accounting data'!$K$2:$K$37000,"3*")+SUMIFS('Accounting data'!$G$2:$G$37000,'Accounting data'!$H$2:$H$37000,"1300*",'Accounting data'!$K$2:$K$37000,"4*")+SUMIFS('Accounting data'!$G$2:$G$37000,'Accounting data'!$H$2:$H$37000,"1300*",'Accounting data'!$K$2:$K$37000,"Other*"))</f>
        <v>0</v>
      </c>
      <c r="H20" s="41">
        <f>SUMIFS('Accounting data'!$G$2:$G$37000,'Accounting data'!$H$2:$H$37000,"1300*",'Accounting data'!$K$2:$K$37000,"69*")</f>
        <v>0</v>
      </c>
      <c r="I20" s="41">
        <v>0</v>
      </c>
      <c r="J20" s="278">
        <v>0</v>
      </c>
      <c r="K20" s="41">
        <f>SUMIFS('Accounting data'!$G$2:$G$37000,'Accounting data'!$H$2:$H$37000,"1300*",'Accounting data'!$K$2:$K$37000,"6*")-SUMIFS('Accounting data'!$G$2:$G$37000,'Accounting data'!$H$2:$H$37000,"1300*",'Accounting data'!$K$2:$K$37000,"69*")-SUMIFS('Accounting data'!$G$2:$G$37000,'Accounting data'!$H$2:$H$37000,"1300*",'Accounting data'!$K$2:$K$37000,"67*")</f>
        <v>0</v>
      </c>
      <c r="L20" s="312"/>
      <c r="M20" s="41">
        <v>0</v>
      </c>
      <c r="N20" s="41">
        <f t="shared" si="0"/>
        <v>0</v>
      </c>
      <c r="O20" s="85" t="s">
        <v>56</v>
      </c>
      <c r="P20" s="69"/>
      <c r="Q20" s="69"/>
      <c r="S20" s="191"/>
    </row>
    <row r="21" spans="1:26" x14ac:dyDescent="0.25">
      <c r="A21" s="58" t="s">
        <v>373</v>
      </c>
      <c r="B21" s="58"/>
      <c r="C21" s="58"/>
      <c r="D21" s="495" t="s">
        <v>58</v>
      </c>
      <c r="E21" s="278">
        <v>0</v>
      </c>
      <c r="F21" s="278">
        <v>0</v>
      </c>
      <c r="G21" s="278">
        <f>-(SUMIFS('Accounting data'!$G$2:$G$37000,'Accounting data'!$H$2:$H$37000,"13XX*",'Accounting data'!$K$2:$K$37000,"1*")+SUMIFS('Accounting data'!$G$2:$G$37000,'Accounting data'!$H$2:$H$37000,"13XX*",'Accounting data'!$K$2:$K$37000,"2*")+SUMIFS('Accounting data'!$G$2:$G$37000,'Accounting data'!$H$2:$H$37000,"13XX*",'Accounting data'!$K$2:$K$37000,"3*")+SUMIFS('Accounting data'!$G$2:$G$37000,'Accounting data'!$H$2:$H$37000,"13XX*",'Accounting data'!$K$2:$K$37000,"4*")+SUMIFS('Accounting data'!$G$2:$G$37000,'Accounting data'!$H$2:$H$37000,"13XX*",'Accounting data'!$K$2:$K$37000,"Other*"))</f>
        <v>0</v>
      </c>
      <c r="H21" s="41">
        <f>SUMIFS('Accounting data'!$G$2:$G$37000,'Accounting data'!$H$2:$H$37000,"13XX*",'Accounting data'!$K$2:$K$37000,"69*")</f>
        <v>0</v>
      </c>
      <c r="I21" s="41">
        <v>0</v>
      </c>
      <c r="J21" s="278">
        <v>0</v>
      </c>
      <c r="K21" s="41">
        <f>SUMIFS('Accounting data'!$G$2:$G$37000,'Accounting data'!$H$2:$H$37000,"13XX*",'Accounting data'!$K$2:$K$37000,"6*")-SUMIFS('Accounting data'!$G$2:$G$37000,'Accounting data'!$H$2:$H$37000,"13XX*",'Accounting data'!$K$2:$K$37000,"69*")-SUMIFS('Accounting data'!$G$2:$G$37000,'Accounting data'!$H$2:$H$37000,"13XX*",'Accounting data'!$K$2:$K$37000,"67*")</f>
        <v>0</v>
      </c>
      <c r="L21" s="312"/>
      <c r="M21" s="41">
        <v>0</v>
      </c>
      <c r="N21" s="41">
        <f t="shared" si="0"/>
        <v>0</v>
      </c>
      <c r="O21" s="85" t="s">
        <v>58</v>
      </c>
      <c r="P21" s="69"/>
      <c r="Q21" s="69"/>
      <c r="S21" s="191"/>
    </row>
    <row r="22" spans="1:26" ht="13.5" customHeight="1" x14ac:dyDescent="0.25">
      <c r="A22" s="58" t="s">
        <v>374</v>
      </c>
      <c r="B22" s="58"/>
      <c r="C22" s="58"/>
      <c r="D22" s="489" t="s">
        <v>60</v>
      </c>
      <c r="E22" s="313">
        <v>0</v>
      </c>
      <c r="F22" s="313">
        <v>0</v>
      </c>
      <c r="G22" s="313">
        <f>-(SUMIFS('Accounting data'!$G$2:$G$37000,'Accounting data'!$H$2:$H$37000,"1310*",'Accounting data'!$K$2:$K$37000,"1*")+SUMIFS('Accounting data'!$G$2:$G$37000,'Accounting data'!$H$2:$H$37000,"1310*",'Accounting data'!$K$2:$K$37000,"2*")+SUMIFS('Accounting data'!$G$2:$G$37000,'Accounting data'!$H$2:$H$37000,"1310*",'Accounting data'!$K$2:$K$37000,"3*")+SUMIFS('Accounting data'!$G$2:$G$37000,'Accounting data'!$H$2:$H$37000,"1310*",'Accounting data'!$K$2:$K$37000,"4*")+SUMIFS('Accounting data'!$G$2:$G$37000,'Accounting data'!$H$2:$H$37000,"1310*",'Accounting data'!$K$2:$K$37000,"Other*"))</f>
        <v>49996</v>
      </c>
      <c r="H22" s="314">
        <f>SUMIFS('Accounting data'!$G$2:$G$37000,'Accounting data'!$H$2:$H$37000,"1310*",'Accounting data'!$K$2:$K$37000,"69*")</f>
        <v>1689</v>
      </c>
      <c r="I22" s="314">
        <v>0</v>
      </c>
      <c r="J22" s="313">
        <v>52125</v>
      </c>
      <c r="K22" s="314">
        <f>SUMIFS('Accounting data'!$G$2:$G$37000,'Accounting data'!$H$2:$H$37000,"1310*",'Accounting data'!$K$2:$K$37000,"6*")-SUMIFS('Accounting data'!$G$2:$G$37000,'Accounting data'!$H$2:$H$37000,"1310*",'Accounting data'!$K$2:$K$37000,"69*")-SUMIFS('Accounting data'!$G$2:$G$37000,'Accounting data'!$H$2:$H$37000,"1310*",'Accounting data'!$K$2:$K$37000,"67*")</f>
        <v>43063</v>
      </c>
      <c r="L22" s="314">
        <v>0</v>
      </c>
      <c r="M22" s="314">
        <v>5244</v>
      </c>
      <c r="N22" s="41">
        <f>SUM(IF(F22="",E22,F22)+G22-H22-I22-K22-M22-L22)</f>
        <v>0</v>
      </c>
      <c r="O22" s="85" t="s">
        <v>60</v>
      </c>
      <c r="P22" s="69"/>
      <c r="Q22" s="69"/>
      <c r="S22" s="191"/>
    </row>
    <row r="23" spans="1:26" ht="13.5" customHeight="1" x14ac:dyDescent="0.25">
      <c r="A23" s="58" t="s">
        <v>375</v>
      </c>
      <c r="B23" s="58"/>
      <c r="C23" s="58"/>
      <c r="D23" s="489" t="s">
        <v>63</v>
      </c>
      <c r="E23" s="315">
        <f>SUM(E6:E22)</f>
        <v>0</v>
      </c>
      <c r="F23" s="315">
        <f t="array" ref="F23">SUM(IF(F6:F22="",E6:E22,F6:F22))</f>
        <v>0</v>
      </c>
      <c r="G23" s="315">
        <f t="shared" ref="G23:M23" si="1">SUM(G6:G22)</f>
        <v>139482</v>
      </c>
      <c r="H23" s="315">
        <f t="shared" si="1"/>
        <v>7961</v>
      </c>
      <c r="I23" s="315">
        <f t="shared" si="1"/>
        <v>0</v>
      </c>
      <c r="J23" s="315">
        <f t="shared" si="1"/>
        <v>136461</v>
      </c>
      <c r="K23" s="315">
        <f t="shared" si="1"/>
        <v>126277</v>
      </c>
      <c r="L23" s="315">
        <f t="shared" si="1"/>
        <v>0</v>
      </c>
      <c r="M23" s="315">
        <f t="shared" si="1"/>
        <v>5244</v>
      </c>
      <c r="N23" s="41">
        <f>SUM(IF(F23="",E23,F23)+G23-H23-I23-K23-M23)</f>
        <v>0</v>
      </c>
      <c r="O23" s="85" t="s">
        <v>63</v>
      </c>
    </row>
    <row r="24" spans="1:26" ht="13.5" customHeight="1" x14ac:dyDescent="0.25">
      <c r="A24" s="58"/>
      <c r="B24" s="58"/>
      <c r="C24" s="58"/>
      <c r="D24" s="489"/>
      <c r="E24" s="191"/>
      <c r="F24" s="191"/>
      <c r="G24" s="191"/>
      <c r="H24" s="191"/>
      <c r="I24" s="191"/>
      <c r="J24" s="191"/>
      <c r="K24" s="191"/>
      <c r="L24" s="191"/>
      <c r="M24" s="191"/>
      <c r="N24" s="191"/>
      <c r="O24" s="85"/>
    </row>
    <row r="25" spans="1:26" x14ac:dyDescent="0.25">
      <c r="A25" s="58" t="s">
        <v>376</v>
      </c>
      <c r="B25" s="58"/>
      <c r="C25" s="58"/>
      <c r="D25" s="489" t="s">
        <v>65</v>
      </c>
      <c r="E25" s="278">
        <v>0</v>
      </c>
      <c r="F25" s="278">
        <v>0</v>
      </c>
      <c r="G25" s="41">
        <f>Q25+Z25</f>
        <v>0</v>
      </c>
      <c r="H25" s="278">
        <f t="array" ref="H25">SUM(SUMIFS('Accounting data'!$G$2:$G$37000,'Accounting data'!$H$2:$H$37000,{"1310-1399-COVID-19*","1227*","1228*"},'Accounting data'!$K$2:$K$37000,"69*"))</f>
        <v>0</v>
      </c>
      <c r="I25" s="278">
        <v>0</v>
      </c>
      <c r="J25" s="316"/>
      <c r="K25" s="41">
        <f t="array" ref="K25">SUM(SUMIFS('Accounting data'!$G$2:$G$37000,'Accounting data'!$H$2:$H$37000,{"1310-1399-COVID-19*","1227*","1228*"},'Accounting data'!$K$2:$K$37000,"6*"))-SUM(SUMIFS('Accounting data'!$G$2:$G$37000,'Accounting data'!$H$2:$H$37000,{"1310-1399-COVID-19*","1227*","1228*"},'Accounting data'!$K$2:$K$37000,"69*"))-SUM(SUMIFS('Accounting data'!$G$2:$G$37000,'Accounting data'!$H$2:$H$37000,{"1310-1399-COVID-19*","1227*","1228*"},'Accounting data'!$K$2:$K$37000,"67*"))</f>
        <v>0</v>
      </c>
      <c r="L25" s="41">
        <v>0</v>
      </c>
      <c r="M25" s="278">
        <v>0</v>
      </c>
      <c r="N25" s="41">
        <f>SUM(IF(F25="",E25,F25)+G25-H25-I25-K25-M25-L25)</f>
        <v>0</v>
      </c>
      <c r="O25" s="189" t="s">
        <v>65</v>
      </c>
      <c r="Q25" s="148">
        <f t="array" ref="Q25">-(SUMIFS('Accounting data'!$G$2:$G$37000,'Accounting data'!$H$2:$H$37000,"1310-1399-COVID-19*",'Accounting data'!$K$2:$K$37000,"1*")+SUMIFS('Accounting data'!$G$2:$G$37000,'Accounting data'!$H$2:$H$37000,"1310-1399-COVID-19*",'Accounting data'!$K$2:$K$37000,"2*")+SUMIFS('Accounting data'!$G$2:$G$37000,'Accounting data'!$H$2:$H$37000,"1310-1399-COVID-19*",'Accounting data'!$K$2:$K$37000,"3*")+SUMIFS('Accounting data'!$G$2:$G$37000,'Accounting data'!$H$2:$H$37000,"1310-1399-COVID-19*",'Accounting data'!$K$2:$K$37000,"4*")+SUMIFS('Accounting data'!$G$2:$G$37000,'Accounting data'!$H$2:$H$37000,"1310-1399-COVID-19*",'Accounting data'!$K$2:$K$37000,"Other*")+SUM(SUMIFS('Accounting data'!$G$2:$G$37000,'Accounting data'!$H$2:$H$37000,"1227*",'Accounting data'!$K$2:$K$37000,{"1*","2*","3*","4*","Other*"})))</f>
        <v>0</v>
      </c>
      <c r="R25" s="148"/>
      <c r="S25" s="148"/>
      <c r="T25" s="148"/>
      <c r="U25" s="148"/>
      <c r="V25" s="148"/>
      <c r="W25" s="148"/>
      <c r="X25" s="148"/>
      <c r="Y25" s="148"/>
      <c r="Z25" s="148">
        <f t="array" ref="Z25">-SUM(SUMIFS('Accounting data'!$G$2:$G$37000,'Accounting data'!$H$2:$H$37000,"1228*",'Accounting data'!$K$2:$K$37000,{"1*","2*","3*","4*","Other*"}))</f>
        <v>0</v>
      </c>
    </row>
    <row r="26" spans="1:26" x14ac:dyDescent="0.25">
      <c r="D26" s="189"/>
      <c r="E26" s="191"/>
      <c r="F26" s="191"/>
      <c r="G26" s="191"/>
      <c r="H26" s="191"/>
      <c r="I26" s="191"/>
      <c r="J26" s="191"/>
      <c r="K26" s="191"/>
      <c r="L26" s="191"/>
      <c r="M26" s="191"/>
      <c r="N26" s="191"/>
      <c r="O26" s="85"/>
    </row>
    <row r="27" spans="1:26" x14ac:dyDescent="0.25">
      <c r="A27" s="52" t="s">
        <v>377</v>
      </c>
      <c r="E27" s="201"/>
      <c r="F27" s="201"/>
      <c r="G27" s="201"/>
      <c r="H27" s="201"/>
      <c r="I27" s="201"/>
      <c r="J27" s="201"/>
      <c r="K27" s="201"/>
      <c r="L27" s="201"/>
      <c r="M27" s="201"/>
      <c r="N27" s="201"/>
    </row>
    <row r="28" spans="1:26" x14ac:dyDescent="0.25">
      <c r="A28" t="s">
        <v>378</v>
      </c>
      <c r="D28" s="189" t="s">
        <v>67</v>
      </c>
      <c r="E28" s="278">
        <v>0</v>
      </c>
      <c r="F28" s="278">
        <v>0</v>
      </c>
      <c r="G28" s="278">
        <f>-(SUMIFS('Accounting data'!$G$2:$G$37000,'Accounting data'!$H$2:$H$37000,"1400*",'Accounting data'!$K$2:$K$37000,"1*")+SUMIFS('Accounting data'!$G$2:$G$37000,'Accounting data'!$H$2:$H$37000,"1400*",'Accounting data'!$K$2:$K$37000,"2*")+SUMIFS('Accounting data'!$G$2:$G$37000,'Accounting data'!$H$2:$H$37000,"1400*",'Accounting data'!$K$2:$K$37000,"3*")+SUMIFS('Accounting data'!$G$2:$G$37000,'Accounting data'!$H$2:$H$37000,"1400*",'Accounting data'!$K$2:$K$37000,"4*")+SUMIFS('Accounting data'!$G$2:$G$37000,'Accounting data'!$H$2:$H$37000,"1400*",'Accounting data'!$K$2:$K$37000,"Other*"))</f>
        <v>0</v>
      </c>
      <c r="H28" s="317"/>
      <c r="I28" s="41">
        <v>0</v>
      </c>
      <c r="J28" s="278">
        <v>0</v>
      </c>
      <c r="K28" s="41">
        <f>SUMIFS('Accounting data'!$G$2:$G$37000,'Accounting data'!$H$2:$H$37000,"1400*",'Accounting data'!$K$2:$K$37000,"6*")-SUMIFS('Accounting data'!$G$2:$G$37000,'Accounting data'!$H$2:$H$37000,"1400*",'Accounting data'!$K$2:$K$37000,"69*")-SUMIFS('Accounting data'!$G$2:$G$37000,'Accounting data'!$H$2:$H$37000,"1400*",'Accounting data'!$K$2:$K$37000,"67*")</f>
        <v>0</v>
      </c>
      <c r="L28" s="41">
        <v>0</v>
      </c>
      <c r="M28" s="41">
        <v>0</v>
      </c>
      <c r="N28" s="41">
        <f t="shared" ref="N28:N40" si="2">SUM(IF(F28="",E28,F28)+G28-H28-I28-K28-L28-M28)</f>
        <v>0</v>
      </c>
      <c r="O28" s="189" t="s">
        <v>67</v>
      </c>
    </row>
    <row r="29" spans="1:26" x14ac:dyDescent="0.25">
      <c r="A29" t="s">
        <v>379</v>
      </c>
      <c r="D29" s="189" t="s">
        <v>69</v>
      </c>
      <c r="E29" s="278">
        <v>0</v>
      </c>
      <c r="F29" s="278">
        <v>0</v>
      </c>
      <c r="G29" s="278">
        <f>-(SUMIFS('Accounting data'!$G$2:$G$37000,'Accounting data'!$H$2:$H$37000,"1410*",'Accounting data'!$K$2:$K$37000,"1*")+SUMIFS('Accounting data'!$G$2:$G$37000,'Accounting data'!$H$2:$H$37000,"1410*",'Accounting data'!$K$2:$K$37000,"2*")+SUMIFS('Accounting data'!$G$2:$G$37000,'Accounting data'!$H$2:$H$37000,"1410*",'Accounting data'!$K$2:$K$37000,"3*")+SUMIFS('Accounting data'!$G$2:$G$37000,'Accounting data'!$H$2:$H$37000,"1410*",'Accounting data'!$K$2:$K$37000,"4*")+SUMIFS('Accounting data'!$G$2:$G$37000,'Accounting data'!$H$2:$H$37000,"1410*",'Accounting data'!$K$2:$K$37000,"Other*"))</f>
        <v>0</v>
      </c>
      <c r="H29" s="317"/>
      <c r="I29" s="41">
        <v>0</v>
      </c>
      <c r="J29" s="278">
        <v>0</v>
      </c>
      <c r="K29" s="41">
        <f>SUMIFS('Accounting data'!$G$2:$G$37000,'Accounting data'!$H$2:$H$37000,"1410*",'Accounting data'!$K$2:$K$37000,"6*")-SUMIFS('Accounting data'!$G$2:$G$37000,'Accounting data'!$H$2:$H$37000,"1410*",'Accounting data'!$K$2:$K$37000,"69*")-SUMIFS('Accounting data'!$G$2:$G$37000,'Accounting data'!$H$2:$H$37000,"1410*",'Accounting data'!$K$2:$K$37000,"67*")</f>
        <v>0</v>
      </c>
      <c r="L29" s="41">
        <v>0</v>
      </c>
      <c r="M29" s="41">
        <v>0</v>
      </c>
      <c r="N29" s="41">
        <f t="shared" si="2"/>
        <v>0</v>
      </c>
      <c r="O29" s="189" t="s">
        <v>69</v>
      </c>
    </row>
    <row r="30" spans="1:26" x14ac:dyDescent="0.25">
      <c r="A30" t="s">
        <v>380</v>
      </c>
      <c r="D30" s="189" t="s">
        <v>72</v>
      </c>
      <c r="E30" s="278">
        <v>0</v>
      </c>
      <c r="F30" s="278">
        <v>0</v>
      </c>
      <c r="G30" s="278">
        <f>-(SUMIFS('Accounting data'!$G$2:$G$37000,'Accounting data'!$H$2:$H$37000,"1420*",'Accounting data'!$K$2:$K$37000,"1*")+SUMIFS('Accounting data'!$G$2:$G$37000,'Accounting data'!$H$2:$H$37000,"1420*",'Accounting data'!$K$2:$K$37000,"2*")+SUMIFS('Accounting data'!$G$2:$G$37000,'Accounting data'!$H$2:$H$37000,"1420*",'Accounting data'!$K$2:$K$37000,"3*")+SUMIFS('Accounting data'!$G$2:$G$37000,'Accounting data'!$H$2:$H$37000,"1420*",'Accounting data'!$K$2:$K$37000,"4*")+SUMIFS('Accounting data'!$G$2:$G$37000,'Accounting data'!$H$2:$H$37000,"1420*",'Accounting data'!$K$2:$K$37000,"Other*"))</f>
        <v>0</v>
      </c>
      <c r="H30" s="317"/>
      <c r="I30" s="41">
        <v>0</v>
      </c>
      <c r="J30" s="278">
        <v>0</v>
      </c>
      <c r="K30" s="41">
        <f>SUMIFS('Accounting data'!$G$2:$G$37000,'Accounting data'!$H$2:$H$37000,"1420*",'Accounting data'!$K$2:$K$37000,"6*")-SUMIFS('Accounting data'!$G$2:$G$37000,'Accounting data'!$H$2:$H$37000,"1420*",'Accounting data'!$K$2:$K$37000,"69*")-SUMIFS('Accounting data'!$G$2:$G$37000,'Accounting data'!$H$2:$H$37000,"1420*",'Accounting data'!$K$2:$K$37000,"67*")</f>
        <v>0</v>
      </c>
      <c r="L30" s="41">
        <v>0</v>
      </c>
      <c r="M30" s="41">
        <v>0</v>
      </c>
      <c r="N30" s="41">
        <f t="shared" si="2"/>
        <v>0</v>
      </c>
      <c r="O30" s="189" t="s">
        <v>72</v>
      </c>
    </row>
    <row r="31" spans="1:26" x14ac:dyDescent="0.25">
      <c r="A31" t="s">
        <v>381</v>
      </c>
      <c r="D31" s="189" t="s">
        <v>74</v>
      </c>
      <c r="E31" s="278">
        <v>0</v>
      </c>
      <c r="F31" s="278">
        <v>0</v>
      </c>
      <c r="G31" s="278">
        <f>-(SUMIFS('Accounting data'!$G$2:$G$37000,'Accounting data'!$H$2:$H$37000,"1425*",'Accounting data'!$K$2:$K$37000,"1*")+SUMIFS('Accounting data'!$G$2:$G$37000,'Accounting data'!$H$2:$H$37000,"1425*",'Accounting data'!$K$2:$K$37000,"2*")+SUMIFS('Accounting data'!$G$2:$G$37000,'Accounting data'!$H$2:$H$37000,"1425*",'Accounting data'!$K$2:$K$37000,"3*")+SUMIFS('Accounting data'!$G$2:$G$37000,'Accounting data'!$H$2:$H$37000,"1425*",'Accounting data'!$K$2:$K$37000,"4*")+SUMIFS('Accounting data'!$G$2:$G$37000,'Accounting data'!$H$2:$H$37000,"1425*",'Accounting data'!$K$2:$K$37000,"Other*"))</f>
        <v>0</v>
      </c>
      <c r="H31" s="317"/>
      <c r="I31" s="41">
        <v>0</v>
      </c>
      <c r="J31" s="278">
        <v>0</v>
      </c>
      <c r="K31" s="41">
        <f>SUMIFS('Accounting data'!$G$2:$G$37000,'Accounting data'!$H$2:$H$37000,"1425*",'Accounting data'!$K$2:$K$37000,"6*")-SUMIFS('Accounting data'!$G$2:$G$37000,'Accounting data'!$H$2:$H$37000,"1425*",'Accounting data'!$K$2:$K$37000,"69*")-SUMIFS('Accounting data'!$G$2:$G$37000,'Accounting data'!$H$2:$H$37000,"1425*",'Accounting data'!$K$2:$K$37000,"67*")</f>
        <v>0</v>
      </c>
      <c r="L31" s="41">
        <v>0</v>
      </c>
      <c r="M31" s="41">
        <v>0</v>
      </c>
      <c r="N31" s="41">
        <f t="shared" si="2"/>
        <v>0</v>
      </c>
      <c r="O31" s="189" t="s">
        <v>74</v>
      </c>
    </row>
    <row r="32" spans="1:26" x14ac:dyDescent="0.25">
      <c r="A32" t="s">
        <v>382</v>
      </c>
      <c r="D32" s="189" t="s">
        <v>76</v>
      </c>
      <c r="E32" s="278">
        <v>0</v>
      </c>
      <c r="F32" s="278">
        <v>0</v>
      </c>
      <c r="G32" s="278">
        <f>-(SUMIFS('Accounting data'!$G$2:$G$37000,'Accounting data'!$H$2:$H$37000,"1430*",'Accounting data'!$K$2:$K$37000,"1*")+SUMIFS('Accounting data'!$G$2:$G$37000,'Accounting data'!$H$2:$H$37000,"1430*",'Accounting data'!$K$2:$K$37000,"2*")+SUMIFS('Accounting data'!$G$2:$G$37000,'Accounting data'!$H$2:$H$37000,"1430*",'Accounting data'!$K$2:$K$37000,"3*")+SUMIFS('Accounting data'!$G$2:$G$37000,'Accounting data'!$H$2:$H$37000,"1430*",'Accounting data'!$K$2:$K$37000,"4*")+SUMIFS('Accounting data'!$G$2:$G$37000,'Accounting data'!$H$2:$H$37000,"1430*",'Accounting data'!$K$2:$K$37000,"Other*"))</f>
        <v>0</v>
      </c>
      <c r="H32" s="317"/>
      <c r="I32" s="41">
        <v>0</v>
      </c>
      <c r="J32" s="278">
        <v>0</v>
      </c>
      <c r="K32" s="41">
        <f>SUMIFS('Accounting data'!$G$2:$G$37000,'Accounting data'!$H$2:$H$37000,"1430*",'Accounting data'!$K$2:$K$37000,"6*")-SUMIFS('Accounting data'!$G$2:$G$37000,'Accounting data'!$H$2:$H$37000,"1430*",'Accounting data'!$K$2:$K$37000,"69*")-SUMIFS('Accounting data'!$G$2:$G$37000,'Accounting data'!$H$2:$H$37000,"1430*",'Accounting data'!$K$2:$K$37000,"67*")</f>
        <v>0</v>
      </c>
      <c r="L32" s="41">
        <v>0</v>
      </c>
      <c r="M32" s="41">
        <v>0</v>
      </c>
      <c r="N32" s="41">
        <f t="shared" si="2"/>
        <v>0</v>
      </c>
      <c r="O32" s="189" t="s">
        <v>76</v>
      </c>
    </row>
    <row r="33" spans="1:15" ht="12.75" customHeight="1" x14ac:dyDescent="0.25">
      <c r="A33" t="s">
        <v>383</v>
      </c>
      <c r="D33" s="189" t="s">
        <v>78</v>
      </c>
      <c r="E33" s="278">
        <v>0</v>
      </c>
      <c r="F33" s="278">
        <v>0</v>
      </c>
      <c r="G33" s="278">
        <f>-(SUMIFS('Accounting data'!$G$2:$G$37000,'Accounting data'!$H$2:$H$37000,"1435*",'Accounting data'!$K$2:$K$37000,"1*")+SUMIFS('Accounting data'!$G$2:$G$37000,'Accounting data'!$H$2:$H$37000,"1435*",'Accounting data'!$K$2:$K$37000,"2*")+SUMIFS('Accounting data'!$G$2:$G$37000,'Accounting data'!$H$2:$H$37000,"1435*",'Accounting data'!$K$2:$K$37000,"3*")+SUMIFS('Accounting data'!$G$2:$G$37000,'Accounting data'!$H$2:$H$37000,"1435*",'Accounting data'!$K$2:$K$37000,"4*")+SUMIFS('Accounting data'!$G$2:$G$37000,'Accounting data'!$H$2:$H$37000,"1435*",'Accounting data'!$K$2:$K$37000,"Other*"))</f>
        <v>0</v>
      </c>
      <c r="H33" s="317"/>
      <c r="I33" s="41">
        <v>0</v>
      </c>
      <c r="J33" s="278">
        <v>0</v>
      </c>
      <c r="K33" s="41">
        <f>SUMIFS('Accounting data'!$G$2:$G$37000,'Accounting data'!$H$2:$H$37000,"1435*",'Accounting data'!$K$2:$K$37000,"6*")-SUMIFS('Accounting data'!$G$2:$G$37000,'Accounting data'!$H$2:$H$37000,"1435*",'Accounting data'!$K$2:$K$37000,"69*")-SUMIFS('Accounting data'!$G$2:$G$37000,'Accounting data'!$H$2:$H$37000,"1435*",'Accounting data'!$K$2:$K$37000,"67*")</f>
        <v>0</v>
      </c>
      <c r="L33" s="41">
        <v>0</v>
      </c>
      <c r="M33" s="41">
        <v>0</v>
      </c>
      <c r="N33" s="41">
        <f t="shared" si="2"/>
        <v>0</v>
      </c>
      <c r="O33" s="189" t="s">
        <v>78</v>
      </c>
    </row>
    <row r="34" spans="1:15" ht="12.75" customHeight="1" x14ac:dyDescent="0.25">
      <c r="A34" t="s">
        <v>384</v>
      </c>
      <c r="D34" s="189" t="s">
        <v>80</v>
      </c>
      <c r="E34" s="278">
        <v>0</v>
      </c>
      <c r="F34" s="278">
        <v>0</v>
      </c>
      <c r="G34" s="278">
        <f>-(SUMIFS('Accounting data'!$G$2:$G$37000,'Accounting data'!$H$2:$H$37000,"1450*",'Accounting data'!$K$2:$K$37000,"1*")+SUMIFS('Accounting data'!$G$2:$G$37000,'Accounting data'!$H$2:$H$37000,"1450*",'Accounting data'!$K$2:$K$37000,"2*")+SUMIFS('Accounting data'!$G$2:$G$37000,'Accounting data'!$H$2:$H$37000,"1450*",'Accounting data'!$K$2:$K$37000,"3*")+SUMIFS('Accounting data'!$G$2:$G$37000,'Accounting data'!$H$2:$H$37000,"1450*",'Accounting data'!$K$2:$K$37000,"4*")+SUMIFS('Accounting data'!$G$2:$G$37000,'Accounting data'!$H$2:$H$37000,"1450*",'Accounting data'!$K$2:$K$37000,"Other*"))</f>
        <v>0</v>
      </c>
      <c r="H34" s="317"/>
      <c r="I34" s="41">
        <v>0</v>
      </c>
      <c r="J34" s="278">
        <v>0</v>
      </c>
      <c r="K34" s="41">
        <f>SUMIFS('Accounting data'!$G$2:$G$37000,'Accounting data'!$H$2:$H$37000,"1450*",'Accounting data'!$K$2:$K$37000,"6*")-SUMIFS('Accounting data'!$G$2:$G$37000,'Accounting data'!$H$2:$H$37000,"1450*",'Accounting data'!$K$2:$K$37000,"69*")-SUMIFS('Accounting data'!$G$2:$G$37000,'Accounting data'!$H$2:$H$37000,"1450*",'Accounting data'!$K$2:$K$37000,"67*")</f>
        <v>0</v>
      </c>
      <c r="L34" s="41">
        <v>0</v>
      </c>
      <c r="M34" s="41">
        <v>0</v>
      </c>
      <c r="N34" s="41">
        <f t="shared" si="2"/>
        <v>0</v>
      </c>
      <c r="O34" s="189" t="s">
        <v>80</v>
      </c>
    </row>
    <row r="35" spans="1:15" ht="12.75" customHeight="1" x14ac:dyDescent="0.25">
      <c r="A35" t="s">
        <v>385</v>
      </c>
      <c r="D35" s="189" t="s">
        <v>82</v>
      </c>
      <c r="E35" s="278">
        <v>0</v>
      </c>
      <c r="F35" s="278">
        <v>0</v>
      </c>
      <c r="G35" s="278">
        <f>-(SUMIFS('Accounting data'!$G$2:$G$37000,'Accounting data'!$H$2:$H$37000,"1456*",'Accounting data'!$K$2:$K$37000,"1*")+SUMIFS('Accounting data'!$G$2:$G$37000,'Accounting data'!$H$2:$H$37000,"1456*",'Accounting data'!$K$2:$K$37000,"2*")+SUMIFS('Accounting data'!$G$2:$G$37000,'Accounting data'!$H$2:$H$37000,"1456*",'Accounting data'!$K$2:$K$37000,"3*")+SUMIFS('Accounting data'!$G$2:$G$37000,'Accounting data'!$H$2:$H$37000,"1456*",'Accounting data'!$K$2:$K$37000,"4*")+SUMIFS('Accounting data'!$G$2:$G$37000,'Accounting data'!$H$2:$H$37000,"1456*",'Accounting data'!$K$2:$K$37000,"Other*"))</f>
        <v>0</v>
      </c>
      <c r="H35" s="317"/>
      <c r="I35" s="41">
        <v>0</v>
      </c>
      <c r="J35" s="278">
        <v>0</v>
      </c>
      <c r="K35" s="41">
        <f>SUMIFS('Accounting data'!$G$2:$G$37000,'Accounting data'!$H$2:$H$37000,"1456*",'Accounting data'!$K$2:$K$37000,"6*")-SUMIFS('Accounting data'!$G$2:$G$37000,'Accounting data'!$H$2:$H$37000,"1456*",'Accounting data'!$K$2:$K$37000,"69*")-SUMIFS('Accounting data'!$G$2:$G$37000,'Accounting data'!$H$2:$H$37000,"1456*",'Accounting data'!$K$2:$K$37000,"67*")</f>
        <v>0</v>
      </c>
      <c r="L35" s="41">
        <v>0</v>
      </c>
      <c r="M35" s="41">
        <v>0</v>
      </c>
      <c r="N35" s="41">
        <f t="shared" si="2"/>
        <v>0</v>
      </c>
      <c r="O35" s="189" t="s">
        <v>82</v>
      </c>
    </row>
    <row r="36" spans="1:15" x14ac:dyDescent="0.25">
      <c r="A36" t="s">
        <v>386</v>
      </c>
      <c r="D36" s="189" t="s">
        <v>85</v>
      </c>
      <c r="E36" s="278">
        <v>0</v>
      </c>
      <c r="F36" s="278">
        <v>0</v>
      </c>
      <c r="G36" s="278">
        <f>-(SUMIFS('Accounting data'!$G$2:$G$37000,'Accounting data'!$H$2:$H$37000,"1460*",'Accounting data'!$K$2:$K$37000,"1*")+SUMIFS('Accounting data'!$G$2:$G$37000,'Accounting data'!$H$2:$H$37000,"1460*",'Accounting data'!$K$2:$K$37000,"2*")+SUMIFS('Accounting data'!$G$2:$G$37000,'Accounting data'!$H$2:$H$37000,"1460*",'Accounting data'!$K$2:$K$37000,"3*")+SUMIFS('Accounting data'!$G$2:$G$37000,'Accounting data'!$H$2:$H$37000,"1460*",'Accounting data'!$K$2:$K$37000,"4*")+SUMIFS('Accounting data'!$G$2:$G$37000,'Accounting data'!$H$2:$H$37000,"1460*",'Accounting data'!$K$2:$K$37000,"Other*"))</f>
        <v>0</v>
      </c>
      <c r="H36" s="318"/>
      <c r="I36" s="41">
        <v>0</v>
      </c>
      <c r="J36" s="278">
        <v>0</v>
      </c>
      <c r="K36" s="41">
        <f>SUMIFS('Accounting data'!$G$2:$G$37000,'Accounting data'!$H$2:$H$37000,"1460*",'Accounting data'!$K$2:$K$37000,"6*")-SUMIFS('Accounting data'!$G$2:$G$37000,'Accounting data'!$H$2:$H$37000,"1460*",'Accounting data'!$K$2:$K$37000,"69*")-SUMIFS('Accounting data'!$G$2:$G$37000,'Accounting data'!$H$2:$H$37000,"1460*",'Accounting data'!$K$2:$K$37000,"67*")</f>
        <v>0</v>
      </c>
      <c r="L36" s="41">
        <v>0</v>
      </c>
      <c r="M36" s="41">
        <v>0</v>
      </c>
      <c r="N36" s="41">
        <f t="shared" si="2"/>
        <v>0</v>
      </c>
      <c r="O36" s="189" t="s">
        <v>87</v>
      </c>
    </row>
    <row r="37" spans="1:15" ht="12.75" customHeight="1" x14ac:dyDescent="0.25">
      <c r="A37" t="s">
        <v>387</v>
      </c>
      <c r="D37" s="189" t="s">
        <v>87</v>
      </c>
      <c r="E37" s="278">
        <v>0</v>
      </c>
      <c r="F37" s="278">
        <v>0</v>
      </c>
      <c r="G37" s="278">
        <f>-(SUMIFS('Accounting data'!$G$2:$G$37000,'Accounting data'!$H$2:$H$37000,"1465*",'Accounting data'!$K$2:$K$37000,"1*")+SUMIFS('Accounting data'!$G$2:$G$37000,'Accounting data'!$H$2:$H$37000,"1465*",'Accounting data'!$K$2:$K$37000,"2*")+SUMIFS('Accounting data'!$G$2:$G$37000,'Accounting data'!$H$2:$H$37000,"1465*",'Accounting data'!$K$2:$K$37000,"3*")+SUMIFS('Accounting data'!$G$2:$G$37000,'Accounting data'!$H$2:$H$37000,"1465*",'Accounting data'!$K$2:$K$37000,"4*")+SUMIFS('Accounting data'!$G$2:$G$37000,'Accounting data'!$H$2:$H$37000,"1465*",'Accounting data'!$K$2:$K$37000,"Other*"))</f>
        <v>0</v>
      </c>
      <c r="H37" s="319"/>
      <c r="I37" s="41">
        <v>0</v>
      </c>
      <c r="J37" s="278">
        <v>0</v>
      </c>
      <c r="K37" s="41">
        <f>SUMIFS('Accounting data'!$G$2:$G$37000,'Accounting data'!$H$2:$H$37000,"1465*",'Accounting data'!$K$2:$K$37000,"6*")-SUMIFS('Accounting data'!$G$2:$G$37000,'Accounting data'!$H$2:$H$37000,"1465*",'Accounting data'!$K$2:$K$37000,"69*")-SUMIFS('Accounting data'!$G$2:$G$37000,'Accounting data'!$H$2:$H$37000,"1465*",'Accounting data'!$K$2:$K$37000,"67*")</f>
        <v>0</v>
      </c>
      <c r="L37" s="41">
        <v>0</v>
      </c>
      <c r="M37" s="41">
        <v>0</v>
      </c>
      <c r="N37" s="41">
        <f t="shared" si="2"/>
        <v>0</v>
      </c>
      <c r="O37" s="189" t="s">
        <v>89</v>
      </c>
    </row>
    <row r="38" spans="1:15" ht="12.75" customHeight="1" x14ac:dyDescent="0.25">
      <c r="A38" s="330" t="s">
        <v>388</v>
      </c>
      <c r="B38" s="330"/>
      <c r="C38" s="330"/>
      <c r="D38" s="320" t="s">
        <v>89</v>
      </c>
      <c r="E38" s="278">
        <v>0</v>
      </c>
      <c r="F38" s="278">
        <v>0</v>
      </c>
      <c r="G38" s="278">
        <f>-(SUMIFS('Accounting data'!$G$2:$G$37000,'Accounting data'!$H$2:$H$37000,"14XX*",'Accounting data'!$K$2:$K$37000,"1*")+SUMIFS('Accounting data'!$G$2:$G$37000,'Accounting data'!$H$2:$H$37000,"14XX*",'Accounting data'!$K$2:$K$37000,"2*")+SUMIFS('Accounting data'!$G$2:$G$37000,'Accounting data'!$H$2:$H$37000,"14XX*",'Accounting data'!$K$2:$K$37000,"3*")+SUMIFS('Accounting data'!$G$2:$G$37000,'Accounting data'!$H$2:$H$37000,"14XX*",'Accounting data'!$K$2:$K$37000,"4*")+SUMIFS('Accounting data'!$G$2:$G$37000,'Accounting data'!$H$2:$H$37000,"14XX*",'Accounting data'!$K$2:$K$37000,"Other*"))</f>
        <v>0</v>
      </c>
      <c r="H38" s="319"/>
      <c r="I38" s="41">
        <v>0</v>
      </c>
      <c r="J38" s="278">
        <v>0</v>
      </c>
      <c r="K38" s="41">
        <f>SUMIFS('Accounting data'!$G$2:$G$37000,'Accounting data'!$H$2:$H$37000,"14XX*",'Accounting data'!$K$2:$K$37000,"6*")-SUMIFS('Accounting data'!$G$2:$G$37000,'Accounting data'!$H$2:$H$37000,"14XX*",'Accounting data'!$K$2:$K$37000,"69*")-SUMIFS('Accounting data'!$G$2:$G$37000,'Accounting data'!$H$2:$H$37000,"14XX*",'Accounting data'!$K$2:$K$37000,"67*")</f>
        <v>0</v>
      </c>
      <c r="L38" s="41">
        <v>0</v>
      </c>
      <c r="M38" s="41">
        <v>0</v>
      </c>
      <c r="N38" s="41">
        <f t="shared" si="2"/>
        <v>0</v>
      </c>
      <c r="O38" s="320" t="s">
        <v>91</v>
      </c>
    </row>
    <row r="39" spans="1:15" ht="12.75" customHeight="1" x14ac:dyDescent="0.25">
      <c r="A39" t="s">
        <v>389</v>
      </c>
      <c r="D39" s="189" t="s">
        <v>91</v>
      </c>
      <c r="E39" s="313">
        <v>0</v>
      </c>
      <c r="F39" s="313">
        <v>0</v>
      </c>
      <c r="G39" s="313">
        <f>-(SUMIFS('Accounting data'!$G$2:$G$37000,'Accounting data'!$H$2:$H$37000,"1470*",'Accounting data'!$K$2:$K$37000,"1*")+SUMIFS('Accounting data'!$G$2:$G$37000,'Accounting data'!$H$2:$H$37000,"1470*",'Accounting data'!$K$2:$K$37000,"2*")+SUMIFS('Accounting data'!$G$2:$G$37000,'Accounting data'!$H$2:$H$37000,"1470*",'Accounting data'!$K$2:$K$37000,"3*")+SUMIFS('Accounting data'!$G$2:$G$37000,'Accounting data'!$H$2:$H$37000,"1470*",'Accounting data'!$K$2:$K$37000,"4*")+SUMIFS('Accounting data'!$G$2:$G$37000,'Accounting data'!$H$2:$H$37000,"1470*",'Accounting data'!$K$2:$K$37000,"Other*"))</f>
        <v>1576</v>
      </c>
      <c r="H39" s="321"/>
      <c r="I39" s="314">
        <v>0</v>
      </c>
      <c r="J39" s="313">
        <v>0</v>
      </c>
      <c r="K39" s="314">
        <f>SUMIFS('Accounting data'!$G$2:$G$37000,'Accounting data'!$H$2:$H$37000,"1470*",'Accounting data'!$K$2:$K$37000,"6*")-SUMIFS('Accounting data'!$G$2:$G$37000,'Accounting data'!$H$2:$H$37000,"1470*",'Accounting data'!$K$2:$K$37000,"69*")-SUMIFS('Accounting data'!$G$2:$G$37000,'Accounting data'!$H$2:$H$37000,"1470*",'Accounting data'!$K$2:$K$37000,"67*")</f>
        <v>0</v>
      </c>
      <c r="L39" s="314">
        <v>0</v>
      </c>
      <c r="M39" s="314">
        <v>1576</v>
      </c>
      <c r="N39" s="41">
        <f t="shared" si="2"/>
        <v>0</v>
      </c>
      <c r="O39" s="189" t="s">
        <v>93</v>
      </c>
    </row>
    <row r="40" spans="1:15" ht="13.5" customHeight="1" x14ac:dyDescent="0.25">
      <c r="A40" t="s">
        <v>390</v>
      </c>
      <c r="D40" s="189" t="s">
        <v>93</v>
      </c>
      <c r="E40" s="315">
        <f>SUM(E28:E39)</f>
        <v>0</v>
      </c>
      <c r="F40" s="315">
        <f t="array" ref="F40">SUM(IF(F28:F39="",E28:E39,F28:F39))</f>
        <v>0</v>
      </c>
      <c r="G40" s="315">
        <f>SUM(G28:G39)</f>
        <v>1576</v>
      </c>
      <c r="H40" s="322"/>
      <c r="I40" s="315">
        <f>SUM(I28:I39)</f>
        <v>0</v>
      </c>
      <c r="J40" s="315">
        <f>SUM(J28:J39)</f>
        <v>0</v>
      </c>
      <c r="K40" s="315">
        <f>SUM(K28:K39)</f>
        <v>0</v>
      </c>
      <c r="L40" s="315">
        <f>SUM(L28:L39)</f>
        <v>0</v>
      </c>
      <c r="M40" s="315">
        <f>SUM(M28:M39)</f>
        <v>1576</v>
      </c>
      <c r="N40" s="41">
        <f t="shared" si="2"/>
        <v>0</v>
      </c>
      <c r="O40" s="189" t="s">
        <v>95</v>
      </c>
    </row>
    <row r="41" spans="1:15" ht="13.5" customHeight="1" x14ac:dyDescent="0.25">
      <c r="D41" s="323"/>
      <c r="E41" s="191"/>
      <c r="F41" s="191"/>
      <c r="G41" s="191"/>
      <c r="H41" s="191"/>
      <c r="I41" s="191"/>
      <c r="J41" s="191"/>
      <c r="K41" s="191"/>
      <c r="L41" s="191"/>
      <c r="M41" s="191"/>
      <c r="N41" s="191"/>
      <c r="O41" s="324"/>
    </row>
    <row r="42" spans="1:15" ht="13.5" customHeight="1" x14ac:dyDescent="0.25">
      <c r="A42" s="58" t="s">
        <v>391</v>
      </c>
      <c r="B42" s="58"/>
      <c r="C42" s="58"/>
      <c r="D42" s="189" t="s">
        <v>95</v>
      </c>
      <c r="E42" s="325">
        <f>SUM(E23+E40)</f>
        <v>0</v>
      </c>
      <c r="F42" s="325">
        <f>SUM(F23+F40)</f>
        <v>0</v>
      </c>
      <c r="G42" s="325">
        <f>SUM(G23+G40)</f>
        <v>141058</v>
      </c>
      <c r="H42" s="32">
        <f>H23</f>
        <v>7961</v>
      </c>
      <c r="I42" s="325">
        <f>SUM(I23+I40)</f>
        <v>0</v>
      </c>
      <c r="J42" s="325">
        <f>SUM(J23+J40)</f>
        <v>136461</v>
      </c>
      <c r="K42" s="325">
        <f>SUM(K23+K40)</f>
        <v>126277</v>
      </c>
      <c r="L42" s="325">
        <f>SUM(L23+L40)</f>
        <v>0</v>
      </c>
      <c r="M42" s="325">
        <f>SUM(M23+M40)</f>
        <v>6820</v>
      </c>
      <c r="N42" s="41">
        <f>SUM(IF(F42="",E42,F42)+G42-H42-I42-K42-L42-M42)</f>
        <v>0</v>
      </c>
      <c r="O42" s="189" t="s">
        <v>97</v>
      </c>
    </row>
  </sheetData>
  <sheetProtection algorithmName="SHA-512" hashValue="dYLRs235yjcohJJJ9x8HoSUNiaRZpFOXHu1Tt7nzxot60l3hAxAmmDmrc1EMbYVD1KMp4fcv715v0iAWUxwRXw==" saltValue="kYWt/v5b7hJMdH4A5kmAkg==" spinCount="100000" sheet="1"/>
  <mergeCells count="5">
    <mergeCell ref="B1:D1"/>
    <mergeCell ref="H1:I1"/>
    <mergeCell ref="A3:D3"/>
    <mergeCell ref="B4:C4"/>
    <mergeCell ref="J4:K4"/>
  </mergeCells>
  <pageMargins left="0.7" right="0.7" top="0.75" bottom="0.75" header="0.3" footer="0.3"/>
  <pageSetup scale="72" orientation="landscape" r:id="rId1"/>
  <headerFooter>
    <oddFooter>&amp;LRev. 8/26 Arizona Department of Education and Auditor General&amp;CFY 2026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24E4D-A9EB-428D-BDA2-238716D84E95}">
  <dimension ref="A1:AA64"/>
  <sheetViews>
    <sheetView showGridLines="0" workbookViewId="0"/>
  </sheetViews>
  <sheetFormatPr defaultColWidth="9.33203125" defaultRowHeight="12.75" customHeight="1" x14ac:dyDescent="0.25"/>
  <cols>
    <col min="1" max="1" width="19.77734375" style="197" customWidth="1"/>
    <col min="2" max="2" width="42.77734375" style="197" customWidth="1"/>
    <col min="3" max="3" width="3" style="197" customWidth="1"/>
    <col min="4" max="6" width="16.77734375" style="197" customWidth="1"/>
    <col min="7" max="7" width="18.6640625" style="197" customWidth="1"/>
    <col min="8" max="10" width="17.77734375" style="255" customWidth="1"/>
    <col min="11" max="11" width="16.77734375" style="255" customWidth="1"/>
    <col min="12" max="12" width="3" style="197" customWidth="1"/>
    <col min="13" max="13" width="10.77734375" style="197" customWidth="1"/>
    <col min="14" max="14" width="9.33203125" style="197" customWidth="1"/>
    <col min="15" max="15" width="2.33203125" style="197" customWidth="1"/>
    <col min="16" max="16" width="9.33203125" style="197" customWidth="1"/>
    <col min="17" max="25" width="9.33203125" style="197" hidden="1" customWidth="1"/>
    <col min="26" max="26" width="9.33203125" style="197" customWidth="1"/>
    <col min="27" max="16384" width="9.33203125" style="197"/>
  </cols>
  <sheetData>
    <row r="1" spans="1:27" ht="12" customHeight="1" x14ac:dyDescent="0.25">
      <c r="A1" s="63" t="s">
        <v>0</v>
      </c>
      <c r="B1" s="61" t="str">
        <f>'Cover Page'!D1</f>
        <v>Edge School, Inc., The</v>
      </c>
      <c r="C1" s="57"/>
      <c r="D1"/>
      <c r="E1" s="6" t="s">
        <v>1</v>
      </c>
      <c r="F1" s="609" t="str">
        <f>'Cover Page'!M1</f>
        <v>Pima</v>
      </c>
      <c r="G1" s="609"/>
      <c r="H1"/>
      <c r="I1" s="6"/>
      <c r="J1" s="6" t="s">
        <v>2</v>
      </c>
      <c r="K1" s="54" t="str">
        <f>'Cover Page'!R1</f>
        <v>108653000</v>
      </c>
      <c r="L1" s="252"/>
      <c r="M1" s="57"/>
      <c r="N1" s="26"/>
      <c r="O1" s="26"/>
    </row>
    <row r="2" spans="1:27" ht="12" customHeight="1" x14ac:dyDescent="0.25">
      <c r="A2" s="6"/>
      <c r="B2" s="6"/>
      <c r="C2" s="63"/>
      <c r="D2" s="57"/>
      <c r="E2"/>
      <c r="F2"/>
      <c r="G2"/>
      <c r="H2" s="6"/>
      <c r="I2" s="57"/>
      <c r="J2" s="57"/>
      <c r="K2" s="57"/>
      <c r="L2"/>
      <c r="M2" s="57"/>
      <c r="N2" s="26"/>
      <c r="O2" s="26"/>
    </row>
    <row r="3" spans="1:27" ht="12" customHeight="1" x14ac:dyDescent="0.25">
      <c r="A3" s="253"/>
      <c r="B3" s="253"/>
      <c r="C3" s="253"/>
      <c r="D3" s="253"/>
      <c r="E3" s="253"/>
      <c r="F3" s="253"/>
      <c r="G3" s="253"/>
      <c r="H3" s="253"/>
      <c r="I3" s="253"/>
      <c r="J3" s="253"/>
      <c r="K3" s="253"/>
      <c r="L3" s="253"/>
      <c r="M3" s="253"/>
    </row>
    <row r="4" spans="1:27" ht="12" customHeight="1" x14ac:dyDescent="0.25">
      <c r="A4" s="253"/>
      <c r="B4" s="253"/>
      <c r="C4" s="723" t="s">
        <v>392</v>
      </c>
      <c r="D4" s="723"/>
      <c r="E4" s="723"/>
      <c r="F4" s="723"/>
      <c r="G4" s="723"/>
      <c r="H4" s="723"/>
      <c r="I4" s="723"/>
      <c r="J4" s="723"/>
      <c r="K4" s="723"/>
      <c r="L4" s="723"/>
      <c r="M4" s="253"/>
    </row>
    <row r="5" spans="1:27" ht="12" customHeight="1" x14ac:dyDescent="0.25">
      <c r="B5" s="254"/>
    </row>
    <row r="6" spans="1:27" ht="12" customHeight="1" x14ac:dyDescent="0.25">
      <c r="A6" s="70"/>
      <c r="B6" s="70"/>
      <c r="D6" s="724" t="s">
        <v>393</v>
      </c>
      <c r="E6" s="724"/>
      <c r="F6" s="724"/>
      <c r="G6" s="724"/>
      <c r="H6" s="724"/>
      <c r="I6" s="724"/>
      <c r="J6" s="724"/>
      <c r="K6" s="724"/>
      <c r="L6" s="71"/>
      <c r="M6" s="255"/>
      <c r="N6" s="255"/>
      <c r="V6" s="256"/>
    </row>
    <row r="7" spans="1:27" ht="12" customHeight="1" x14ac:dyDescent="0.25">
      <c r="D7" s="257"/>
      <c r="E7" s="258"/>
      <c r="F7" s="258" t="s">
        <v>165</v>
      </c>
      <c r="G7" s="258"/>
      <c r="H7" s="258"/>
      <c r="I7" s="259"/>
      <c r="J7" s="259" t="s">
        <v>110</v>
      </c>
      <c r="K7" s="496"/>
      <c r="L7" s="260"/>
      <c r="M7" s="255"/>
      <c r="N7" s="255"/>
      <c r="T7" s="256"/>
      <c r="V7" s="256"/>
    </row>
    <row r="8" spans="1:27" ht="12" customHeight="1" x14ac:dyDescent="0.25">
      <c r="D8" s="261"/>
      <c r="E8" s="262" t="s">
        <v>101</v>
      </c>
      <c r="F8" s="262" t="s">
        <v>108</v>
      </c>
      <c r="G8" s="262"/>
      <c r="H8" s="263" t="s">
        <v>394</v>
      </c>
      <c r="I8" s="263"/>
      <c r="J8" s="263" t="s">
        <v>395</v>
      </c>
      <c r="K8" s="496"/>
      <c r="L8" s="264"/>
      <c r="N8" s="255"/>
      <c r="U8" s="256"/>
    </row>
    <row r="9" spans="1:27" ht="12" customHeight="1" x14ac:dyDescent="0.25">
      <c r="D9" s="262" t="s">
        <v>106</v>
      </c>
      <c r="E9" s="265" t="s">
        <v>107</v>
      </c>
      <c r="F9" s="265" t="s">
        <v>396</v>
      </c>
      <c r="G9" s="265" t="s">
        <v>109</v>
      </c>
      <c r="H9" s="263" t="s">
        <v>397</v>
      </c>
      <c r="I9" s="266" t="s">
        <v>398</v>
      </c>
      <c r="J9" s="266" t="s">
        <v>399</v>
      </c>
      <c r="K9" s="497" t="s">
        <v>400</v>
      </c>
      <c r="L9" s="264"/>
      <c r="N9" s="255"/>
      <c r="U9" s="256"/>
      <c r="AA9" s="256"/>
    </row>
    <row r="10" spans="1:27" ht="12" customHeight="1" x14ac:dyDescent="0.25">
      <c r="A10" s="3" t="s">
        <v>401</v>
      </c>
      <c r="B10" s="3"/>
      <c r="D10" s="265">
        <v>6100</v>
      </c>
      <c r="E10" s="265">
        <v>6200</v>
      </c>
      <c r="F10" s="265">
        <v>6500</v>
      </c>
      <c r="G10" s="265">
        <v>6600</v>
      </c>
      <c r="H10" s="265">
        <v>6810</v>
      </c>
      <c r="I10" s="266">
        <v>6890</v>
      </c>
      <c r="J10" s="266" t="s">
        <v>402</v>
      </c>
      <c r="K10" s="498" t="s">
        <v>403</v>
      </c>
      <c r="L10" s="264"/>
      <c r="N10" s="255"/>
      <c r="S10" s="256"/>
      <c r="AA10" s="255"/>
    </row>
    <row r="11" spans="1:27" ht="12" customHeight="1" x14ac:dyDescent="0.25">
      <c r="A11" s="23" t="s">
        <v>219</v>
      </c>
      <c r="B11" s="23"/>
      <c r="C11" s="267" t="s">
        <v>27</v>
      </c>
      <c r="D11" s="41">
        <f>Calculations!E8</f>
        <v>513539</v>
      </c>
      <c r="E11" s="41">
        <f>Calculations!E113</f>
        <v>151219</v>
      </c>
      <c r="F11" s="41">
        <f>Calculations!E238</f>
        <v>5717</v>
      </c>
      <c r="G11" s="41">
        <f>Calculations!E636</f>
        <v>47367</v>
      </c>
      <c r="H11" s="41">
        <f>Calculations!E944</f>
        <v>205</v>
      </c>
      <c r="I11" s="41">
        <f>Calculations!E1109</f>
        <v>0</v>
      </c>
      <c r="J11" s="41">
        <f>Calculations!E1447-H11-I11</f>
        <v>0</v>
      </c>
      <c r="K11" s="30">
        <v>0</v>
      </c>
      <c r="L11" s="268" t="s">
        <v>27</v>
      </c>
      <c r="N11" s="255"/>
      <c r="S11" s="256"/>
      <c r="AA11" s="269" t="str">
        <f>IF(OR(K11="",K14="",K13="",K15="",K16="",K17="",K18="",K19="",K21="",K22="",K24="",K25="",K26=""),"yes","")</f>
        <v/>
      </c>
    </row>
    <row r="12" spans="1:27" ht="12" customHeight="1" x14ac:dyDescent="0.25">
      <c r="A12" s="197" t="s">
        <v>220</v>
      </c>
      <c r="C12" s="267"/>
      <c r="D12" s="5"/>
      <c r="E12" s="5"/>
      <c r="F12" s="5"/>
      <c r="G12" s="5"/>
      <c r="H12" s="5"/>
      <c r="I12" s="5"/>
      <c r="J12" s="5"/>
      <c r="K12" s="5"/>
      <c r="L12" s="268"/>
      <c r="N12" s="255"/>
      <c r="S12" s="256"/>
      <c r="AA12" s="269" t="str">
        <f>IF(OR(E33="",E34="",E35="",E36="",E40="",E41="",E42="",E43="",E44="",E49="",E53="",E54="",E55="",E56=""),"yes","")</f>
        <v/>
      </c>
    </row>
    <row r="13" spans="1:27" ht="12" customHeight="1" x14ac:dyDescent="0.25">
      <c r="A13" s="23" t="s">
        <v>404</v>
      </c>
      <c r="B13" s="23"/>
      <c r="C13" s="267" t="s">
        <v>29</v>
      </c>
      <c r="D13" s="33">
        <f>Calculations!E15</f>
        <v>165915</v>
      </c>
      <c r="E13" s="33">
        <f>Calculations!E120</f>
        <v>47632</v>
      </c>
      <c r="F13" s="33">
        <f>Calculations!E265</f>
        <v>47743</v>
      </c>
      <c r="G13" s="33">
        <f>Calculations!E643</f>
        <v>10289</v>
      </c>
      <c r="H13" s="33">
        <f>Calculations!E951</f>
        <v>62</v>
      </c>
      <c r="I13" s="33">
        <f>Calculations!E1116</f>
        <v>0</v>
      </c>
      <c r="J13" s="33">
        <f>Calculations!E1452-H13-I13</f>
        <v>0</v>
      </c>
      <c r="K13" s="33">
        <v>1575</v>
      </c>
      <c r="L13" s="268" t="s">
        <v>29</v>
      </c>
      <c r="W13" s="256"/>
      <c r="AA13" s="269" t="str">
        <f>IF(OR(K30="",K31="",K32="",K36="",K37="",K38="",K41="",K42="",K46="",K47="",K51="",K52="",K53="",K54="",K55="",K56="",K59="",K60=""),"yes","")</f>
        <v/>
      </c>
    </row>
    <row r="14" spans="1:27" ht="12" customHeight="1" x14ac:dyDescent="0.25">
      <c r="A14" s="23" t="s">
        <v>405</v>
      </c>
      <c r="B14" s="23"/>
      <c r="C14" s="267" t="s">
        <v>31</v>
      </c>
      <c r="D14" s="41">
        <f>Calculations!E22</f>
        <v>5146</v>
      </c>
      <c r="E14" s="41">
        <f>Calculations!E127</f>
        <v>2022</v>
      </c>
      <c r="F14" s="41">
        <f>Calculations!E292</f>
        <v>22046</v>
      </c>
      <c r="G14" s="41">
        <f>Calculations!E650</f>
        <v>1925</v>
      </c>
      <c r="H14" s="41">
        <f>Calculations!E958</f>
        <v>0</v>
      </c>
      <c r="I14" s="41">
        <f>Calculations!E1123</f>
        <v>0</v>
      </c>
      <c r="J14" s="41">
        <f>Calculations!E1457-H14-I14</f>
        <v>0</v>
      </c>
      <c r="K14" s="33">
        <v>0</v>
      </c>
      <c r="L14" s="270" t="s">
        <v>31</v>
      </c>
      <c r="N14" s="255"/>
      <c r="W14" s="256"/>
      <c r="AA14" s="269" t="str">
        <f>IF(AND(AA11="",AA12="",AA13=""),"","yes")</f>
        <v/>
      </c>
    </row>
    <row r="15" spans="1:27" ht="12" customHeight="1" x14ac:dyDescent="0.25">
      <c r="A15" s="23" t="s">
        <v>406</v>
      </c>
      <c r="B15" s="23"/>
      <c r="C15" s="267" t="s">
        <v>34</v>
      </c>
      <c r="D15" s="41">
        <f>Calculations!E29</f>
        <v>0</v>
      </c>
      <c r="E15" s="41">
        <f>Calculations!E134</f>
        <v>0</v>
      </c>
      <c r="F15" s="41">
        <f>Calculations!E319</f>
        <v>17872</v>
      </c>
      <c r="G15" s="41">
        <f>Calculations!E657</f>
        <v>161</v>
      </c>
      <c r="H15" s="41">
        <f>Calculations!E965</f>
        <v>1640</v>
      </c>
      <c r="I15" s="41">
        <f>Calculations!E1130</f>
        <v>0</v>
      </c>
      <c r="J15" s="41">
        <f>Calculations!E1462-H15-I15</f>
        <v>0</v>
      </c>
      <c r="K15" s="41">
        <v>0</v>
      </c>
      <c r="L15" s="270" t="s">
        <v>34</v>
      </c>
    </row>
    <row r="16" spans="1:27" ht="12" customHeight="1" x14ac:dyDescent="0.25">
      <c r="A16" s="271" t="s">
        <v>407</v>
      </c>
      <c r="B16" s="271"/>
      <c r="C16" s="272" t="s">
        <v>36</v>
      </c>
      <c r="D16" s="41">
        <f>Calculations!E36</f>
        <v>143938</v>
      </c>
      <c r="E16" s="41">
        <f>Calculations!E141</f>
        <v>45850</v>
      </c>
      <c r="F16" s="41">
        <f>Calculations!E346</f>
        <v>64833</v>
      </c>
      <c r="G16" s="41">
        <f>Calculations!E664</f>
        <v>3266</v>
      </c>
      <c r="H16" s="41">
        <f>Calculations!E972</f>
        <v>11182</v>
      </c>
      <c r="I16" s="41">
        <f>Calculations!E1137</f>
        <v>0</v>
      </c>
      <c r="J16" s="41">
        <f>Calculations!E1467-H16-I16</f>
        <v>0</v>
      </c>
      <c r="K16" s="41">
        <v>0</v>
      </c>
      <c r="L16" s="273" t="s">
        <v>36</v>
      </c>
    </row>
    <row r="17" spans="1:12" ht="12" customHeight="1" x14ac:dyDescent="0.25">
      <c r="A17" s="274" t="s">
        <v>408</v>
      </c>
      <c r="B17" s="274"/>
      <c r="C17" s="272" t="s">
        <v>38</v>
      </c>
      <c r="D17" s="41">
        <f>Calculations!E43+Calculations!E50</f>
        <v>54874</v>
      </c>
      <c r="E17" s="41">
        <f>Calculations!E148+Calculations!E155</f>
        <v>15303</v>
      </c>
      <c r="F17" s="41">
        <f>Calculations!E373+Calculations!E400</f>
        <v>46655</v>
      </c>
      <c r="G17" s="41">
        <f>Calculations!E671+Calculations!E678</f>
        <v>224</v>
      </c>
      <c r="H17" s="41">
        <f>Calculations!E979+Calculations!E986</f>
        <v>20396</v>
      </c>
      <c r="I17" s="41">
        <f>Calculations!E1144+Calculations!E1151</f>
        <v>0</v>
      </c>
      <c r="J17" s="41">
        <f>Calculations!E1472+Calculations!E1477-Calculations!E1075-H17-I17</f>
        <v>0</v>
      </c>
      <c r="K17" s="41">
        <v>0</v>
      </c>
      <c r="L17" s="273" t="s">
        <v>38</v>
      </c>
    </row>
    <row r="18" spans="1:12" ht="12" customHeight="1" x14ac:dyDescent="0.25">
      <c r="A18" s="23" t="s">
        <v>409</v>
      </c>
      <c r="B18" s="23"/>
      <c r="C18" s="272" t="s">
        <v>40</v>
      </c>
      <c r="D18" s="41">
        <f>Calculations!E57</f>
        <v>0</v>
      </c>
      <c r="E18" s="41">
        <f>Calculations!E162</f>
        <v>127</v>
      </c>
      <c r="F18" s="41">
        <f>Calculations!E427</f>
        <v>238336</v>
      </c>
      <c r="G18" s="41">
        <f>Calculations!E685</f>
        <v>21292</v>
      </c>
      <c r="H18" s="41">
        <f>Calculations!E993</f>
        <v>620</v>
      </c>
      <c r="I18" s="41">
        <f>Calculations!E1158</f>
        <v>0</v>
      </c>
      <c r="J18" s="41">
        <f>Calculations!E1482-H18-I18</f>
        <v>0</v>
      </c>
      <c r="K18" s="41">
        <v>6555</v>
      </c>
      <c r="L18" s="273" t="s">
        <v>40</v>
      </c>
    </row>
    <row r="19" spans="1:12" ht="12" customHeight="1" x14ac:dyDescent="0.25">
      <c r="A19" s="275" t="s">
        <v>410</v>
      </c>
      <c r="B19" s="275"/>
      <c r="C19" s="272" t="s">
        <v>42</v>
      </c>
      <c r="D19" s="41">
        <f>Calculations!E64</f>
        <v>0</v>
      </c>
      <c r="E19" s="41">
        <f>Calculations!E169</f>
        <v>0</v>
      </c>
      <c r="F19" s="41">
        <f>Calculations!E454</f>
        <v>0</v>
      </c>
      <c r="G19" s="41">
        <f>Calculations!E692</f>
        <v>0</v>
      </c>
      <c r="H19" s="41">
        <f>Calculations!E1000</f>
        <v>0</v>
      </c>
      <c r="I19" s="41">
        <f>Calculations!E1165</f>
        <v>0</v>
      </c>
      <c r="J19" s="41">
        <f>Calculations!E1487-H19-I19</f>
        <v>0</v>
      </c>
      <c r="K19" s="276">
        <v>0</v>
      </c>
      <c r="L19" s="273" t="s">
        <v>42</v>
      </c>
    </row>
    <row r="20" spans="1:12" ht="12" customHeight="1" x14ac:dyDescent="0.25">
      <c r="A20" s="23" t="s">
        <v>411</v>
      </c>
      <c r="B20" s="23"/>
      <c r="C20" s="272"/>
      <c r="D20" s="5"/>
      <c r="E20" s="5"/>
      <c r="F20" s="5"/>
      <c r="G20" s="5"/>
      <c r="H20" s="5"/>
      <c r="I20" s="5"/>
      <c r="J20" s="5"/>
      <c r="K20" s="5"/>
      <c r="L20" s="277"/>
    </row>
    <row r="21" spans="1:12" ht="12" customHeight="1" x14ac:dyDescent="0.25">
      <c r="A21" s="275" t="s">
        <v>412</v>
      </c>
      <c r="B21" s="275"/>
      <c r="C21" s="272" t="s">
        <v>44</v>
      </c>
      <c r="D21" s="33">
        <f>Calculations!E71</f>
        <v>0</v>
      </c>
      <c r="E21" s="33">
        <f>Calculations!E176</f>
        <v>0</v>
      </c>
      <c r="F21" s="33">
        <f>Calculations!E481</f>
        <v>0</v>
      </c>
      <c r="G21" s="33">
        <f>Calculations!E699</f>
        <v>0</v>
      </c>
      <c r="H21" s="33">
        <f>Calculations!E1007</f>
        <v>0</v>
      </c>
      <c r="I21" s="33">
        <f>Calculations!E1172</f>
        <v>0</v>
      </c>
      <c r="J21" s="33">
        <f>Calculations!E1492-H21-I21</f>
        <v>0</v>
      </c>
      <c r="K21" s="33">
        <v>0</v>
      </c>
      <c r="L21" s="277" t="s">
        <v>44</v>
      </c>
    </row>
    <row r="22" spans="1:12" ht="12" customHeight="1" x14ac:dyDescent="0.25">
      <c r="A22" s="275" t="s">
        <v>413</v>
      </c>
      <c r="B22" s="275"/>
      <c r="C22" s="272" t="s">
        <v>46</v>
      </c>
      <c r="D22" s="41">
        <f>Calculations!E85</f>
        <v>0</v>
      </c>
      <c r="E22" s="41">
        <f>Calculations!E190</f>
        <v>0</v>
      </c>
      <c r="F22" s="41">
        <f>Calculations!E535</f>
        <v>0</v>
      </c>
      <c r="G22" s="41">
        <f>Calculations!E713</f>
        <v>0</v>
      </c>
      <c r="H22" s="41">
        <f>Calculations!E1021</f>
        <v>0</v>
      </c>
      <c r="I22" s="41">
        <f>Calculations!E1186</f>
        <v>0</v>
      </c>
      <c r="J22" s="41">
        <f>Calculations!E1497-H22-I22</f>
        <v>0</v>
      </c>
      <c r="K22" s="33">
        <v>0</v>
      </c>
      <c r="L22" s="273" t="s">
        <v>46</v>
      </c>
    </row>
    <row r="23" spans="1:12" ht="12" customHeight="1" x14ac:dyDescent="0.25">
      <c r="A23" s="275" t="s">
        <v>414</v>
      </c>
      <c r="B23" s="275"/>
      <c r="C23" s="272" t="s">
        <v>48</v>
      </c>
      <c r="D23" s="41">
        <f t="shared" ref="D23:K23" si="0">SUM(D11:D22)</f>
        <v>883412</v>
      </c>
      <c r="E23" s="41">
        <f t="shared" si="0"/>
        <v>262153</v>
      </c>
      <c r="F23" s="41">
        <f t="shared" si="0"/>
        <v>443202</v>
      </c>
      <c r="G23" s="41">
        <f t="shared" si="0"/>
        <v>84524</v>
      </c>
      <c r="H23" s="41">
        <f t="shared" si="0"/>
        <v>34105</v>
      </c>
      <c r="I23" s="41">
        <f t="shared" si="0"/>
        <v>0</v>
      </c>
      <c r="J23" s="41">
        <f t="shared" si="0"/>
        <v>0</v>
      </c>
      <c r="K23" s="41">
        <f t="shared" si="0"/>
        <v>8130</v>
      </c>
      <c r="L23" s="273" t="s">
        <v>48</v>
      </c>
    </row>
    <row r="24" spans="1:12" ht="12" customHeight="1" x14ac:dyDescent="0.25">
      <c r="A24" s="275" t="s">
        <v>415</v>
      </c>
      <c r="B24" s="275"/>
      <c r="C24" s="272" t="s">
        <v>50</v>
      </c>
      <c r="D24" s="41">
        <f>Calculations!E106</f>
        <v>67370</v>
      </c>
      <c r="E24" s="41">
        <f>Calculations!E211</f>
        <v>16911</v>
      </c>
      <c r="F24" s="41">
        <f>Calculations!E629</f>
        <v>30584</v>
      </c>
      <c r="G24" s="278">
        <f>Calculations!E734+'Food Service'!$E$10+'Food Service'!$E$12</f>
        <v>11412</v>
      </c>
      <c r="H24" s="41">
        <f>Calculations!E1042</f>
        <v>0</v>
      </c>
      <c r="I24" s="41">
        <f>Calculations!E1207</f>
        <v>0</v>
      </c>
      <c r="J24" s="41">
        <f>Calculations!E1511-Calculations!E1102-H24-I24</f>
        <v>0</v>
      </c>
      <c r="K24" s="41">
        <v>6555</v>
      </c>
      <c r="L24" s="273" t="s">
        <v>50</v>
      </c>
    </row>
    <row r="25" spans="1:12" ht="12" customHeight="1" x14ac:dyDescent="0.25">
      <c r="A25" s="275" t="s">
        <v>416</v>
      </c>
      <c r="B25" s="275"/>
      <c r="C25" s="272" t="s">
        <v>52</v>
      </c>
      <c r="D25" s="41">
        <f>Calculations!E93-Calculations!E106</f>
        <v>816042</v>
      </c>
      <c r="E25" s="41">
        <f>Calculations!E198-Calculations!E211</f>
        <v>245242</v>
      </c>
      <c r="F25" s="41">
        <f>Calculations!E563-Calculations!E629</f>
        <v>412618</v>
      </c>
      <c r="G25" s="278">
        <f>Calculations!E721-Calculations!E734-'Food Service'!$E$10-'Food Service'!$E$12</f>
        <v>73112</v>
      </c>
      <c r="H25" s="41">
        <f>Calculations!E1029-Calculations!E1042</f>
        <v>34105</v>
      </c>
      <c r="I25" s="41">
        <f>Calculations!E1194-Calculations!E1207</f>
        <v>0</v>
      </c>
      <c r="J25" s="41">
        <f>Calculations!E1498-Calculations!E1511-Calculations!E1075-H25-I25</f>
        <v>0</v>
      </c>
      <c r="K25" s="41">
        <v>1575</v>
      </c>
      <c r="L25" s="273" t="s">
        <v>52</v>
      </c>
    </row>
    <row r="26" spans="1:12" ht="12" customHeight="1" x14ac:dyDescent="0.25">
      <c r="A26" s="275" t="s">
        <v>417</v>
      </c>
      <c r="B26" s="275"/>
      <c r="C26" s="272" t="s">
        <v>54</v>
      </c>
      <c r="D26" s="41">
        <f>Calculations!E92</f>
        <v>0</v>
      </c>
      <c r="E26" s="41">
        <f>Calculations!E197</f>
        <v>0</v>
      </c>
      <c r="F26" s="41">
        <f>Calculations!E562</f>
        <v>0</v>
      </c>
      <c r="G26" s="41">
        <f>Calculations!E720</f>
        <v>0</v>
      </c>
      <c r="H26" s="41">
        <f>Calculations!E1028</f>
        <v>0</v>
      </c>
      <c r="I26" s="41">
        <f>Calculations!E1193</f>
        <v>0</v>
      </c>
      <c r="J26" s="41">
        <f>Calculations!E1516-H26-I26</f>
        <v>0</v>
      </c>
      <c r="K26" s="41">
        <v>0</v>
      </c>
      <c r="L26" s="273" t="s">
        <v>54</v>
      </c>
    </row>
    <row r="27" spans="1:12" ht="12" customHeight="1" x14ac:dyDescent="0.25">
      <c r="B27" s="23"/>
      <c r="C27" s="272"/>
      <c r="D27" s="279"/>
      <c r="E27" s="279"/>
      <c r="F27" s="279"/>
      <c r="G27" s="279"/>
      <c r="H27" s="279"/>
      <c r="I27" s="279"/>
      <c r="J27" s="279"/>
      <c r="K27" s="280"/>
      <c r="L27" s="279"/>
    </row>
    <row r="28" spans="1:12" ht="13.2" hidden="1" customHeight="1" x14ac:dyDescent="0.25">
      <c r="A28" s="281"/>
      <c r="B28" s="23"/>
      <c r="C28" s="272"/>
      <c r="D28" s="279"/>
      <c r="E28" s="279"/>
      <c r="F28" s="279"/>
      <c r="G28" s="279"/>
      <c r="H28" s="279"/>
      <c r="I28" s="279"/>
      <c r="J28" s="279"/>
      <c r="K28" s="280"/>
      <c r="L28" s="279"/>
    </row>
    <row r="29" spans="1:12" ht="12" customHeight="1" x14ac:dyDescent="0.25">
      <c r="A29" s="282"/>
      <c r="B29" s="282"/>
      <c r="C29" s="282"/>
      <c r="D29" s="283" t="s">
        <v>418</v>
      </c>
      <c r="E29" s="499"/>
      <c r="F29" s="284"/>
      <c r="H29" s="500" t="s">
        <v>419</v>
      </c>
      <c r="I29" s="58"/>
      <c r="J29" s="500"/>
    </row>
    <row r="30" spans="1:12" ht="12" customHeight="1" x14ac:dyDescent="0.25">
      <c r="A30" s="282"/>
      <c r="B30" s="282"/>
      <c r="C30" s="285"/>
      <c r="D30" s="286" t="s">
        <v>420</v>
      </c>
      <c r="E30" s="501"/>
      <c r="F30" s="284"/>
      <c r="H30" s="717" t="s">
        <v>421</v>
      </c>
      <c r="I30" s="717"/>
      <c r="J30" s="722"/>
      <c r="K30" s="41">
        <v>50687</v>
      </c>
      <c r="L30" s="287" t="s">
        <v>27</v>
      </c>
    </row>
    <row r="31" spans="1:12" ht="12" customHeight="1" x14ac:dyDescent="0.25">
      <c r="A31" s="282"/>
      <c r="B31" s="282"/>
      <c r="C31" s="285"/>
      <c r="D31" s="286" t="s">
        <v>422</v>
      </c>
      <c r="E31" s="502" t="s">
        <v>423</v>
      </c>
      <c r="F31" s="284"/>
      <c r="H31" s="717" t="s">
        <v>424</v>
      </c>
      <c r="I31" s="717"/>
      <c r="J31" s="722"/>
      <c r="K31" s="41">
        <v>3745</v>
      </c>
      <c r="L31" s="287" t="s">
        <v>29</v>
      </c>
    </row>
    <row r="32" spans="1:12" ht="12" customHeight="1" x14ac:dyDescent="0.25">
      <c r="A32" s="282"/>
      <c r="B32" s="282"/>
      <c r="C32" s="285"/>
      <c r="D32" s="288" t="s">
        <v>425</v>
      </c>
      <c r="E32" s="503" t="s">
        <v>403</v>
      </c>
      <c r="F32" s="282"/>
      <c r="H32" s="717" t="s">
        <v>426</v>
      </c>
      <c r="I32" s="717"/>
      <c r="J32" s="722"/>
      <c r="K32" s="41">
        <v>206857</v>
      </c>
      <c r="L32" s="287" t="s">
        <v>31</v>
      </c>
    </row>
    <row r="33" spans="1:12" ht="12" customHeight="1" x14ac:dyDescent="0.25">
      <c r="A33" s="715" t="s">
        <v>427</v>
      </c>
      <c r="B33" s="715"/>
      <c r="C33" s="289"/>
      <c r="D33" s="41">
        <f t="array" ref="D33">SUM(SUMIFS('Accounting data'!$G$2:$G$37000,'Accounting data'!$I$2:$I$37000,"7*",'Accounting data'!$J$2:$J$37000,{"1*","2*","3*","4*","5*"},'Accounting data'!$K$2:$K$37000,"6*"))-SUM(SUMIFS('Accounting data'!$G$2:$G$37000,'Accounting data'!$I$2:$I$37000,"7*",'Accounting data'!$J$2:$J$37000,{"1*","2*","3*","4*","5*"},'Accounting data'!$K$2:$K$37000,"67*"))-SUM(SUMIFS('Accounting data'!$G$2:$G$37000,'Accounting data'!$I$2:$I$37000,"7*",'Accounting data'!$J$2:$J$37000,{"1*","2*","3*","4*","5*"},'Accounting data'!$K$2:$K$37000,"69*"))</f>
        <v>0</v>
      </c>
      <c r="E33" s="41">
        <v>0</v>
      </c>
      <c r="F33" s="290" t="s">
        <v>27</v>
      </c>
      <c r="K33" s="222"/>
    </row>
    <row r="34" spans="1:12" ht="12" customHeight="1" x14ac:dyDescent="0.25">
      <c r="A34" s="717" t="s">
        <v>428</v>
      </c>
      <c r="B34" s="717"/>
      <c r="C34" s="21"/>
      <c r="D34" s="41">
        <f t="array" ref="D34">SUM(SUMIFS('Accounting data'!$G$2:$G$37000,'Accounting data'!$I$2:$I$37000,"8*",'Accounting data'!$J$2:$J$37000,{"1*","2*","3*","4*","5*"},'Accounting data'!$K$2:$K$37000,"6*"))-SUM(SUMIFS('Accounting data'!$G$2:$G$37000,'Accounting data'!$I$2:$I$37000,"8*",'Accounting data'!$J$2:$J$37000,{"1*","2*","3*","4*","5*"},'Accounting data'!$K$2:$K$37000,"67*"))-SUM(SUMIFS('Accounting data'!$G$2:$G$37000,'Accounting data'!$I$2:$I$37000,"8*",'Accounting data'!$J$2:$J$37000,{"1*","2*","3*","4*","5*"},'Accounting data'!$K$2:$K$37000,"69*"))</f>
        <v>0</v>
      </c>
      <c r="E34" s="41">
        <v>0</v>
      </c>
      <c r="F34" s="290" t="s">
        <v>29</v>
      </c>
      <c r="K34" s="222"/>
    </row>
    <row r="35" spans="1:12" ht="12" customHeight="1" x14ac:dyDescent="0.25">
      <c r="A35" s="717" t="s">
        <v>429</v>
      </c>
      <c r="B35" s="717"/>
      <c r="C35" s="21"/>
      <c r="D35" s="41">
        <f t="array" ref="D35">SUM(SUMIFS('Accounting data'!$G$2:$G$37000,'Accounting data'!$I$2:$I$37000,"9*",'Accounting data'!$J$2:$J$37000,{"1*","2*","3*","4*","5*"},'Accounting data'!$K$2:$K$37000,"6*"))-SUM(SUMIFS('Accounting data'!$G$2:$G$37000,'Accounting data'!$I$2:$I$37000,"9*",'Accounting data'!$J$2:$J$37000,{"1*","2*","3*","4*","5*"},'Accounting data'!$K$2:$K$37000,"67*"))-SUM(SUMIFS('Accounting data'!$G$2:$G$37000,'Accounting data'!$I$2:$I$37000,"9*",'Accounting data'!$J$2:$J$37000,{"1*","2*","3*","4*","5*"},'Accounting data'!$K$2:$K$37000,"69*"))</f>
        <v>0</v>
      </c>
      <c r="E35" s="41">
        <v>0</v>
      </c>
      <c r="F35" s="290" t="s">
        <v>31</v>
      </c>
      <c r="H35" s="500" t="s">
        <v>430</v>
      </c>
      <c r="I35" s="58"/>
      <c r="K35" s="222"/>
    </row>
    <row r="36" spans="1:12" ht="12" customHeight="1" x14ac:dyDescent="0.25">
      <c r="A36" s="717" t="s">
        <v>431</v>
      </c>
      <c r="B36" s="717"/>
      <c r="C36" s="289"/>
      <c r="D36" s="41">
        <f>Calculations!E1328</f>
        <v>0</v>
      </c>
      <c r="E36" s="41">
        <v>0</v>
      </c>
      <c r="F36" s="277" t="s">
        <v>34</v>
      </c>
      <c r="H36" s="719" t="s">
        <v>432</v>
      </c>
      <c r="I36" s="719"/>
      <c r="J36" s="720"/>
      <c r="K36" s="41">
        <v>2940000</v>
      </c>
      <c r="L36" s="287" t="s">
        <v>27</v>
      </c>
    </row>
    <row r="37" spans="1:12" ht="12" customHeight="1" x14ac:dyDescent="0.25">
      <c r="C37" s="287"/>
      <c r="E37" s="255"/>
      <c r="F37" s="290"/>
      <c r="H37" s="719" t="s">
        <v>433</v>
      </c>
      <c r="I37" s="719"/>
      <c r="J37" s="720"/>
      <c r="K37" s="41">
        <v>0</v>
      </c>
      <c r="L37" s="287" t="s">
        <v>29</v>
      </c>
    </row>
    <row r="38" spans="1:12" ht="12" customHeight="1" x14ac:dyDescent="0.25">
      <c r="C38" s="287"/>
      <c r="E38" s="255"/>
      <c r="F38" s="290"/>
      <c r="H38" s="719" t="s">
        <v>434</v>
      </c>
      <c r="I38" s="719"/>
      <c r="J38" s="720"/>
      <c r="K38" s="41">
        <v>165000</v>
      </c>
      <c r="L38" s="287" t="s">
        <v>31</v>
      </c>
    </row>
    <row r="39" spans="1:12" ht="12" customHeight="1" x14ac:dyDescent="0.25">
      <c r="A39" s="500" t="s">
        <v>435</v>
      </c>
      <c r="B39" s="58"/>
      <c r="E39" s="291" t="s">
        <v>436</v>
      </c>
      <c r="F39"/>
      <c r="H39" s="719" t="s">
        <v>437</v>
      </c>
      <c r="I39" s="719"/>
      <c r="J39" s="720"/>
      <c r="K39" s="41">
        <f>K36+K37-K38</f>
        <v>2775000</v>
      </c>
      <c r="L39" s="287" t="s">
        <v>34</v>
      </c>
    </row>
    <row r="40" spans="1:12" ht="12" customHeight="1" x14ac:dyDescent="0.25">
      <c r="A40" s="721" t="s">
        <v>438</v>
      </c>
      <c r="B40" s="636"/>
      <c r="E40" s="278">
        <v>0</v>
      </c>
      <c r="F40" s="292" t="s">
        <v>27</v>
      </c>
      <c r="H40" s="500"/>
      <c r="I40" s="500"/>
      <c r="J40" s="500"/>
      <c r="K40" s="222"/>
    </row>
    <row r="41" spans="1:12" ht="12" customHeight="1" x14ac:dyDescent="0.25">
      <c r="A41" s="636" t="s">
        <v>439</v>
      </c>
      <c r="B41" s="636"/>
      <c r="C41" s="293"/>
      <c r="E41" s="278">
        <v>0</v>
      </c>
      <c r="F41" s="277" t="s">
        <v>29</v>
      </c>
      <c r="H41" s="719" t="s">
        <v>440</v>
      </c>
      <c r="I41" s="719"/>
      <c r="J41" s="719"/>
      <c r="K41" s="278">
        <v>0</v>
      </c>
      <c r="L41" s="287" t="s">
        <v>36</v>
      </c>
    </row>
    <row r="42" spans="1:12" ht="12" customHeight="1" x14ac:dyDescent="0.25">
      <c r="A42" s="636" t="s">
        <v>441</v>
      </c>
      <c r="B42" s="636"/>
      <c r="C42" s="293"/>
      <c r="E42" s="278">
        <v>0</v>
      </c>
      <c r="F42" s="277" t="s">
        <v>31</v>
      </c>
      <c r="H42" s="719" t="s">
        <v>442</v>
      </c>
      <c r="I42" s="719"/>
      <c r="J42" s="719"/>
      <c r="K42" s="278">
        <v>0</v>
      </c>
      <c r="L42" s="287" t="s">
        <v>38</v>
      </c>
    </row>
    <row r="43" spans="1:12" ht="12" customHeight="1" x14ac:dyDescent="0.25">
      <c r="A43" s="636" t="s">
        <v>443</v>
      </c>
      <c r="B43" s="636"/>
      <c r="C43" s="293"/>
      <c r="E43" s="278">
        <v>8130</v>
      </c>
      <c r="F43" s="277" t="s">
        <v>34</v>
      </c>
      <c r="K43" s="222"/>
    </row>
    <row r="44" spans="1:12" ht="12" customHeight="1" x14ac:dyDescent="0.25">
      <c r="A44" s="636" t="s">
        <v>444</v>
      </c>
      <c r="B44" s="636"/>
      <c r="C44" s="293"/>
      <c r="E44" s="278">
        <v>0</v>
      </c>
      <c r="F44" s="277" t="s">
        <v>36</v>
      </c>
      <c r="H44" s="287"/>
      <c r="I44" s="294"/>
      <c r="J44" s="294"/>
      <c r="K44" s="295"/>
      <c r="L44" s="294"/>
    </row>
    <row r="45" spans="1:12" ht="12" customHeight="1" x14ac:dyDescent="0.25">
      <c r="A45"/>
      <c r="B45"/>
      <c r="C45" s="287"/>
      <c r="E45"/>
      <c r="F45"/>
      <c r="H45" s="500" t="s">
        <v>445</v>
      </c>
      <c r="I45" s="58"/>
      <c r="J45" s="500"/>
      <c r="K45" s="222"/>
    </row>
    <row r="46" spans="1:12" ht="12.75" customHeight="1" x14ac:dyDescent="0.25">
      <c r="E46" s="296"/>
      <c r="H46" s="715" t="s">
        <v>446</v>
      </c>
      <c r="I46" s="715"/>
      <c r="J46" s="716"/>
      <c r="K46" s="41">
        <v>2420</v>
      </c>
      <c r="L46" s="287" t="s">
        <v>27</v>
      </c>
    </row>
    <row r="47" spans="1:12" ht="12.75" customHeight="1" x14ac:dyDescent="0.25">
      <c r="A47" s="500" t="s">
        <v>447</v>
      </c>
      <c r="B47" s="297"/>
      <c r="C47" s="284"/>
      <c r="E47" s="298" t="s">
        <v>393</v>
      </c>
      <c r="H47" s="715" t="s">
        <v>448</v>
      </c>
      <c r="I47" s="715"/>
      <c r="J47" s="716"/>
      <c r="K47" s="41">
        <v>13173</v>
      </c>
      <c r="L47" s="287" t="s">
        <v>29</v>
      </c>
    </row>
    <row r="48" spans="1:12" ht="12.75" customHeight="1" x14ac:dyDescent="0.25">
      <c r="A48" s="23" t="s">
        <v>449</v>
      </c>
      <c r="B48" s="23"/>
      <c r="C48" s="299"/>
      <c r="E48" s="41">
        <f>Calculations!E1075+Calculations!E1442</f>
        <v>0</v>
      </c>
      <c r="F48" s="290" t="s">
        <v>27</v>
      </c>
      <c r="G48" s="23"/>
      <c r="K48" s="222"/>
    </row>
    <row r="49" spans="1:26" ht="12.75" customHeight="1" x14ac:dyDescent="0.25">
      <c r="A49" s="715" t="s">
        <v>450</v>
      </c>
      <c r="B49" s="715"/>
      <c r="C49" s="299"/>
      <c r="E49" s="41">
        <v>165000</v>
      </c>
      <c r="F49" s="290" t="s">
        <v>29</v>
      </c>
      <c r="K49" s="222"/>
    </row>
    <row r="50" spans="1:26" ht="12.75" customHeight="1" x14ac:dyDescent="0.25">
      <c r="A50" s="717" t="s">
        <v>451</v>
      </c>
      <c r="B50" s="717"/>
      <c r="E50" s="41">
        <f>Calculations!E1532-Calculations!E1442</f>
        <v>173872</v>
      </c>
      <c r="F50" s="300" t="s">
        <v>31</v>
      </c>
      <c r="H50" s="500" t="s">
        <v>452</v>
      </c>
      <c r="I50" s="500"/>
      <c r="K50" s="222"/>
    </row>
    <row r="51" spans="1:26" ht="12.75" customHeight="1" x14ac:dyDescent="0.25">
      <c r="E51" s="255"/>
      <c r="G51" s="301"/>
      <c r="H51" s="255" t="s">
        <v>453</v>
      </c>
      <c r="K51" s="278">
        <v>41714</v>
      </c>
      <c r="L51" s="287" t="s">
        <v>27</v>
      </c>
      <c r="Z51" s="302"/>
    </row>
    <row r="52" spans="1:26" ht="12.75" customHeight="1" x14ac:dyDescent="0.25">
      <c r="A52" s="58" t="s">
        <v>454</v>
      </c>
      <c r="B52" s="89"/>
      <c r="C52" s="287"/>
      <c r="E52" s="255"/>
      <c r="G52" s="301"/>
      <c r="H52" s="255" t="s">
        <v>455</v>
      </c>
      <c r="K52" s="278">
        <v>0</v>
      </c>
      <c r="L52" s="287" t="s">
        <v>29</v>
      </c>
      <c r="Z52" s="302"/>
    </row>
    <row r="53" spans="1:26" ht="12.75" customHeight="1" x14ac:dyDescent="0.25">
      <c r="A53" s="197" t="s">
        <v>456</v>
      </c>
      <c r="C53" s="267"/>
      <c r="D53" s="303"/>
      <c r="E53" s="278">
        <v>10000</v>
      </c>
      <c r="F53" s="304" t="s">
        <v>27</v>
      </c>
      <c r="G53" s="301"/>
      <c r="H53" s="255" t="s">
        <v>457</v>
      </c>
      <c r="K53" s="278">
        <v>7127</v>
      </c>
      <c r="L53" s="267" t="s">
        <v>31</v>
      </c>
      <c r="Z53" s="302"/>
    </row>
    <row r="54" spans="1:26" ht="12.75" customHeight="1" x14ac:dyDescent="0.25">
      <c r="A54" s="197" t="s">
        <v>458</v>
      </c>
      <c r="C54" s="267"/>
      <c r="D54" s="303"/>
      <c r="E54" s="278">
        <v>0</v>
      </c>
      <c r="F54" s="304" t="s">
        <v>29</v>
      </c>
      <c r="G54" s="301"/>
      <c r="H54" s="255" t="s">
        <v>459</v>
      </c>
      <c r="K54" s="278">
        <v>25047</v>
      </c>
      <c r="L54" s="267" t="s">
        <v>34</v>
      </c>
      <c r="Z54" s="302"/>
    </row>
    <row r="55" spans="1:26" ht="12.75" customHeight="1" x14ac:dyDescent="0.25">
      <c r="A55" s="197" t="s">
        <v>460</v>
      </c>
      <c r="C55" s="267"/>
      <c r="D55" s="303"/>
      <c r="E55" s="278">
        <v>0</v>
      </c>
      <c r="F55" s="304" t="s">
        <v>31</v>
      </c>
      <c r="G55" s="301"/>
      <c r="H55" s="23" t="s">
        <v>461</v>
      </c>
      <c r="I55" s="23"/>
      <c r="J55" s="23"/>
      <c r="K55" s="278">
        <v>720</v>
      </c>
      <c r="L55" s="267" t="s">
        <v>36</v>
      </c>
      <c r="Z55" s="302"/>
    </row>
    <row r="56" spans="1:26" ht="12.75" customHeight="1" x14ac:dyDescent="0.25">
      <c r="A56" s="197" t="s">
        <v>462</v>
      </c>
      <c r="C56" s="267"/>
      <c r="D56" s="303"/>
      <c r="E56" s="278">
        <v>0</v>
      </c>
      <c r="F56" s="304" t="s">
        <v>34</v>
      </c>
      <c r="H56" s="23" t="s">
        <v>463</v>
      </c>
      <c r="I56" s="23"/>
      <c r="J56" s="23"/>
      <c r="K56" s="278">
        <v>3679</v>
      </c>
      <c r="L56" s="267" t="s">
        <v>38</v>
      </c>
      <c r="Z56" s="302"/>
    </row>
    <row r="57" spans="1:26" ht="12.75" customHeight="1" x14ac:dyDescent="0.25">
      <c r="C57" s="305"/>
      <c r="D57" s="303"/>
      <c r="F57" s="256"/>
      <c r="G57" s="301"/>
      <c r="K57" s="222"/>
      <c r="L57" s="267"/>
      <c r="Z57" s="302"/>
    </row>
    <row r="58" spans="1:26" ht="12" customHeight="1" x14ac:dyDescent="0.25">
      <c r="G58" s="301"/>
      <c r="H58" s="718" t="s">
        <v>464</v>
      </c>
      <c r="I58" s="718"/>
      <c r="J58" s="718"/>
      <c r="K58" s="718"/>
      <c r="Z58" s="302"/>
    </row>
    <row r="59" spans="1:26" ht="41.25" customHeight="1" x14ac:dyDescent="0.25">
      <c r="G59" s="301"/>
      <c r="H59" s="714" t="s">
        <v>465</v>
      </c>
      <c r="I59" s="714"/>
      <c r="J59" s="714"/>
      <c r="K59" s="42">
        <v>0</v>
      </c>
      <c r="L59" s="267" t="s">
        <v>27</v>
      </c>
      <c r="Z59" s="302"/>
    </row>
    <row r="60" spans="1:26" ht="41.25" customHeight="1" x14ac:dyDescent="0.25">
      <c r="G60" s="301"/>
      <c r="H60" s="714" t="s">
        <v>466</v>
      </c>
      <c r="I60" s="714"/>
      <c r="J60" s="714"/>
      <c r="K60" s="42">
        <v>0</v>
      </c>
      <c r="L60" s="267" t="s">
        <v>29</v>
      </c>
      <c r="Z60" s="302"/>
    </row>
    <row r="61" spans="1:26" ht="27" customHeight="1" x14ac:dyDescent="0.25">
      <c r="G61" s="301"/>
      <c r="Z61" s="302"/>
    </row>
    <row r="62" spans="1:26" ht="12.75" customHeight="1" x14ac:dyDescent="0.25">
      <c r="H62" s="255" t="s">
        <v>467</v>
      </c>
      <c r="Z62" s="302"/>
    </row>
    <row r="63" spans="1:26" ht="12.75" customHeight="1" x14ac:dyDescent="0.25">
      <c r="H63" s="714" t="s">
        <v>468</v>
      </c>
      <c r="I63" s="714"/>
      <c r="J63" s="714"/>
      <c r="K63" s="306">
        <v>0</v>
      </c>
      <c r="L63" s="268" t="s">
        <v>27</v>
      </c>
      <c r="Z63" s="302"/>
    </row>
    <row r="64" spans="1:26" ht="12.75" customHeight="1" x14ac:dyDescent="0.25">
      <c r="Z64" s="302"/>
    </row>
  </sheetData>
  <sheetProtection algorithmName="SHA-512" hashValue="p/wBMAPX86rtK12mSGoUjVsj4lX7aWOY9+Tfb8RJG1Ca91ujK2PInDPNBayHgLEGtoRy0bE1cco4+kP7izxZRQ==" saltValue="/lhjNJzdrY+OoJXPK/tG3Q==" spinCount="100000" sheet="1"/>
  <mergeCells count="29">
    <mergeCell ref="F1:G1"/>
    <mergeCell ref="C4:L4"/>
    <mergeCell ref="D6:K6"/>
    <mergeCell ref="H30:J30"/>
    <mergeCell ref="H31:J31"/>
    <mergeCell ref="H32:J32"/>
    <mergeCell ref="A33:B33"/>
    <mergeCell ref="A34:B34"/>
    <mergeCell ref="A35:B35"/>
    <mergeCell ref="A36:B36"/>
    <mergeCell ref="H36:J36"/>
    <mergeCell ref="H37:J37"/>
    <mergeCell ref="H38:J38"/>
    <mergeCell ref="H39:J39"/>
    <mergeCell ref="A40:B40"/>
    <mergeCell ref="A41:B41"/>
    <mergeCell ref="H41:J41"/>
    <mergeCell ref="A42:B42"/>
    <mergeCell ref="H42:J42"/>
    <mergeCell ref="A43:B43"/>
    <mergeCell ref="A44:B44"/>
    <mergeCell ref="H46:J46"/>
    <mergeCell ref="H60:J60"/>
    <mergeCell ref="H63:J63"/>
    <mergeCell ref="H47:J47"/>
    <mergeCell ref="A49:B49"/>
    <mergeCell ref="A50:B50"/>
    <mergeCell ref="H58:K58"/>
    <mergeCell ref="H59:J59"/>
  </mergeCells>
  <dataValidations count="2">
    <dataValidation allowBlank="1" showInputMessage="1" showErrorMessage="1" prompt="This amount has been adjusted to include federal food service revenue amounts included on the FS AFR." sqref="G24" xr:uid="{00000000-0002-0000-0900-000000000000}"/>
    <dataValidation allowBlank="1" showInputMessage="1" showErrorMessage="1" prompt="This amount has been adjusted to exclude federal food service revenue amounts included on the FS AFR. If the amount is negative, refer to the General instructions for Page 10." sqref="G25" xr:uid="{00000000-0002-0000-0900-000001000000}"/>
  </dataValidations>
  <pageMargins left="0.7" right="0.7" top="0.75" bottom="0.75" header="0.3" footer="0.3"/>
  <pageSetup scale="61" orientation="landscape" r:id="rId1"/>
  <headerFooter>
    <oddFooter>&amp;LRev. 8/26 Arizona Department of Education and Auditor General&amp;CFY 2026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9292-990F-4161-9B89-C3CD151F6C38}">
  <dimension ref="A1:AV49"/>
  <sheetViews>
    <sheetView showGridLines="0" workbookViewId="0"/>
  </sheetViews>
  <sheetFormatPr defaultColWidth="9" defaultRowHeight="13.2" x14ac:dyDescent="0.25"/>
  <cols>
    <col min="1" max="1" width="48.33203125" style="504" customWidth="1"/>
    <col min="2" max="2" width="2.77734375" style="504" customWidth="1"/>
    <col min="3" max="3" width="35.33203125" style="504" customWidth="1"/>
    <col min="4" max="4" width="13.77734375" style="504" bestFit="1" customWidth="1"/>
    <col min="5" max="5" width="15.33203125" style="504" customWidth="1"/>
    <col min="6" max="6" width="14.21875" style="504" customWidth="1"/>
    <col min="7" max="7" width="15.21875" style="504" customWidth="1"/>
    <col min="8" max="8" width="13.33203125" style="141" customWidth="1"/>
    <col min="9" max="9" width="17.33203125" style="141" customWidth="1"/>
    <col min="10" max="10" width="15.21875" style="141" customWidth="1"/>
    <col min="11" max="11" width="20.33203125" style="141" customWidth="1"/>
    <col min="12" max="12" width="16" style="504" customWidth="1"/>
    <col min="13" max="13" width="16.77734375" style="504" customWidth="1"/>
    <col min="14" max="14" width="16" style="504" customWidth="1"/>
    <col min="15" max="15" width="14.77734375" style="504" customWidth="1"/>
    <col min="16" max="16" width="9.33203125" style="504" customWidth="1"/>
    <col min="17" max="17" width="14.77734375" style="504" customWidth="1"/>
    <col min="18" max="21" width="9" style="256" customWidth="1"/>
    <col min="22" max="26" width="9" style="224" customWidth="1"/>
    <col min="27" max="27" width="8.21875" style="224" bestFit="1" customWidth="1"/>
    <col min="28" max="29" width="9" style="224" customWidth="1"/>
    <col min="30" max="34" width="10.33203125" style="69" customWidth="1"/>
    <col min="35" max="35" width="9" style="69" customWidth="1"/>
    <col min="36" max="48" width="9" style="256" customWidth="1"/>
    <col min="49" max="256" width="9" style="504" customWidth="1"/>
    <col min="257" max="257" width="60.33203125" style="504" customWidth="1"/>
    <col min="258" max="258" width="2.77734375" style="504" customWidth="1"/>
    <col min="259" max="259" width="14.77734375" style="504" customWidth="1"/>
    <col min="260" max="260" width="13.77734375" style="504" bestFit="1" customWidth="1"/>
    <col min="261" max="261" width="15.33203125" style="504" customWidth="1"/>
    <col min="262" max="262" width="14.21875" style="504" customWidth="1"/>
    <col min="263" max="263" width="15.21875" style="504" customWidth="1"/>
    <col min="264" max="264" width="13.33203125" style="504" customWidth="1"/>
    <col min="265" max="265" width="17.33203125" style="504" customWidth="1"/>
    <col min="266" max="266" width="15.21875" style="504" customWidth="1"/>
    <col min="267" max="267" width="19.6640625" style="504" customWidth="1"/>
    <col min="268" max="270" width="16" style="504" customWidth="1"/>
    <col min="271" max="271" width="14.77734375" style="504" customWidth="1"/>
    <col min="272" max="272" width="17.33203125" style="504" customWidth="1"/>
    <col min="273" max="273" width="14.77734375" style="504" customWidth="1"/>
    <col min="274" max="282" width="9" style="504" customWidth="1"/>
    <col min="283" max="283" width="7.21875" style="504" bestFit="1" customWidth="1"/>
    <col min="284" max="285" width="9" style="504" customWidth="1"/>
    <col min="286" max="290" width="10.33203125" style="504" customWidth="1"/>
    <col min="291" max="512" width="9" style="504" customWidth="1"/>
    <col min="513" max="513" width="60.33203125" style="504" customWidth="1"/>
    <col min="514" max="514" width="2.77734375" style="504" customWidth="1"/>
    <col min="515" max="515" width="14.77734375" style="504" customWidth="1"/>
    <col min="516" max="516" width="13.77734375" style="504" bestFit="1" customWidth="1"/>
    <col min="517" max="517" width="15.33203125" style="504" customWidth="1"/>
    <col min="518" max="518" width="14.21875" style="504" customWidth="1"/>
    <col min="519" max="519" width="15.21875" style="504" customWidth="1"/>
    <col min="520" max="520" width="13.33203125" style="504" customWidth="1"/>
    <col min="521" max="521" width="17.33203125" style="504" customWidth="1"/>
    <col min="522" max="522" width="15.21875" style="504" customWidth="1"/>
    <col min="523" max="523" width="19.6640625" style="504" customWidth="1"/>
    <col min="524" max="526" width="16" style="504" customWidth="1"/>
    <col min="527" max="527" width="14.77734375" style="504" customWidth="1"/>
    <col min="528" max="528" width="17.33203125" style="504" customWidth="1"/>
    <col min="529" max="529" width="14.77734375" style="504" customWidth="1"/>
    <col min="530" max="538" width="9" style="504" customWidth="1"/>
    <col min="539" max="539" width="7.21875" style="504" bestFit="1" customWidth="1"/>
    <col min="540" max="541" width="9" style="504" customWidth="1"/>
    <col min="542" max="546" width="10.33203125" style="504" customWidth="1"/>
    <col min="547" max="768" width="9" style="504" customWidth="1"/>
    <col min="769" max="769" width="60.33203125" style="504" customWidth="1"/>
    <col min="770" max="770" width="2.77734375" style="504" customWidth="1"/>
    <col min="771" max="771" width="14.77734375" style="504" customWidth="1"/>
    <col min="772" max="772" width="13.77734375" style="504" bestFit="1" customWidth="1"/>
    <col min="773" max="773" width="15.33203125" style="504" customWidth="1"/>
    <col min="774" max="774" width="14.21875" style="504" customWidth="1"/>
    <col min="775" max="775" width="15.21875" style="504" customWidth="1"/>
    <col min="776" max="776" width="13.33203125" style="504" customWidth="1"/>
    <col min="777" max="777" width="17.33203125" style="504" customWidth="1"/>
    <col min="778" max="778" width="15.21875" style="504" customWidth="1"/>
    <col min="779" max="779" width="19.6640625" style="504" customWidth="1"/>
    <col min="780" max="782" width="16" style="504" customWidth="1"/>
    <col min="783" max="783" width="14.77734375" style="504" customWidth="1"/>
    <col min="784" max="784" width="17.33203125" style="504" customWidth="1"/>
    <col min="785" max="785" width="14.77734375" style="504" customWidth="1"/>
    <col min="786" max="794" width="9" style="504" customWidth="1"/>
    <col min="795" max="795" width="7.21875" style="504" bestFit="1" customWidth="1"/>
    <col min="796" max="797" width="9" style="504" customWidth="1"/>
    <col min="798" max="802" width="10.33203125" style="504" customWidth="1"/>
    <col min="803" max="1024" width="9" style="504" customWidth="1"/>
    <col min="1025" max="1025" width="60.33203125" style="504" customWidth="1"/>
    <col min="1026" max="1026" width="2.77734375" style="504" customWidth="1"/>
    <col min="1027" max="1027" width="14.77734375" style="504" customWidth="1"/>
    <col min="1028" max="1028" width="13.77734375" style="504" bestFit="1" customWidth="1"/>
    <col min="1029" max="1029" width="15.33203125" style="504" customWidth="1"/>
    <col min="1030" max="1030" width="14.21875" style="504" customWidth="1"/>
    <col min="1031" max="1031" width="15.21875" style="504" customWidth="1"/>
    <col min="1032" max="1032" width="13.33203125" style="504" customWidth="1"/>
    <col min="1033" max="1033" width="17.33203125" style="504" customWidth="1"/>
    <col min="1034" max="1034" width="15.21875" style="504" customWidth="1"/>
    <col min="1035" max="1035" width="19.6640625" style="504" customWidth="1"/>
    <col min="1036" max="1038" width="16" style="504" customWidth="1"/>
    <col min="1039" max="1039" width="14.77734375" style="504" customWidth="1"/>
    <col min="1040" max="1040" width="17.33203125" style="504" customWidth="1"/>
    <col min="1041" max="1041" width="14.77734375" style="504" customWidth="1"/>
    <col min="1042" max="1050" width="9" style="504" customWidth="1"/>
    <col min="1051" max="1051" width="7.21875" style="504" bestFit="1" customWidth="1"/>
    <col min="1052" max="1053" width="9" style="504" customWidth="1"/>
    <col min="1054" max="1058" width="10.33203125" style="504" customWidth="1"/>
    <col min="1059" max="1280" width="9" style="504" customWidth="1"/>
    <col min="1281" max="1281" width="60.33203125" style="504" customWidth="1"/>
    <col min="1282" max="1282" width="2.77734375" style="504" customWidth="1"/>
    <col min="1283" max="1283" width="14.77734375" style="504" customWidth="1"/>
    <col min="1284" max="1284" width="13.77734375" style="504" bestFit="1" customWidth="1"/>
    <col min="1285" max="1285" width="15.33203125" style="504" customWidth="1"/>
    <col min="1286" max="1286" width="14.21875" style="504" customWidth="1"/>
    <col min="1287" max="1287" width="15.21875" style="504" customWidth="1"/>
    <col min="1288" max="1288" width="13.33203125" style="504" customWidth="1"/>
    <col min="1289" max="1289" width="17.33203125" style="504" customWidth="1"/>
    <col min="1290" max="1290" width="15.21875" style="504" customWidth="1"/>
    <col min="1291" max="1291" width="19.6640625" style="504" customWidth="1"/>
    <col min="1292" max="1294" width="16" style="504" customWidth="1"/>
    <col min="1295" max="1295" width="14.77734375" style="504" customWidth="1"/>
    <col min="1296" max="1296" width="17.33203125" style="504" customWidth="1"/>
    <col min="1297" max="1297" width="14.77734375" style="504" customWidth="1"/>
    <col min="1298" max="1306" width="9" style="504" customWidth="1"/>
    <col min="1307" max="1307" width="7.21875" style="504" bestFit="1" customWidth="1"/>
    <col min="1308" max="1309" width="9" style="504" customWidth="1"/>
    <col min="1310" max="1314" width="10.33203125" style="504" customWidth="1"/>
    <col min="1315" max="1536" width="9" style="504" customWidth="1"/>
    <col min="1537" max="1537" width="60.33203125" style="504" customWidth="1"/>
    <col min="1538" max="1538" width="2.77734375" style="504" customWidth="1"/>
    <col min="1539" max="1539" width="14.77734375" style="504" customWidth="1"/>
    <col min="1540" max="1540" width="13.77734375" style="504" bestFit="1" customWidth="1"/>
    <col min="1541" max="1541" width="15.33203125" style="504" customWidth="1"/>
    <col min="1542" max="1542" width="14.21875" style="504" customWidth="1"/>
    <col min="1543" max="1543" width="15.21875" style="504" customWidth="1"/>
    <col min="1544" max="1544" width="13.33203125" style="504" customWidth="1"/>
    <col min="1545" max="1545" width="17.33203125" style="504" customWidth="1"/>
    <col min="1546" max="1546" width="15.21875" style="504" customWidth="1"/>
    <col min="1547" max="1547" width="19.6640625" style="504" customWidth="1"/>
    <col min="1548" max="1550" width="16" style="504" customWidth="1"/>
    <col min="1551" max="1551" width="14.77734375" style="504" customWidth="1"/>
    <col min="1552" max="1552" width="17.33203125" style="504" customWidth="1"/>
    <col min="1553" max="1553" width="14.77734375" style="504" customWidth="1"/>
    <col min="1554" max="1562" width="9" style="504" customWidth="1"/>
    <col min="1563" max="1563" width="7.21875" style="504" bestFit="1" customWidth="1"/>
    <col min="1564" max="1565" width="9" style="504" customWidth="1"/>
    <col min="1566" max="1570" width="10.33203125" style="504" customWidth="1"/>
    <col min="1571" max="1792" width="9" style="504" customWidth="1"/>
    <col min="1793" max="1793" width="60.33203125" style="504" customWidth="1"/>
    <col min="1794" max="1794" width="2.77734375" style="504" customWidth="1"/>
    <col min="1795" max="1795" width="14.77734375" style="504" customWidth="1"/>
    <col min="1796" max="1796" width="13.77734375" style="504" bestFit="1" customWidth="1"/>
    <col min="1797" max="1797" width="15.33203125" style="504" customWidth="1"/>
    <col min="1798" max="1798" width="14.21875" style="504" customWidth="1"/>
    <col min="1799" max="1799" width="15.21875" style="504" customWidth="1"/>
    <col min="1800" max="1800" width="13.33203125" style="504" customWidth="1"/>
    <col min="1801" max="1801" width="17.33203125" style="504" customWidth="1"/>
    <col min="1802" max="1802" width="15.21875" style="504" customWidth="1"/>
    <col min="1803" max="1803" width="19.6640625" style="504" customWidth="1"/>
    <col min="1804" max="1806" width="16" style="504" customWidth="1"/>
    <col min="1807" max="1807" width="14.77734375" style="504" customWidth="1"/>
    <col min="1808" max="1808" width="17.33203125" style="504" customWidth="1"/>
    <col min="1809" max="1809" width="14.77734375" style="504" customWidth="1"/>
    <col min="1810" max="1818" width="9" style="504" customWidth="1"/>
    <col min="1819" max="1819" width="7.21875" style="504" bestFit="1" customWidth="1"/>
    <col min="1820" max="1821" width="9" style="504" customWidth="1"/>
    <col min="1822" max="1826" width="10.33203125" style="504" customWidth="1"/>
    <col min="1827" max="2048" width="9" style="504" customWidth="1"/>
    <col min="2049" max="2049" width="60.33203125" style="504" customWidth="1"/>
    <col min="2050" max="2050" width="2.77734375" style="504" customWidth="1"/>
    <col min="2051" max="2051" width="14.77734375" style="504" customWidth="1"/>
    <col min="2052" max="2052" width="13.77734375" style="504" bestFit="1" customWidth="1"/>
    <col min="2053" max="2053" width="15.33203125" style="504" customWidth="1"/>
    <col min="2054" max="2054" width="14.21875" style="504" customWidth="1"/>
    <col min="2055" max="2055" width="15.21875" style="504" customWidth="1"/>
    <col min="2056" max="2056" width="13.33203125" style="504" customWidth="1"/>
    <col min="2057" max="2057" width="17.33203125" style="504" customWidth="1"/>
    <col min="2058" max="2058" width="15.21875" style="504" customWidth="1"/>
    <col min="2059" max="2059" width="19.6640625" style="504" customWidth="1"/>
    <col min="2060" max="2062" width="16" style="504" customWidth="1"/>
    <col min="2063" max="2063" width="14.77734375" style="504" customWidth="1"/>
    <col min="2064" max="2064" width="17.33203125" style="504" customWidth="1"/>
    <col min="2065" max="2065" width="14.77734375" style="504" customWidth="1"/>
    <col min="2066" max="2074" width="9" style="504" customWidth="1"/>
    <col min="2075" max="2075" width="7.21875" style="504" bestFit="1" customWidth="1"/>
    <col min="2076" max="2077" width="9" style="504" customWidth="1"/>
    <col min="2078" max="2082" width="10.33203125" style="504" customWidth="1"/>
    <col min="2083" max="2304" width="9" style="504" customWidth="1"/>
    <col min="2305" max="2305" width="60.33203125" style="504" customWidth="1"/>
    <col min="2306" max="2306" width="2.77734375" style="504" customWidth="1"/>
    <col min="2307" max="2307" width="14.77734375" style="504" customWidth="1"/>
    <col min="2308" max="2308" width="13.77734375" style="504" bestFit="1" customWidth="1"/>
    <col min="2309" max="2309" width="15.33203125" style="504" customWidth="1"/>
    <col min="2310" max="2310" width="14.21875" style="504" customWidth="1"/>
    <col min="2311" max="2311" width="15.21875" style="504" customWidth="1"/>
    <col min="2312" max="2312" width="13.33203125" style="504" customWidth="1"/>
    <col min="2313" max="2313" width="17.33203125" style="504" customWidth="1"/>
    <col min="2314" max="2314" width="15.21875" style="504" customWidth="1"/>
    <col min="2315" max="2315" width="19.6640625" style="504" customWidth="1"/>
    <col min="2316" max="2318" width="16" style="504" customWidth="1"/>
    <col min="2319" max="2319" width="14.77734375" style="504" customWidth="1"/>
    <col min="2320" max="2320" width="17.33203125" style="504" customWidth="1"/>
    <col min="2321" max="2321" width="14.77734375" style="504" customWidth="1"/>
    <col min="2322" max="2330" width="9" style="504" customWidth="1"/>
    <col min="2331" max="2331" width="7.21875" style="504" bestFit="1" customWidth="1"/>
    <col min="2332" max="2333" width="9" style="504" customWidth="1"/>
    <col min="2334" max="2338" width="10.33203125" style="504" customWidth="1"/>
    <col min="2339" max="2560" width="9" style="504" customWidth="1"/>
    <col min="2561" max="2561" width="60.33203125" style="504" customWidth="1"/>
    <col min="2562" max="2562" width="2.77734375" style="504" customWidth="1"/>
    <col min="2563" max="2563" width="14.77734375" style="504" customWidth="1"/>
    <col min="2564" max="2564" width="13.77734375" style="504" bestFit="1" customWidth="1"/>
    <col min="2565" max="2565" width="15.33203125" style="504" customWidth="1"/>
    <col min="2566" max="2566" width="14.21875" style="504" customWidth="1"/>
    <col min="2567" max="2567" width="15.21875" style="504" customWidth="1"/>
    <col min="2568" max="2568" width="13.33203125" style="504" customWidth="1"/>
    <col min="2569" max="2569" width="17.33203125" style="504" customWidth="1"/>
    <col min="2570" max="2570" width="15.21875" style="504" customWidth="1"/>
    <col min="2571" max="2571" width="19.6640625" style="504" customWidth="1"/>
    <col min="2572" max="2574" width="16" style="504" customWidth="1"/>
    <col min="2575" max="2575" width="14.77734375" style="504" customWidth="1"/>
    <col min="2576" max="2576" width="17.33203125" style="504" customWidth="1"/>
    <col min="2577" max="2577" width="14.77734375" style="504" customWidth="1"/>
    <col min="2578" max="2586" width="9" style="504" customWidth="1"/>
    <col min="2587" max="2587" width="7.21875" style="504" bestFit="1" customWidth="1"/>
    <col min="2588" max="2589" width="9" style="504" customWidth="1"/>
    <col min="2590" max="2594" width="10.33203125" style="504" customWidth="1"/>
    <col min="2595" max="2816" width="9" style="504" customWidth="1"/>
    <col min="2817" max="2817" width="60.33203125" style="504" customWidth="1"/>
    <col min="2818" max="2818" width="2.77734375" style="504" customWidth="1"/>
    <col min="2819" max="2819" width="14.77734375" style="504" customWidth="1"/>
    <col min="2820" max="2820" width="13.77734375" style="504" bestFit="1" customWidth="1"/>
    <col min="2821" max="2821" width="15.33203125" style="504" customWidth="1"/>
    <col min="2822" max="2822" width="14.21875" style="504" customWidth="1"/>
    <col min="2823" max="2823" width="15.21875" style="504" customWidth="1"/>
    <col min="2824" max="2824" width="13.33203125" style="504" customWidth="1"/>
    <col min="2825" max="2825" width="17.33203125" style="504" customWidth="1"/>
    <col min="2826" max="2826" width="15.21875" style="504" customWidth="1"/>
    <col min="2827" max="2827" width="19.6640625" style="504" customWidth="1"/>
    <col min="2828" max="2830" width="16" style="504" customWidth="1"/>
    <col min="2831" max="2831" width="14.77734375" style="504" customWidth="1"/>
    <col min="2832" max="2832" width="17.33203125" style="504" customWidth="1"/>
    <col min="2833" max="2833" width="14.77734375" style="504" customWidth="1"/>
    <col min="2834" max="2842" width="9" style="504" customWidth="1"/>
    <col min="2843" max="2843" width="7.21875" style="504" bestFit="1" customWidth="1"/>
    <col min="2844" max="2845" width="9" style="504" customWidth="1"/>
    <col min="2846" max="2850" width="10.33203125" style="504" customWidth="1"/>
    <col min="2851" max="3072" width="9" style="504" customWidth="1"/>
    <col min="3073" max="3073" width="60.33203125" style="504" customWidth="1"/>
    <col min="3074" max="3074" width="2.77734375" style="504" customWidth="1"/>
    <col min="3075" max="3075" width="14.77734375" style="504" customWidth="1"/>
    <col min="3076" max="3076" width="13.77734375" style="504" bestFit="1" customWidth="1"/>
    <col min="3077" max="3077" width="15.33203125" style="504" customWidth="1"/>
    <col min="3078" max="3078" width="14.21875" style="504" customWidth="1"/>
    <col min="3079" max="3079" width="15.21875" style="504" customWidth="1"/>
    <col min="3080" max="3080" width="13.33203125" style="504" customWidth="1"/>
    <col min="3081" max="3081" width="17.33203125" style="504" customWidth="1"/>
    <col min="3082" max="3082" width="15.21875" style="504" customWidth="1"/>
    <col min="3083" max="3083" width="19.6640625" style="504" customWidth="1"/>
    <col min="3084" max="3086" width="16" style="504" customWidth="1"/>
    <col min="3087" max="3087" width="14.77734375" style="504" customWidth="1"/>
    <col min="3088" max="3088" width="17.33203125" style="504" customWidth="1"/>
    <col min="3089" max="3089" width="14.77734375" style="504" customWidth="1"/>
    <col min="3090" max="3098" width="9" style="504" customWidth="1"/>
    <col min="3099" max="3099" width="7.21875" style="504" bestFit="1" customWidth="1"/>
    <col min="3100" max="3101" width="9" style="504" customWidth="1"/>
    <col min="3102" max="3106" width="10.33203125" style="504" customWidth="1"/>
    <col min="3107" max="3328" width="9" style="504" customWidth="1"/>
    <col min="3329" max="3329" width="60.33203125" style="504" customWidth="1"/>
    <col min="3330" max="3330" width="2.77734375" style="504" customWidth="1"/>
    <col min="3331" max="3331" width="14.77734375" style="504" customWidth="1"/>
    <col min="3332" max="3332" width="13.77734375" style="504" bestFit="1" customWidth="1"/>
    <col min="3333" max="3333" width="15.33203125" style="504" customWidth="1"/>
    <col min="3334" max="3334" width="14.21875" style="504" customWidth="1"/>
    <col min="3335" max="3335" width="15.21875" style="504" customWidth="1"/>
    <col min="3336" max="3336" width="13.33203125" style="504" customWidth="1"/>
    <col min="3337" max="3337" width="17.33203125" style="504" customWidth="1"/>
    <col min="3338" max="3338" width="15.21875" style="504" customWidth="1"/>
    <col min="3339" max="3339" width="19.6640625" style="504" customWidth="1"/>
    <col min="3340" max="3342" width="16" style="504" customWidth="1"/>
    <col min="3343" max="3343" width="14.77734375" style="504" customWidth="1"/>
    <col min="3344" max="3344" width="17.33203125" style="504" customWidth="1"/>
    <col min="3345" max="3345" width="14.77734375" style="504" customWidth="1"/>
    <col min="3346" max="3354" width="9" style="504" customWidth="1"/>
    <col min="3355" max="3355" width="7.21875" style="504" bestFit="1" customWidth="1"/>
    <col min="3356" max="3357" width="9" style="504" customWidth="1"/>
    <col min="3358" max="3362" width="10.33203125" style="504" customWidth="1"/>
    <col min="3363" max="3584" width="9" style="504" customWidth="1"/>
    <col min="3585" max="3585" width="60.33203125" style="504" customWidth="1"/>
    <col min="3586" max="3586" width="2.77734375" style="504" customWidth="1"/>
    <col min="3587" max="3587" width="14.77734375" style="504" customWidth="1"/>
    <col min="3588" max="3588" width="13.77734375" style="504" bestFit="1" customWidth="1"/>
    <col min="3589" max="3589" width="15.33203125" style="504" customWidth="1"/>
    <col min="3590" max="3590" width="14.21875" style="504" customWidth="1"/>
    <col min="3591" max="3591" width="15.21875" style="504" customWidth="1"/>
    <col min="3592" max="3592" width="13.33203125" style="504" customWidth="1"/>
    <col min="3593" max="3593" width="17.33203125" style="504" customWidth="1"/>
    <col min="3594" max="3594" width="15.21875" style="504" customWidth="1"/>
    <col min="3595" max="3595" width="19.6640625" style="504" customWidth="1"/>
    <col min="3596" max="3598" width="16" style="504" customWidth="1"/>
    <col min="3599" max="3599" width="14.77734375" style="504" customWidth="1"/>
    <col min="3600" max="3600" width="17.33203125" style="504" customWidth="1"/>
    <col min="3601" max="3601" width="14.77734375" style="504" customWidth="1"/>
    <col min="3602" max="3610" width="9" style="504" customWidth="1"/>
    <col min="3611" max="3611" width="7.21875" style="504" bestFit="1" customWidth="1"/>
    <col min="3612" max="3613" width="9" style="504" customWidth="1"/>
    <col min="3614" max="3618" width="10.33203125" style="504" customWidth="1"/>
    <col min="3619" max="3840" width="9" style="504" customWidth="1"/>
    <col min="3841" max="3841" width="60.33203125" style="504" customWidth="1"/>
    <col min="3842" max="3842" width="2.77734375" style="504" customWidth="1"/>
    <col min="3843" max="3843" width="14.77734375" style="504" customWidth="1"/>
    <col min="3844" max="3844" width="13.77734375" style="504" bestFit="1" customWidth="1"/>
    <col min="3845" max="3845" width="15.33203125" style="504" customWidth="1"/>
    <col min="3846" max="3846" width="14.21875" style="504" customWidth="1"/>
    <col min="3847" max="3847" width="15.21875" style="504" customWidth="1"/>
    <col min="3848" max="3848" width="13.33203125" style="504" customWidth="1"/>
    <col min="3849" max="3849" width="17.33203125" style="504" customWidth="1"/>
    <col min="3850" max="3850" width="15.21875" style="504" customWidth="1"/>
    <col min="3851" max="3851" width="19.6640625" style="504" customWidth="1"/>
    <col min="3852" max="3854" width="16" style="504" customWidth="1"/>
    <col min="3855" max="3855" width="14.77734375" style="504" customWidth="1"/>
    <col min="3856" max="3856" width="17.33203125" style="504" customWidth="1"/>
    <col min="3857" max="3857" width="14.77734375" style="504" customWidth="1"/>
    <col min="3858" max="3866" width="9" style="504" customWidth="1"/>
    <col min="3867" max="3867" width="7.21875" style="504" bestFit="1" customWidth="1"/>
    <col min="3868" max="3869" width="9" style="504" customWidth="1"/>
    <col min="3870" max="3874" width="10.33203125" style="504" customWidth="1"/>
    <col min="3875" max="4096" width="9" style="504" customWidth="1"/>
    <col min="4097" max="4097" width="60.33203125" style="504" customWidth="1"/>
    <col min="4098" max="4098" width="2.77734375" style="504" customWidth="1"/>
    <col min="4099" max="4099" width="14.77734375" style="504" customWidth="1"/>
    <col min="4100" max="4100" width="13.77734375" style="504" bestFit="1" customWidth="1"/>
    <col min="4101" max="4101" width="15.33203125" style="504" customWidth="1"/>
    <col min="4102" max="4102" width="14.21875" style="504" customWidth="1"/>
    <col min="4103" max="4103" width="15.21875" style="504" customWidth="1"/>
    <col min="4104" max="4104" width="13.33203125" style="504" customWidth="1"/>
    <col min="4105" max="4105" width="17.33203125" style="504" customWidth="1"/>
    <col min="4106" max="4106" width="15.21875" style="504" customWidth="1"/>
    <col min="4107" max="4107" width="19.6640625" style="504" customWidth="1"/>
    <col min="4108" max="4110" width="16" style="504" customWidth="1"/>
    <col min="4111" max="4111" width="14.77734375" style="504" customWidth="1"/>
    <col min="4112" max="4112" width="17.33203125" style="504" customWidth="1"/>
    <col min="4113" max="4113" width="14.77734375" style="504" customWidth="1"/>
    <col min="4114" max="4122" width="9" style="504" customWidth="1"/>
    <col min="4123" max="4123" width="7.21875" style="504" bestFit="1" customWidth="1"/>
    <col min="4124" max="4125" width="9" style="504" customWidth="1"/>
    <col min="4126" max="4130" width="10.33203125" style="504" customWidth="1"/>
    <col min="4131" max="4352" width="9" style="504" customWidth="1"/>
    <col min="4353" max="4353" width="60.33203125" style="504" customWidth="1"/>
    <col min="4354" max="4354" width="2.77734375" style="504" customWidth="1"/>
    <col min="4355" max="4355" width="14.77734375" style="504" customWidth="1"/>
    <col min="4356" max="4356" width="13.77734375" style="504" bestFit="1" customWidth="1"/>
    <col min="4357" max="4357" width="15.33203125" style="504" customWidth="1"/>
    <col min="4358" max="4358" width="14.21875" style="504" customWidth="1"/>
    <col min="4359" max="4359" width="15.21875" style="504" customWidth="1"/>
    <col min="4360" max="4360" width="13.33203125" style="504" customWidth="1"/>
    <col min="4361" max="4361" width="17.33203125" style="504" customWidth="1"/>
    <col min="4362" max="4362" width="15.21875" style="504" customWidth="1"/>
    <col min="4363" max="4363" width="19.6640625" style="504" customWidth="1"/>
    <col min="4364" max="4366" width="16" style="504" customWidth="1"/>
    <col min="4367" max="4367" width="14.77734375" style="504" customWidth="1"/>
    <col min="4368" max="4368" width="17.33203125" style="504" customWidth="1"/>
    <col min="4369" max="4369" width="14.77734375" style="504" customWidth="1"/>
    <col min="4370" max="4378" width="9" style="504" customWidth="1"/>
    <col min="4379" max="4379" width="7.21875" style="504" bestFit="1" customWidth="1"/>
    <col min="4380" max="4381" width="9" style="504" customWidth="1"/>
    <col min="4382" max="4386" width="10.33203125" style="504" customWidth="1"/>
    <col min="4387" max="4608" width="9" style="504" customWidth="1"/>
    <col min="4609" max="4609" width="60.33203125" style="504" customWidth="1"/>
    <col min="4610" max="4610" width="2.77734375" style="504" customWidth="1"/>
    <col min="4611" max="4611" width="14.77734375" style="504" customWidth="1"/>
    <col min="4612" max="4612" width="13.77734375" style="504" bestFit="1" customWidth="1"/>
    <col min="4613" max="4613" width="15.33203125" style="504" customWidth="1"/>
    <col min="4614" max="4614" width="14.21875" style="504" customWidth="1"/>
    <col min="4615" max="4615" width="15.21875" style="504" customWidth="1"/>
    <col min="4616" max="4616" width="13.33203125" style="504" customWidth="1"/>
    <col min="4617" max="4617" width="17.33203125" style="504" customWidth="1"/>
    <col min="4618" max="4618" width="15.21875" style="504" customWidth="1"/>
    <col min="4619" max="4619" width="19.6640625" style="504" customWidth="1"/>
    <col min="4620" max="4622" width="16" style="504" customWidth="1"/>
    <col min="4623" max="4623" width="14.77734375" style="504" customWidth="1"/>
    <col min="4624" max="4624" width="17.33203125" style="504" customWidth="1"/>
    <col min="4625" max="4625" width="14.77734375" style="504" customWidth="1"/>
    <col min="4626" max="4634" width="9" style="504" customWidth="1"/>
    <col min="4635" max="4635" width="7.21875" style="504" bestFit="1" customWidth="1"/>
    <col min="4636" max="4637" width="9" style="504" customWidth="1"/>
    <col min="4638" max="4642" width="10.33203125" style="504" customWidth="1"/>
    <col min="4643" max="4864" width="9" style="504" customWidth="1"/>
    <col min="4865" max="4865" width="60.33203125" style="504" customWidth="1"/>
    <col min="4866" max="4866" width="2.77734375" style="504" customWidth="1"/>
    <col min="4867" max="4867" width="14.77734375" style="504" customWidth="1"/>
    <col min="4868" max="4868" width="13.77734375" style="504" bestFit="1" customWidth="1"/>
    <col min="4869" max="4869" width="15.33203125" style="504" customWidth="1"/>
    <col min="4870" max="4870" width="14.21875" style="504" customWidth="1"/>
    <col min="4871" max="4871" width="15.21875" style="504" customWidth="1"/>
    <col min="4872" max="4872" width="13.33203125" style="504" customWidth="1"/>
    <col min="4873" max="4873" width="17.33203125" style="504" customWidth="1"/>
    <col min="4874" max="4874" width="15.21875" style="504" customWidth="1"/>
    <col min="4875" max="4875" width="19.6640625" style="504" customWidth="1"/>
    <col min="4876" max="4878" width="16" style="504" customWidth="1"/>
    <col min="4879" max="4879" width="14.77734375" style="504" customWidth="1"/>
    <col min="4880" max="4880" width="17.33203125" style="504" customWidth="1"/>
    <col min="4881" max="4881" width="14.77734375" style="504" customWidth="1"/>
    <col min="4882" max="4890" width="9" style="504" customWidth="1"/>
    <col min="4891" max="4891" width="7.21875" style="504" bestFit="1" customWidth="1"/>
    <col min="4892" max="4893" width="9" style="504" customWidth="1"/>
    <col min="4894" max="4898" width="10.33203125" style="504" customWidth="1"/>
    <col min="4899" max="5120" width="9" style="504" customWidth="1"/>
    <col min="5121" max="5121" width="60.33203125" style="504" customWidth="1"/>
    <col min="5122" max="5122" width="2.77734375" style="504" customWidth="1"/>
    <col min="5123" max="5123" width="14.77734375" style="504" customWidth="1"/>
    <col min="5124" max="5124" width="13.77734375" style="504" bestFit="1" customWidth="1"/>
    <col min="5125" max="5125" width="15.33203125" style="504" customWidth="1"/>
    <col min="5126" max="5126" width="14.21875" style="504" customWidth="1"/>
    <col min="5127" max="5127" width="15.21875" style="504" customWidth="1"/>
    <col min="5128" max="5128" width="13.33203125" style="504" customWidth="1"/>
    <col min="5129" max="5129" width="17.33203125" style="504" customWidth="1"/>
    <col min="5130" max="5130" width="15.21875" style="504" customWidth="1"/>
    <col min="5131" max="5131" width="19.6640625" style="504" customWidth="1"/>
    <col min="5132" max="5134" width="16" style="504" customWidth="1"/>
    <col min="5135" max="5135" width="14.77734375" style="504" customWidth="1"/>
    <col min="5136" max="5136" width="17.33203125" style="504" customWidth="1"/>
    <col min="5137" max="5137" width="14.77734375" style="504" customWidth="1"/>
    <col min="5138" max="5146" width="9" style="504" customWidth="1"/>
    <col min="5147" max="5147" width="7.21875" style="504" bestFit="1" customWidth="1"/>
    <col min="5148" max="5149" width="9" style="504" customWidth="1"/>
    <col min="5150" max="5154" width="10.33203125" style="504" customWidth="1"/>
    <col min="5155" max="5376" width="9" style="504" customWidth="1"/>
    <col min="5377" max="5377" width="60.33203125" style="504" customWidth="1"/>
    <col min="5378" max="5378" width="2.77734375" style="504" customWidth="1"/>
    <col min="5379" max="5379" width="14.77734375" style="504" customWidth="1"/>
    <col min="5380" max="5380" width="13.77734375" style="504" bestFit="1" customWidth="1"/>
    <col min="5381" max="5381" width="15.33203125" style="504" customWidth="1"/>
    <col min="5382" max="5382" width="14.21875" style="504" customWidth="1"/>
    <col min="5383" max="5383" width="15.21875" style="504" customWidth="1"/>
    <col min="5384" max="5384" width="13.33203125" style="504" customWidth="1"/>
    <col min="5385" max="5385" width="17.33203125" style="504" customWidth="1"/>
    <col min="5386" max="5386" width="15.21875" style="504" customWidth="1"/>
    <col min="5387" max="5387" width="19.6640625" style="504" customWidth="1"/>
    <col min="5388" max="5390" width="16" style="504" customWidth="1"/>
    <col min="5391" max="5391" width="14.77734375" style="504" customWidth="1"/>
    <col min="5392" max="5392" width="17.33203125" style="504" customWidth="1"/>
    <col min="5393" max="5393" width="14.77734375" style="504" customWidth="1"/>
    <col min="5394" max="5402" width="9" style="504" customWidth="1"/>
    <col min="5403" max="5403" width="7.21875" style="504" bestFit="1" customWidth="1"/>
    <col min="5404" max="5405" width="9" style="504" customWidth="1"/>
    <col min="5406" max="5410" width="10.33203125" style="504" customWidth="1"/>
    <col min="5411" max="5632" width="9" style="504" customWidth="1"/>
    <col min="5633" max="5633" width="60.33203125" style="504" customWidth="1"/>
    <col min="5634" max="5634" width="2.77734375" style="504" customWidth="1"/>
    <col min="5635" max="5635" width="14.77734375" style="504" customWidth="1"/>
    <col min="5636" max="5636" width="13.77734375" style="504" bestFit="1" customWidth="1"/>
    <col min="5637" max="5637" width="15.33203125" style="504" customWidth="1"/>
    <col min="5638" max="5638" width="14.21875" style="504" customWidth="1"/>
    <col min="5639" max="5639" width="15.21875" style="504" customWidth="1"/>
    <col min="5640" max="5640" width="13.33203125" style="504" customWidth="1"/>
    <col min="5641" max="5641" width="17.33203125" style="504" customWidth="1"/>
    <col min="5642" max="5642" width="15.21875" style="504" customWidth="1"/>
    <col min="5643" max="5643" width="19.6640625" style="504" customWidth="1"/>
    <col min="5644" max="5646" width="16" style="504" customWidth="1"/>
    <col min="5647" max="5647" width="14.77734375" style="504" customWidth="1"/>
    <col min="5648" max="5648" width="17.33203125" style="504" customWidth="1"/>
    <col min="5649" max="5649" width="14.77734375" style="504" customWidth="1"/>
    <col min="5650" max="5658" width="9" style="504" customWidth="1"/>
    <col min="5659" max="5659" width="7.21875" style="504" bestFit="1" customWidth="1"/>
    <col min="5660" max="5661" width="9" style="504" customWidth="1"/>
    <col min="5662" max="5666" width="10.33203125" style="504" customWidth="1"/>
    <col min="5667" max="5888" width="9" style="504" customWidth="1"/>
    <col min="5889" max="5889" width="60.33203125" style="504" customWidth="1"/>
    <col min="5890" max="5890" width="2.77734375" style="504" customWidth="1"/>
    <col min="5891" max="5891" width="14.77734375" style="504" customWidth="1"/>
    <col min="5892" max="5892" width="13.77734375" style="504" bestFit="1" customWidth="1"/>
    <col min="5893" max="5893" width="15.33203125" style="504" customWidth="1"/>
    <col min="5894" max="5894" width="14.21875" style="504" customWidth="1"/>
    <col min="5895" max="5895" width="15.21875" style="504" customWidth="1"/>
    <col min="5896" max="5896" width="13.33203125" style="504" customWidth="1"/>
    <col min="5897" max="5897" width="17.33203125" style="504" customWidth="1"/>
    <col min="5898" max="5898" width="15.21875" style="504" customWidth="1"/>
    <col min="5899" max="5899" width="19.6640625" style="504" customWidth="1"/>
    <col min="5900" max="5902" width="16" style="504" customWidth="1"/>
    <col min="5903" max="5903" width="14.77734375" style="504" customWidth="1"/>
    <col min="5904" max="5904" width="17.33203125" style="504" customWidth="1"/>
    <col min="5905" max="5905" width="14.77734375" style="504" customWidth="1"/>
    <col min="5906" max="5914" width="9" style="504" customWidth="1"/>
    <col min="5915" max="5915" width="7.21875" style="504" bestFit="1" customWidth="1"/>
    <col min="5916" max="5917" width="9" style="504" customWidth="1"/>
    <col min="5918" max="5922" width="10.33203125" style="504" customWidth="1"/>
    <col min="5923" max="6144" width="9" style="504" customWidth="1"/>
    <col min="6145" max="6145" width="60.33203125" style="504" customWidth="1"/>
    <col min="6146" max="6146" width="2.77734375" style="504" customWidth="1"/>
    <col min="6147" max="6147" width="14.77734375" style="504" customWidth="1"/>
    <col min="6148" max="6148" width="13.77734375" style="504" bestFit="1" customWidth="1"/>
    <col min="6149" max="6149" width="15.33203125" style="504" customWidth="1"/>
    <col min="6150" max="6150" width="14.21875" style="504" customWidth="1"/>
    <col min="6151" max="6151" width="15.21875" style="504" customWidth="1"/>
    <col min="6152" max="6152" width="13.33203125" style="504" customWidth="1"/>
    <col min="6153" max="6153" width="17.33203125" style="504" customWidth="1"/>
    <col min="6154" max="6154" width="15.21875" style="504" customWidth="1"/>
    <col min="6155" max="6155" width="19.6640625" style="504" customWidth="1"/>
    <col min="6156" max="6158" width="16" style="504" customWidth="1"/>
    <col min="6159" max="6159" width="14.77734375" style="504" customWidth="1"/>
    <col min="6160" max="6160" width="17.33203125" style="504" customWidth="1"/>
    <col min="6161" max="6161" width="14.77734375" style="504" customWidth="1"/>
    <col min="6162" max="6170" width="9" style="504" customWidth="1"/>
    <col min="6171" max="6171" width="7.21875" style="504" bestFit="1" customWidth="1"/>
    <col min="6172" max="6173" width="9" style="504" customWidth="1"/>
    <col min="6174" max="6178" width="10.33203125" style="504" customWidth="1"/>
    <col min="6179" max="6400" width="9" style="504" customWidth="1"/>
    <col min="6401" max="6401" width="60.33203125" style="504" customWidth="1"/>
    <col min="6402" max="6402" width="2.77734375" style="504" customWidth="1"/>
    <col min="6403" max="6403" width="14.77734375" style="504" customWidth="1"/>
    <col min="6404" max="6404" width="13.77734375" style="504" bestFit="1" customWidth="1"/>
    <col min="6405" max="6405" width="15.33203125" style="504" customWidth="1"/>
    <col min="6406" max="6406" width="14.21875" style="504" customWidth="1"/>
    <col min="6407" max="6407" width="15.21875" style="504" customWidth="1"/>
    <col min="6408" max="6408" width="13.33203125" style="504" customWidth="1"/>
    <col min="6409" max="6409" width="17.33203125" style="504" customWidth="1"/>
    <col min="6410" max="6410" width="15.21875" style="504" customWidth="1"/>
    <col min="6411" max="6411" width="19.6640625" style="504" customWidth="1"/>
    <col min="6412" max="6414" width="16" style="504" customWidth="1"/>
    <col min="6415" max="6415" width="14.77734375" style="504" customWidth="1"/>
    <col min="6416" max="6416" width="17.33203125" style="504" customWidth="1"/>
    <col min="6417" max="6417" width="14.77734375" style="504" customWidth="1"/>
    <col min="6418" max="6426" width="9" style="504" customWidth="1"/>
    <col min="6427" max="6427" width="7.21875" style="504" bestFit="1" customWidth="1"/>
    <col min="6428" max="6429" width="9" style="504" customWidth="1"/>
    <col min="6430" max="6434" width="10.33203125" style="504" customWidth="1"/>
    <col min="6435" max="6656" width="9" style="504" customWidth="1"/>
    <col min="6657" max="6657" width="60.33203125" style="504" customWidth="1"/>
    <col min="6658" max="6658" width="2.77734375" style="504" customWidth="1"/>
    <col min="6659" max="6659" width="14.77734375" style="504" customWidth="1"/>
    <col min="6660" max="6660" width="13.77734375" style="504" bestFit="1" customWidth="1"/>
    <col min="6661" max="6661" width="15.33203125" style="504" customWidth="1"/>
    <col min="6662" max="6662" width="14.21875" style="504" customWidth="1"/>
    <col min="6663" max="6663" width="15.21875" style="504" customWidth="1"/>
    <col min="6664" max="6664" width="13.33203125" style="504" customWidth="1"/>
    <col min="6665" max="6665" width="17.33203125" style="504" customWidth="1"/>
    <col min="6666" max="6666" width="15.21875" style="504" customWidth="1"/>
    <col min="6667" max="6667" width="19.6640625" style="504" customWidth="1"/>
    <col min="6668" max="6670" width="16" style="504" customWidth="1"/>
    <col min="6671" max="6671" width="14.77734375" style="504" customWidth="1"/>
    <col min="6672" max="6672" width="17.33203125" style="504" customWidth="1"/>
    <col min="6673" max="6673" width="14.77734375" style="504" customWidth="1"/>
    <col min="6674" max="6682" width="9" style="504" customWidth="1"/>
    <col min="6683" max="6683" width="7.21875" style="504" bestFit="1" customWidth="1"/>
    <col min="6684" max="6685" width="9" style="504" customWidth="1"/>
    <col min="6686" max="6690" width="10.33203125" style="504" customWidth="1"/>
    <col min="6691" max="6912" width="9" style="504" customWidth="1"/>
    <col min="6913" max="6913" width="60.33203125" style="504" customWidth="1"/>
    <col min="6914" max="6914" width="2.77734375" style="504" customWidth="1"/>
    <col min="6915" max="6915" width="14.77734375" style="504" customWidth="1"/>
    <col min="6916" max="6916" width="13.77734375" style="504" bestFit="1" customWidth="1"/>
    <col min="6917" max="6917" width="15.33203125" style="504" customWidth="1"/>
    <col min="6918" max="6918" width="14.21875" style="504" customWidth="1"/>
    <col min="6919" max="6919" width="15.21875" style="504" customWidth="1"/>
    <col min="6920" max="6920" width="13.33203125" style="504" customWidth="1"/>
    <col min="6921" max="6921" width="17.33203125" style="504" customWidth="1"/>
    <col min="6922" max="6922" width="15.21875" style="504" customWidth="1"/>
    <col min="6923" max="6923" width="19.6640625" style="504" customWidth="1"/>
    <col min="6924" max="6926" width="16" style="504" customWidth="1"/>
    <col min="6927" max="6927" width="14.77734375" style="504" customWidth="1"/>
    <col min="6928" max="6928" width="17.33203125" style="504" customWidth="1"/>
    <col min="6929" max="6929" width="14.77734375" style="504" customWidth="1"/>
    <col min="6930" max="6938" width="9" style="504" customWidth="1"/>
    <col min="6939" max="6939" width="7.21875" style="504" bestFit="1" customWidth="1"/>
    <col min="6940" max="6941" width="9" style="504" customWidth="1"/>
    <col min="6942" max="6946" width="10.33203125" style="504" customWidth="1"/>
    <col min="6947" max="7168" width="9" style="504" customWidth="1"/>
    <col min="7169" max="7169" width="60.33203125" style="504" customWidth="1"/>
    <col min="7170" max="7170" width="2.77734375" style="504" customWidth="1"/>
    <col min="7171" max="7171" width="14.77734375" style="504" customWidth="1"/>
    <col min="7172" max="7172" width="13.77734375" style="504" bestFit="1" customWidth="1"/>
    <col min="7173" max="7173" width="15.33203125" style="504" customWidth="1"/>
    <col min="7174" max="7174" width="14.21875" style="504" customWidth="1"/>
    <col min="7175" max="7175" width="15.21875" style="504" customWidth="1"/>
    <col min="7176" max="7176" width="13.33203125" style="504" customWidth="1"/>
    <col min="7177" max="7177" width="17.33203125" style="504" customWidth="1"/>
    <col min="7178" max="7178" width="15.21875" style="504" customWidth="1"/>
    <col min="7179" max="7179" width="19.6640625" style="504" customWidth="1"/>
    <col min="7180" max="7182" width="16" style="504" customWidth="1"/>
    <col min="7183" max="7183" width="14.77734375" style="504" customWidth="1"/>
    <col min="7184" max="7184" width="17.33203125" style="504" customWidth="1"/>
    <col min="7185" max="7185" width="14.77734375" style="504" customWidth="1"/>
    <col min="7186" max="7194" width="9" style="504" customWidth="1"/>
    <col min="7195" max="7195" width="7.21875" style="504" bestFit="1" customWidth="1"/>
    <col min="7196" max="7197" width="9" style="504" customWidth="1"/>
    <col min="7198" max="7202" width="10.33203125" style="504" customWidth="1"/>
    <col min="7203" max="7424" width="9" style="504" customWidth="1"/>
    <col min="7425" max="7425" width="60.33203125" style="504" customWidth="1"/>
    <col min="7426" max="7426" width="2.77734375" style="504" customWidth="1"/>
    <col min="7427" max="7427" width="14.77734375" style="504" customWidth="1"/>
    <col min="7428" max="7428" width="13.77734375" style="504" bestFit="1" customWidth="1"/>
    <col min="7429" max="7429" width="15.33203125" style="504" customWidth="1"/>
    <col min="7430" max="7430" width="14.21875" style="504" customWidth="1"/>
    <col min="7431" max="7431" width="15.21875" style="504" customWidth="1"/>
    <col min="7432" max="7432" width="13.33203125" style="504" customWidth="1"/>
    <col min="7433" max="7433" width="17.33203125" style="504" customWidth="1"/>
    <col min="7434" max="7434" width="15.21875" style="504" customWidth="1"/>
    <col min="7435" max="7435" width="19.6640625" style="504" customWidth="1"/>
    <col min="7436" max="7438" width="16" style="504" customWidth="1"/>
    <col min="7439" max="7439" width="14.77734375" style="504" customWidth="1"/>
    <col min="7440" max="7440" width="17.33203125" style="504" customWidth="1"/>
    <col min="7441" max="7441" width="14.77734375" style="504" customWidth="1"/>
    <col min="7442" max="7450" width="9" style="504" customWidth="1"/>
    <col min="7451" max="7451" width="7.21875" style="504" bestFit="1" customWidth="1"/>
    <col min="7452" max="7453" width="9" style="504" customWidth="1"/>
    <col min="7454" max="7458" width="10.33203125" style="504" customWidth="1"/>
    <col min="7459" max="7680" width="9" style="504" customWidth="1"/>
    <col min="7681" max="7681" width="60.33203125" style="504" customWidth="1"/>
    <col min="7682" max="7682" width="2.77734375" style="504" customWidth="1"/>
    <col min="7683" max="7683" width="14.77734375" style="504" customWidth="1"/>
    <col min="7684" max="7684" width="13.77734375" style="504" bestFit="1" customWidth="1"/>
    <col min="7685" max="7685" width="15.33203125" style="504" customWidth="1"/>
    <col min="7686" max="7686" width="14.21875" style="504" customWidth="1"/>
    <col min="7687" max="7687" width="15.21875" style="504" customWidth="1"/>
    <col min="7688" max="7688" width="13.33203125" style="504" customWidth="1"/>
    <col min="7689" max="7689" width="17.33203125" style="504" customWidth="1"/>
    <col min="7690" max="7690" width="15.21875" style="504" customWidth="1"/>
    <col min="7691" max="7691" width="19.6640625" style="504" customWidth="1"/>
    <col min="7692" max="7694" width="16" style="504" customWidth="1"/>
    <col min="7695" max="7695" width="14.77734375" style="504" customWidth="1"/>
    <col min="7696" max="7696" width="17.33203125" style="504" customWidth="1"/>
    <col min="7697" max="7697" width="14.77734375" style="504" customWidth="1"/>
    <col min="7698" max="7706" width="9" style="504" customWidth="1"/>
    <col min="7707" max="7707" width="7.21875" style="504" bestFit="1" customWidth="1"/>
    <col min="7708" max="7709" width="9" style="504" customWidth="1"/>
    <col min="7710" max="7714" width="10.33203125" style="504" customWidth="1"/>
    <col min="7715" max="7936" width="9" style="504" customWidth="1"/>
    <col min="7937" max="7937" width="60.33203125" style="504" customWidth="1"/>
    <col min="7938" max="7938" width="2.77734375" style="504" customWidth="1"/>
    <col min="7939" max="7939" width="14.77734375" style="504" customWidth="1"/>
    <col min="7940" max="7940" width="13.77734375" style="504" bestFit="1" customWidth="1"/>
    <col min="7941" max="7941" width="15.33203125" style="504" customWidth="1"/>
    <col min="7942" max="7942" width="14.21875" style="504" customWidth="1"/>
    <col min="7943" max="7943" width="15.21875" style="504" customWidth="1"/>
    <col min="7944" max="7944" width="13.33203125" style="504" customWidth="1"/>
    <col min="7945" max="7945" width="17.33203125" style="504" customWidth="1"/>
    <col min="7946" max="7946" width="15.21875" style="504" customWidth="1"/>
    <col min="7947" max="7947" width="19.6640625" style="504" customWidth="1"/>
    <col min="7948" max="7950" width="16" style="504" customWidth="1"/>
    <col min="7951" max="7951" width="14.77734375" style="504" customWidth="1"/>
    <col min="7952" max="7952" width="17.33203125" style="504" customWidth="1"/>
    <col min="7953" max="7953" width="14.77734375" style="504" customWidth="1"/>
    <col min="7954" max="7962" width="9" style="504" customWidth="1"/>
    <col min="7963" max="7963" width="7.21875" style="504" bestFit="1" customWidth="1"/>
    <col min="7964" max="7965" width="9" style="504" customWidth="1"/>
    <col min="7966" max="7970" width="10.33203125" style="504" customWidth="1"/>
    <col min="7971" max="8192" width="9" style="504" customWidth="1"/>
    <col min="8193" max="8193" width="60.33203125" style="504" customWidth="1"/>
    <col min="8194" max="8194" width="2.77734375" style="504" customWidth="1"/>
    <col min="8195" max="8195" width="14.77734375" style="504" customWidth="1"/>
    <col min="8196" max="8196" width="13.77734375" style="504" bestFit="1" customWidth="1"/>
    <col min="8197" max="8197" width="15.33203125" style="504" customWidth="1"/>
    <col min="8198" max="8198" width="14.21875" style="504" customWidth="1"/>
    <col min="8199" max="8199" width="15.21875" style="504" customWidth="1"/>
    <col min="8200" max="8200" width="13.33203125" style="504" customWidth="1"/>
    <col min="8201" max="8201" width="17.33203125" style="504" customWidth="1"/>
    <col min="8202" max="8202" width="15.21875" style="504" customWidth="1"/>
    <col min="8203" max="8203" width="19.6640625" style="504" customWidth="1"/>
    <col min="8204" max="8206" width="16" style="504" customWidth="1"/>
    <col min="8207" max="8207" width="14.77734375" style="504" customWidth="1"/>
    <col min="8208" max="8208" width="17.33203125" style="504" customWidth="1"/>
    <col min="8209" max="8209" width="14.77734375" style="504" customWidth="1"/>
    <col min="8210" max="8218" width="9" style="504" customWidth="1"/>
    <col min="8219" max="8219" width="7.21875" style="504" bestFit="1" customWidth="1"/>
    <col min="8220" max="8221" width="9" style="504" customWidth="1"/>
    <col min="8222" max="8226" width="10.33203125" style="504" customWidth="1"/>
    <col min="8227" max="8448" width="9" style="504" customWidth="1"/>
    <col min="8449" max="8449" width="60.33203125" style="504" customWidth="1"/>
    <col min="8450" max="8450" width="2.77734375" style="504" customWidth="1"/>
    <col min="8451" max="8451" width="14.77734375" style="504" customWidth="1"/>
    <col min="8452" max="8452" width="13.77734375" style="504" bestFit="1" customWidth="1"/>
    <col min="8453" max="8453" width="15.33203125" style="504" customWidth="1"/>
    <col min="8454" max="8454" width="14.21875" style="504" customWidth="1"/>
    <col min="8455" max="8455" width="15.21875" style="504" customWidth="1"/>
    <col min="8456" max="8456" width="13.33203125" style="504" customWidth="1"/>
    <col min="8457" max="8457" width="17.33203125" style="504" customWidth="1"/>
    <col min="8458" max="8458" width="15.21875" style="504" customWidth="1"/>
    <col min="8459" max="8459" width="19.6640625" style="504" customWidth="1"/>
    <col min="8460" max="8462" width="16" style="504" customWidth="1"/>
    <col min="8463" max="8463" width="14.77734375" style="504" customWidth="1"/>
    <col min="8464" max="8464" width="17.33203125" style="504" customWidth="1"/>
    <col min="8465" max="8465" width="14.77734375" style="504" customWidth="1"/>
    <col min="8466" max="8474" width="9" style="504" customWidth="1"/>
    <col min="8475" max="8475" width="7.21875" style="504" bestFit="1" customWidth="1"/>
    <col min="8476" max="8477" width="9" style="504" customWidth="1"/>
    <col min="8478" max="8482" width="10.33203125" style="504" customWidth="1"/>
    <col min="8483" max="8704" width="9" style="504" customWidth="1"/>
    <col min="8705" max="8705" width="60.33203125" style="504" customWidth="1"/>
    <col min="8706" max="8706" width="2.77734375" style="504" customWidth="1"/>
    <col min="8707" max="8707" width="14.77734375" style="504" customWidth="1"/>
    <col min="8708" max="8708" width="13.77734375" style="504" bestFit="1" customWidth="1"/>
    <col min="8709" max="8709" width="15.33203125" style="504" customWidth="1"/>
    <col min="8710" max="8710" width="14.21875" style="504" customWidth="1"/>
    <col min="8711" max="8711" width="15.21875" style="504" customWidth="1"/>
    <col min="8712" max="8712" width="13.33203125" style="504" customWidth="1"/>
    <col min="8713" max="8713" width="17.33203125" style="504" customWidth="1"/>
    <col min="8714" max="8714" width="15.21875" style="504" customWidth="1"/>
    <col min="8715" max="8715" width="19.6640625" style="504" customWidth="1"/>
    <col min="8716" max="8718" width="16" style="504" customWidth="1"/>
    <col min="8719" max="8719" width="14.77734375" style="504" customWidth="1"/>
    <col min="8720" max="8720" width="17.33203125" style="504" customWidth="1"/>
    <col min="8721" max="8721" width="14.77734375" style="504" customWidth="1"/>
    <col min="8722" max="8730" width="9" style="504" customWidth="1"/>
    <col min="8731" max="8731" width="7.21875" style="504" bestFit="1" customWidth="1"/>
    <col min="8732" max="8733" width="9" style="504" customWidth="1"/>
    <col min="8734" max="8738" width="10.33203125" style="504" customWidth="1"/>
    <col min="8739" max="8960" width="9" style="504" customWidth="1"/>
    <col min="8961" max="8961" width="60.33203125" style="504" customWidth="1"/>
    <col min="8962" max="8962" width="2.77734375" style="504" customWidth="1"/>
    <col min="8963" max="8963" width="14.77734375" style="504" customWidth="1"/>
    <col min="8964" max="8964" width="13.77734375" style="504" bestFit="1" customWidth="1"/>
    <col min="8965" max="8965" width="15.33203125" style="504" customWidth="1"/>
    <col min="8966" max="8966" width="14.21875" style="504" customWidth="1"/>
    <col min="8967" max="8967" width="15.21875" style="504" customWidth="1"/>
    <col min="8968" max="8968" width="13.33203125" style="504" customWidth="1"/>
    <col min="8969" max="8969" width="17.33203125" style="504" customWidth="1"/>
    <col min="8970" max="8970" width="15.21875" style="504" customWidth="1"/>
    <col min="8971" max="8971" width="19.6640625" style="504" customWidth="1"/>
    <col min="8972" max="8974" width="16" style="504" customWidth="1"/>
    <col min="8975" max="8975" width="14.77734375" style="504" customWidth="1"/>
    <col min="8976" max="8976" width="17.33203125" style="504" customWidth="1"/>
    <col min="8977" max="8977" width="14.77734375" style="504" customWidth="1"/>
    <col min="8978" max="8986" width="9" style="504" customWidth="1"/>
    <col min="8987" max="8987" width="7.21875" style="504" bestFit="1" customWidth="1"/>
    <col min="8988" max="8989" width="9" style="504" customWidth="1"/>
    <col min="8990" max="8994" width="10.33203125" style="504" customWidth="1"/>
    <col min="8995" max="9216" width="9" style="504" customWidth="1"/>
    <col min="9217" max="9217" width="60.33203125" style="504" customWidth="1"/>
    <col min="9218" max="9218" width="2.77734375" style="504" customWidth="1"/>
    <col min="9219" max="9219" width="14.77734375" style="504" customWidth="1"/>
    <col min="9220" max="9220" width="13.77734375" style="504" bestFit="1" customWidth="1"/>
    <col min="9221" max="9221" width="15.33203125" style="504" customWidth="1"/>
    <col min="9222" max="9222" width="14.21875" style="504" customWidth="1"/>
    <col min="9223" max="9223" width="15.21875" style="504" customWidth="1"/>
    <col min="9224" max="9224" width="13.33203125" style="504" customWidth="1"/>
    <col min="9225" max="9225" width="17.33203125" style="504" customWidth="1"/>
    <col min="9226" max="9226" width="15.21875" style="504" customWidth="1"/>
    <col min="9227" max="9227" width="19.6640625" style="504" customWidth="1"/>
    <col min="9228" max="9230" width="16" style="504" customWidth="1"/>
    <col min="9231" max="9231" width="14.77734375" style="504" customWidth="1"/>
    <col min="9232" max="9232" width="17.33203125" style="504" customWidth="1"/>
    <col min="9233" max="9233" width="14.77734375" style="504" customWidth="1"/>
    <col min="9234" max="9242" width="9" style="504" customWidth="1"/>
    <col min="9243" max="9243" width="7.21875" style="504" bestFit="1" customWidth="1"/>
    <col min="9244" max="9245" width="9" style="504" customWidth="1"/>
    <col min="9246" max="9250" width="10.33203125" style="504" customWidth="1"/>
    <col min="9251" max="9472" width="9" style="504" customWidth="1"/>
    <col min="9473" max="9473" width="60.33203125" style="504" customWidth="1"/>
    <col min="9474" max="9474" width="2.77734375" style="504" customWidth="1"/>
    <col min="9475" max="9475" width="14.77734375" style="504" customWidth="1"/>
    <col min="9476" max="9476" width="13.77734375" style="504" bestFit="1" customWidth="1"/>
    <col min="9477" max="9477" width="15.33203125" style="504" customWidth="1"/>
    <col min="9478" max="9478" width="14.21875" style="504" customWidth="1"/>
    <col min="9479" max="9479" width="15.21875" style="504" customWidth="1"/>
    <col min="9480" max="9480" width="13.33203125" style="504" customWidth="1"/>
    <col min="9481" max="9481" width="17.33203125" style="504" customWidth="1"/>
    <col min="9482" max="9482" width="15.21875" style="504" customWidth="1"/>
    <col min="9483" max="9483" width="19.6640625" style="504" customWidth="1"/>
    <col min="9484" max="9486" width="16" style="504" customWidth="1"/>
    <col min="9487" max="9487" width="14.77734375" style="504" customWidth="1"/>
    <col min="9488" max="9488" width="17.33203125" style="504" customWidth="1"/>
    <col min="9489" max="9489" width="14.77734375" style="504" customWidth="1"/>
    <col min="9490" max="9498" width="9" style="504" customWidth="1"/>
    <col min="9499" max="9499" width="7.21875" style="504" bestFit="1" customWidth="1"/>
    <col min="9500" max="9501" width="9" style="504" customWidth="1"/>
    <col min="9502" max="9506" width="10.33203125" style="504" customWidth="1"/>
    <col min="9507" max="9728" width="9" style="504" customWidth="1"/>
    <col min="9729" max="9729" width="60.33203125" style="504" customWidth="1"/>
    <col min="9730" max="9730" width="2.77734375" style="504" customWidth="1"/>
    <col min="9731" max="9731" width="14.77734375" style="504" customWidth="1"/>
    <col min="9732" max="9732" width="13.77734375" style="504" bestFit="1" customWidth="1"/>
    <col min="9733" max="9733" width="15.33203125" style="504" customWidth="1"/>
    <col min="9734" max="9734" width="14.21875" style="504" customWidth="1"/>
    <col min="9735" max="9735" width="15.21875" style="504" customWidth="1"/>
    <col min="9736" max="9736" width="13.33203125" style="504" customWidth="1"/>
    <col min="9737" max="9737" width="17.33203125" style="504" customWidth="1"/>
    <col min="9738" max="9738" width="15.21875" style="504" customWidth="1"/>
    <col min="9739" max="9739" width="19.6640625" style="504" customWidth="1"/>
    <col min="9740" max="9742" width="16" style="504" customWidth="1"/>
    <col min="9743" max="9743" width="14.77734375" style="504" customWidth="1"/>
    <col min="9744" max="9744" width="17.33203125" style="504" customWidth="1"/>
    <col min="9745" max="9745" width="14.77734375" style="504" customWidth="1"/>
    <col min="9746" max="9754" width="9" style="504" customWidth="1"/>
    <col min="9755" max="9755" width="7.21875" style="504" bestFit="1" customWidth="1"/>
    <col min="9756" max="9757" width="9" style="504" customWidth="1"/>
    <col min="9758" max="9762" width="10.33203125" style="504" customWidth="1"/>
    <col min="9763" max="9984" width="9" style="504" customWidth="1"/>
    <col min="9985" max="9985" width="60.33203125" style="504" customWidth="1"/>
    <col min="9986" max="9986" width="2.77734375" style="504" customWidth="1"/>
    <col min="9987" max="9987" width="14.77734375" style="504" customWidth="1"/>
    <col min="9988" max="9988" width="13.77734375" style="504" bestFit="1" customWidth="1"/>
    <col min="9989" max="9989" width="15.33203125" style="504" customWidth="1"/>
    <col min="9990" max="9990" width="14.21875" style="504" customWidth="1"/>
    <col min="9991" max="9991" width="15.21875" style="504" customWidth="1"/>
    <col min="9992" max="9992" width="13.33203125" style="504" customWidth="1"/>
    <col min="9993" max="9993" width="17.33203125" style="504" customWidth="1"/>
    <col min="9994" max="9994" width="15.21875" style="504" customWidth="1"/>
    <col min="9995" max="9995" width="19.6640625" style="504" customWidth="1"/>
    <col min="9996" max="9998" width="16" style="504" customWidth="1"/>
    <col min="9999" max="9999" width="14.77734375" style="504" customWidth="1"/>
    <col min="10000" max="10000" width="17.33203125" style="504" customWidth="1"/>
    <col min="10001" max="10001" width="14.77734375" style="504" customWidth="1"/>
    <col min="10002" max="10010" width="9" style="504" customWidth="1"/>
    <col min="10011" max="10011" width="7.21875" style="504" bestFit="1" customWidth="1"/>
    <col min="10012" max="10013" width="9" style="504" customWidth="1"/>
    <col min="10014" max="10018" width="10.33203125" style="504" customWidth="1"/>
    <col min="10019" max="10240" width="9" style="504" customWidth="1"/>
    <col min="10241" max="10241" width="60.33203125" style="504" customWidth="1"/>
    <col min="10242" max="10242" width="2.77734375" style="504" customWidth="1"/>
    <col min="10243" max="10243" width="14.77734375" style="504" customWidth="1"/>
    <col min="10244" max="10244" width="13.77734375" style="504" bestFit="1" customWidth="1"/>
    <col min="10245" max="10245" width="15.33203125" style="504" customWidth="1"/>
    <col min="10246" max="10246" width="14.21875" style="504" customWidth="1"/>
    <col min="10247" max="10247" width="15.21875" style="504" customWidth="1"/>
    <col min="10248" max="10248" width="13.33203125" style="504" customWidth="1"/>
    <col min="10249" max="10249" width="17.33203125" style="504" customWidth="1"/>
    <col min="10250" max="10250" width="15.21875" style="504" customWidth="1"/>
    <col min="10251" max="10251" width="19.6640625" style="504" customWidth="1"/>
    <col min="10252" max="10254" width="16" style="504" customWidth="1"/>
    <col min="10255" max="10255" width="14.77734375" style="504" customWidth="1"/>
    <col min="10256" max="10256" width="17.33203125" style="504" customWidth="1"/>
    <col min="10257" max="10257" width="14.77734375" style="504" customWidth="1"/>
    <col min="10258" max="10266" width="9" style="504" customWidth="1"/>
    <col min="10267" max="10267" width="7.21875" style="504" bestFit="1" customWidth="1"/>
    <col min="10268" max="10269" width="9" style="504" customWidth="1"/>
    <col min="10270" max="10274" width="10.33203125" style="504" customWidth="1"/>
    <col min="10275" max="10496" width="9" style="504" customWidth="1"/>
    <col min="10497" max="10497" width="60.33203125" style="504" customWidth="1"/>
    <col min="10498" max="10498" width="2.77734375" style="504" customWidth="1"/>
    <col min="10499" max="10499" width="14.77734375" style="504" customWidth="1"/>
    <col min="10500" max="10500" width="13.77734375" style="504" bestFit="1" customWidth="1"/>
    <col min="10501" max="10501" width="15.33203125" style="504" customWidth="1"/>
    <col min="10502" max="10502" width="14.21875" style="504" customWidth="1"/>
    <col min="10503" max="10503" width="15.21875" style="504" customWidth="1"/>
    <col min="10504" max="10504" width="13.33203125" style="504" customWidth="1"/>
    <col min="10505" max="10505" width="17.33203125" style="504" customWidth="1"/>
    <col min="10506" max="10506" width="15.21875" style="504" customWidth="1"/>
    <col min="10507" max="10507" width="19.6640625" style="504" customWidth="1"/>
    <col min="10508" max="10510" width="16" style="504" customWidth="1"/>
    <col min="10511" max="10511" width="14.77734375" style="504" customWidth="1"/>
    <col min="10512" max="10512" width="17.33203125" style="504" customWidth="1"/>
    <col min="10513" max="10513" width="14.77734375" style="504" customWidth="1"/>
    <col min="10514" max="10522" width="9" style="504" customWidth="1"/>
    <col min="10523" max="10523" width="7.21875" style="504" bestFit="1" customWidth="1"/>
    <col min="10524" max="10525" width="9" style="504" customWidth="1"/>
    <col min="10526" max="10530" width="10.33203125" style="504" customWidth="1"/>
    <col min="10531" max="10752" width="9" style="504" customWidth="1"/>
    <col min="10753" max="10753" width="60.33203125" style="504" customWidth="1"/>
    <col min="10754" max="10754" width="2.77734375" style="504" customWidth="1"/>
    <col min="10755" max="10755" width="14.77734375" style="504" customWidth="1"/>
    <col min="10756" max="10756" width="13.77734375" style="504" bestFit="1" customWidth="1"/>
    <col min="10757" max="10757" width="15.33203125" style="504" customWidth="1"/>
    <col min="10758" max="10758" width="14.21875" style="504" customWidth="1"/>
    <col min="10759" max="10759" width="15.21875" style="504" customWidth="1"/>
    <col min="10760" max="10760" width="13.33203125" style="504" customWidth="1"/>
    <col min="10761" max="10761" width="17.33203125" style="504" customWidth="1"/>
    <col min="10762" max="10762" width="15.21875" style="504" customWidth="1"/>
    <col min="10763" max="10763" width="19.6640625" style="504" customWidth="1"/>
    <col min="10764" max="10766" width="16" style="504" customWidth="1"/>
    <col min="10767" max="10767" width="14.77734375" style="504" customWidth="1"/>
    <col min="10768" max="10768" width="17.33203125" style="504" customWidth="1"/>
    <col min="10769" max="10769" width="14.77734375" style="504" customWidth="1"/>
    <col min="10770" max="10778" width="9" style="504" customWidth="1"/>
    <col min="10779" max="10779" width="7.21875" style="504" bestFit="1" customWidth="1"/>
    <col min="10780" max="10781" width="9" style="504" customWidth="1"/>
    <col min="10782" max="10786" width="10.33203125" style="504" customWidth="1"/>
    <col min="10787" max="11008" width="9" style="504" customWidth="1"/>
    <col min="11009" max="11009" width="60.33203125" style="504" customWidth="1"/>
    <col min="11010" max="11010" width="2.77734375" style="504" customWidth="1"/>
    <col min="11011" max="11011" width="14.77734375" style="504" customWidth="1"/>
    <col min="11012" max="11012" width="13.77734375" style="504" bestFit="1" customWidth="1"/>
    <col min="11013" max="11013" width="15.33203125" style="504" customWidth="1"/>
    <col min="11014" max="11014" width="14.21875" style="504" customWidth="1"/>
    <col min="11015" max="11015" width="15.21875" style="504" customWidth="1"/>
    <col min="11016" max="11016" width="13.33203125" style="504" customWidth="1"/>
    <col min="11017" max="11017" width="17.33203125" style="504" customWidth="1"/>
    <col min="11018" max="11018" width="15.21875" style="504" customWidth="1"/>
    <col min="11019" max="11019" width="19.6640625" style="504" customWidth="1"/>
    <col min="11020" max="11022" width="16" style="504" customWidth="1"/>
    <col min="11023" max="11023" width="14.77734375" style="504" customWidth="1"/>
    <col min="11024" max="11024" width="17.33203125" style="504" customWidth="1"/>
    <col min="11025" max="11025" width="14.77734375" style="504" customWidth="1"/>
    <col min="11026" max="11034" width="9" style="504" customWidth="1"/>
    <col min="11035" max="11035" width="7.21875" style="504" bestFit="1" customWidth="1"/>
    <col min="11036" max="11037" width="9" style="504" customWidth="1"/>
    <col min="11038" max="11042" width="10.33203125" style="504" customWidth="1"/>
    <col min="11043" max="11264" width="9" style="504" customWidth="1"/>
    <col min="11265" max="11265" width="60.33203125" style="504" customWidth="1"/>
    <col min="11266" max="11266" width="2.77734375" style="504" customWidth="1"/>
    <col min="11267" max="11267" width="14.77734375" style="504" customWidth="1"/>
    <col min="11268" max="11268" width="13.77734375" style="504" bestFit="1" customWidth="1"/>
    <col min="11269" max="11269" width="15.33203125" style="504" customWidth="1"/>
    <col min="11270" max="11270" width="14.21875" style="504" customWidth="1"/>
    <col min="11271" max="11271" width="15.21875" style="504" customWidth="1"/>
    <col min="11272" max="11272" width="13.33203125" style="504" customWidth="1"/>
    <col min="11273" max="11273" width="17.33203125" style="504" customWidth="1"/>
    <col min="11274" max="11274" width="15.21875" style="504" customWidth="1"/>
    <col min="11275" max="11275" width="19.6640625" style="504" customWidth="1"/>
    <col min="11276" max="11278" width="16" style="504" customWidth="1"/>
    <col min="11279" max="11279" width="14.77734375" style="504" customWidth="1"/>
    <col min="11280" max="11280" width="17.33203125" style="504" customWidth="1"/>
    <col min="11281" max="11281" width="14.77734375" style="504" customWidth="1"/>
    <col min="11282" max="11290" width="9" style="504" customWidth="1"/>
    <col min="11291" max="11291" width="7.21875" style="504" bestFit="1" customWidth="1"/>
    <col min="11292" max="11293" width="9" style="504" customWidth="1"/>
    <col min="11294" max="11298" width="10.33203125" style="504" customWidth="1"/>
    <col min="11299" max="11520" width="9" style="504" customWidth="1"/>
    <col min="11521" max="11521" width="60.33203125" style="504" customWidth="1"/>
    <col min="11522" max="11522" width="2.77734375" style="504" customWidth="1"/>
    <col min="11523" max="11523" width="14.77734375" style="504" customWidth="1"/>
    <col min="11524" max="11524" width="13.77734375" style="504" bestFit="1" customWidth="1"/>
    <col min="11525" max="11525" width="15.33203125" style="504" customWidth="1"/>
    <col min="11526" max="11526" width="14.21875" style="504" customWidth="1"/>
    <col min="11527" max="11527" width="15.21875" style="504" customWidth="1"/>
    <col min="11528" max="11528" width="13.33203125" style="504" customWidth="1"/>
    <col min="11529" max="11529" width="17.33203125" style="504" customWidth="1"/>
    <col min="11530" max="11530" width="15.21875" style="504" customWidth="1"/>
    <col min="11531" max="11531" width="19.6640625" style="504" customWidth="1"/>
    <col min="11532" max="11534" width="16" style="504" customWidth="1"/>
    <col min="11535" max="11535" width="14.77734375" style="504" customWidth="1"/>
    <col min="11536" max="11536" width="17.33203125" style="504" customWidth="1"/>
    <col min="11537" max="11537" width="14.77734375" style="504" customWidth="1"/>
    <col min="11538" max="11546" width="9" style="504" customWidth="1"/>
    <col min="11547" max="11547" width="7.21875" style="504" bestFit="1" customWidth="1"/>
    <col min="11548" max="11549" width="9" style="504" customWidth="1"/>
    <col min="11550" max="11554" width="10.33203125" style="504" customWidth="1"/>
    <col min="11555" max="11776" width="9" style="504" customWidth="1"/>
    <col min="11777" max="11777" width="60.33203125" style="504" customWidth="1"/>
    <col min="11778" max="11778" width="2.77734375" style="504" customWidth="1"/>
    <col min="11779" max="11779" width="14.77734375" style="504" customWidth="1"/>
    <col min="11780" max="11780" width="13.77734375" style="504" bestFit="1" customWidth="1"/>
    <col min="11781" max="11781" width="15.33203125" style="504" customWidth="1"/>
    <col min="11782" max="11782" width="14.21875" style="504" customWidth="1"/>
    <col min="11783" max="11783" width="15.21875" style="504" customWidth="1"/>
    <col min="11784" max="11784" width="13.33203125" style="504" customWidth="1"/>
    <col min="11785" max="11785" width="17.33203125" style="504" customWidth="1"/>
    <col min="11786" max="11786" width="15.21875" style="504" customWidth="1"/>
    <col min="11787" max="11787" width="19.6640625" style="504" customWidth="1"/>
    <col min="11788" max="11790" width="16" style="504" customWidth="1"/>
    <col min="11791" max="11791" width="14.77734375" style="504" customWidth="1"/>
    <col min="11792" max="11792" width="17.33203125" style="504" customWidth="1"/>
    <col min="11793" max="11793" width="14.77734375" style="504" customWidth="1"/>
    <col min="11794" max="11802" width="9" style="504" customWidth="1"/>
    <col min="11803" max="11803" width="7.21875" style="504" bestFit="1" customWidth="1"/>
    <col min="11804" max="11805" width="9" style="504" customWidth="1"/>
    <col min="11806" max="11810" width="10.33203125" style="504" customWidth="1"/>
    <col min="11811" max="12032" width="9" style="504" customWidth="1"/>
    <col min="12033" max="12033" width="60.33203125" style="504" customWidth="1"/>
    <col min="12034" max="12034" width="2.77734375" style="504" customWidth="1"/>
    <col min="12035" max="12035" width="14.77734375" style="504" customWidth="1"/>
    <col min="12036" max="12036" width="13.77734375" style="504" bestFit="1" customWidth="1"/>
    <col min="12037" max="12037" width="15.33203125" style="504" customWidth="1"/>
    <col min="12038" max="12038" width="14.21875" style="504" customWidth="1"/>
    <col min="12039" max="12039" width="15.21875" style="504" customWidth="1"/>
    <col min="12040" max="12040" width="13.33203125" style="504" customWidth="1"/>
    <col min="12041" max="12041" width="17.33203125" style="504" customWidth="1"/>
    <col min="12042" max="12042" width="15.21875" style="504" customWidth="1"/>
    <col min="12043" max="12043" width="19.6640625" style="504" customWidth="1"/>
    <col min="12044" max="12046" width="16" style="504" customWidth="1"/>
    <col min="12047" max="12047" width="14.77734375" style="504" customWidth="1"/>
    <col min="12048" max="12048" width="17.33203125" style="504" customWidth="1"/>
    <col min="12049" max="12049" width="14.77734375" style="504" customWidth="1"/>
    <col min="12050" max="12058" width="9" style="504" customWidth="1"/>
    <col min="12059" max="12059" width="7.21875" style="504" bestFit="1" customWidth="1"/>
    <col min="12060" max="12061" width="9" style="504" customWidth="1"/>
    <col min="12062" max="12066" width="10.33203125" style="504" customWidth="1"/>
    <col min="12067" max="12288" width="9" style="504" customWidth="1"/>
    <col min="12289" max="12289" width="60.33203125" style="504" customWidth="1"/>
    <col min="12290" max="12290" width="2.77734375" style="504" customWidth="1"/>
    <col min="12291" max="12291" width="14.77734375" style="504" customWidth="1"/>
    <col min="12292" max="12292" width="13.77734375" style="504" bestFit="1" customWidth="1"/>
    <col min="12293" max="12293" width="15.33203125" style="504" customWidth="1"/>
    <col min="12294" max="12294" width="14.21875" style="504" customWidth="1"/>
    <col min="12295" max="12295" width="15.21875" style="504" customWidth="1"/>
    <col min="12296" max="12296" width="13.33203125" style="504" customWidth="1"/>
    <col min="12297" max="12297" width="17.33203125" style="504" customWidth="1"/>
    <col min="12298" max="12298" width="15.21875" style="504" customWidth="1"/>
    <col min="12299" max="12299" width="19.6640625" style="504" customWidth="1"/>
    <col min="12300" max="12302" width="16" style="504" customWidth="1"/>
    <col min="12303" max="12303" width="14.77734375" style="504" customWidth="1"/>
    <col min="12304" max="12304" width="17.33203125" style="504" customWidth="1"/>
    <col min="12305" max="12305" width="14.77734375" style="504" customWidth="1"/>
    <col min="12306" max="12314" width="9" style="504" customWidth="1"/>
    <col min="12315" max="12315" width="7.21875" style="504" bestFit="1" customWidth="1"/>
    <col min="12316" max="12317" width="9" style="504" customWidth="1"/>
    <col min="12318" max="12322" width="10.33203125" style="504" customWidth="1"/>
    <col min="12323" max="12544" width="9" style="504" customWidth="1"/>
    <col min="12545" max="12545" width="60.33203125" style="504" customWidth="1"/>
    <col min="12546" max="12546" width="2.77734375" style="504" customWidth="1"/>
    <col min="12547" max="12547" width="14.77734375" style="504" customWidth="1"/>
    <col min="12548" max="12548" width="13.77734375" style="504" bestFit="1" customWidth="1"/>
    <col min="12549" max="12549" width="15.33203125" style="504" customWidth="1"/>
    <col min="12550" max="12550" width="14.21875" style="504" customWidth="1"/>
    <col min="12551" max="12551" width="15.21875" style="504" customWidth="1"/>
    <col min="12552" max="12552" width="13.33203125" style="504" customWidth="1"/>
    <col min="12553" max="12553" width="17.33203125" style="504" customWidth="1"/>
    <col min="12554" max="12554" width="15.21875" style="504" customWidth="1"/>
    <col min="12555" max="12555" width="19.6640625" style="504" customWidth="1"/>
    <col min="12556" max="12558" width="16" style="504" customWidth="1"/>
    <col min="12559" max="12559" width="14.77734375" style="504" customWidth="1"/>
    <col min="12560" max="12560" width="17.33203125" style="504" customWidth="1"/>
    <col min="12561" max="12561" width="14.77734375" style="504" customWidth="1"/>
    <col min="12562" max="12570" width="9" style="504" customWidth="1"/>
    <col min="12571" max="12571" width="7.21875" style="504" bestFit="1" customWidth="1"/>
    <col min="12572" max="12573" width="9" style="504" customWidth="1"/>
    <col min="12574" max="12578" width="10.33203125" style="504" customWidth="1"/>
    <col min="12579" max="12800" width="9" style="504" customWidth="1"/>
    <col min="12801" max="12801" width="60.33203125" style="504" customWidth="1"/>
    <col min="12802" max="12802" width="2.77734375" style="504" customWidth="1"/>
    <col min="12803" max="12803" width="14.77734375" style="504" customWidth="1"/>
    <col min="12804" max="12804" width="13.77734375" style="504" bestFit="1" customWidth="1"/>
    <col min="12805" max="12805" width="15.33203125" style="504" customWidth="1"/>
    <col min="12806" max="12806" width="14.21875" style="504" customWidth="1"/>
    <col min="12807" max="12807" width="15.21875" style="504" customWidth="1"/>
    <col min="12808" max="12808" width="13.33203125" style="504" customWidth="1"/>
    <col min="12809" max="12809" width="17.33203125" style="504" customWidth="1"/>
    <col min="12810" max="12810" width="15.21875" style="504" customWidth="1"/>
    <col min="12811" max="12811" width="19.6640625" style="504" customWidth="1"/>
    <col min="12812" max="12814" width="16" style="504" customWidth="1"/>
    <col min="12815" max="12815" width="14.77734375" style="504" customWidth="1"/>
    <col min="12816" max="12816" width="17.33203125" style="504" customWidth="1"/>
    <col min="12817" max="12817" width="14.77734375" style="504" customWidth="1"/>
    <col min="12818" max="12826" width="9" style="504" customWidth="1"/>
    <col min="12827" max="12827" width="7.21875" style="504" bestFit="1" customWidth="1"/>
    <col min="12828" max="12829" width="9" style="504" customWidth="1"/>
    <col min="12830" max="12834" width="10.33203125" style="504" customWidth="1"/>
    <col min="12835" max="13056" width="9" style="504" customWidth="1"/>
    <col min="13057" max="13057" width="60.33203125" style="504" customWidth="1"/>
    <col min="13058" max="13058" width="2.77734375" style="504" customWidth="1"/>
    <col min="13059" max="13059" width="14.77734375" style="504" customWidth="1"/>
    <col min="13060" max="13060" width="13.77734375" style="504" bestFit="1" customWidth="1"/>
    <col min="13061" max="13061" width="15.33203125" style="504" customWidth="1"/>
    <col min="13062" max="13062" width="14.21875" style="504" customWidth="1"/>
    <col min="13063" max="13063" width="15.21875" style="504" customWidth="1"/>
    <col min="13064" max="13064" width="13.33203125" style="504" customWidth="1"/>
    <col min="13065" max="13065" width="17.33203125" style="504" customWidth="1"/>
    <col min="13066" max="13066" width="15.21875" style="504" customWidth="1"/>
    <col min="13067" max="13067" width="19.6640625" style="504" customWidth="1"/>
    <col min="13068" max="13070" width="16" style="504" customWidth="1"/>
    <col min="13071" max="13071" width="14.77734375" style="504" customWidth="1"/>
    <col min="13072" max="13072" width="17.33203125" style="504" customWidth="1"/>
    <col min="13073" max="13073" width="14.77734375" style="504" customWidth="1"/>
    <col min="13074" max="13082" width="9" style="504" customWidth="1"/>
    <col min="13083" max="13083" width="7.21875" style="504" bestFit="1" customWidth="1"/>
    <col min="13084" max="13085" width="9" style="504" customWidth="1"/>
    <col min="13086" max="13090" width="10.33203125" style="504" customWidth="1"/>
    <col min="13091" max="13312" width="9" style="504" customWidth="1"/>
    <col min="13313" max="13313" width="60.33203125" style="504" customWidth="1"/>
    <col min="13314" max="13314" width="2.77734375" style="504" customWidth="1"/>
    <col min="13315" max="13315" width="14.77734375" style="504" customWidth="1"/>
    <col min="13316" max="13316" width="13.77734375" style="504" bestFit="1" customWidth="1"/>
    <col min="13317" max="13317" width="15.33203125" style="504" customWidth="1"/>
    <col min="13318" max="13318" width="14.21875" style="504" customWidth="1"/>
    <col min="13319" max="13319" width="15.21875" style="504" customWidth="1"/>
    <col min="13320" max="13320" width="13.33203125" style="504" customWidth="1"/>
    <col min="13321" max="13321" width="17.33203125" style="504" customWidth="1"/>
    <col min="13322" max="13322" width="15.21875" style="504" customWidth="1"/>
    <col min="13323" max="13323" width="19.6640625" style="504" customWidth="1"/>
    <col min="13324" max="13326" width="16" style="504" customWidth="1"/>
    <col min="13327" max="13327" width="14.77734375" style="504" customWidth="1"/>
    <col min="13328" max="13328" width="17.33203125" style="504" customWidth="1"/>
    <col min="13329" max="13329" width="14.77734375" style="504" customWidth="1"/>
    <col min="13330" max="13338" width="9" style="504" customWidth="1"/>
    <col min="13339" max="13339" width="7.21875" style="504" bestFit="1" customWidth="1"/>
    <col min="13340" max="13341" width="9" style="504" customWidth="1"/>
    <col min="13342" max="13346" width="10.33203125" style="504" customWidth="1"/>
    <col min="13347" max="13568" width="9" style="504" customWidth="1"/>
    <col min="13569" max="13569" width="60.33203125" style="504" customWidth="1"/>
    <col min="13570" max="13570" width="2.77734375" style="504" customWidth="1"/>
    <col min="13571" max="13571" width="14.77734375" style="504" customWidth="1"/>
    <col min="13572" max="13572" width="13.77734375" style="504" bestFit="1" customWidth="1"/>
    <col min="13573" max="13573" width="15.33203125" style="504" customWidth="1"/>
    <col min="13574" max="13574" width="14.21875" style="504" customWidth="1"/>
    <col min="13575" max="13575" width="15.21875" style="504" customWidth="1"/>
    <col min="13576" max="13576" width="13.33203125" style="504" customWidth="1"/>
    <col min="13577" max="13577" width="17.33203125" style="504" customWidth="1"/>
    <col min="13578" max="13578" width="15.21875" style="504" customWidth="1"/>
    <col min="13579" max="13579" width="19.6640625" style="504" customWidth="1"/>
    <col min="13580" max="13582" width="16" style="504" customWidth="1"/>
    <col min="13583" max="13583" width="14.77734375" style="504" customWidth="1"/>
    <col min="13584" max="13584" width="17.33203125" style="504" customWidth="1"/>
    <col min="13585" max="13585" width="14.77734375" style="504" customWidth="1"/>
    <col min="13586" max="13594" width="9" style="504" customWidth="1"/>
    <col min="13595" max="13595" width="7.21875" style="504" bestFit="1" customWidth="1"/>
    <col min="13596" max="13597" width="9" style="504" customWidth="1"/>
    <col min="13598" max="13602" width="10.33203125" style="504" customWidth="1"/>
    <col min="13603" max="13824" width="9" style="504" customWidth="1"/>
    <col min="13825" max="13825" width="60.33203125" style="504" customWidth="1"/>
    <col min="13826" max="13826" width="2.77734375" style="504" customWidth="1"/>
    <col min="13827" max="13827" width="14.77734375" style="504" customWidth="1"/>
    <col min="13828" max="13828" width="13.77734375" style="504" bestFit="1" customWidth="1"/>
    <col min="13829" max="13829" width="15.33203125" style="504" customWidth="1"/>
    <col min="13830" max="13830" width="14.21875" style="504" customWidth="1"/>
    <col min="13831" max="13831" width="15.21875" style="504" customWidth="1"/>
    <col min="13832" max="13832" width="13.33203125" style="504" customWidth="1"/>
    <col min="13833" max="13833" width="17.33203125" style="504" customWidth="1"/>
    <col min="13834" max="13834" width="15.21875" style="504" customWidth="1"/>
    <col min="13835" max="13835" width="19.6640625" style="504" customWidth="1"/>
    <col min="13836" max="13838" width="16" style="504" customWidth="1"/>
    <col min="13839" max="13839" width="14.77734375" style="504" customWidth="1"/>
    <col min="13840" max="13840" width="17.33203125" style="504" customWidth="1"/>
    <col min="13841" max="13841" width="14.77734375" style="504" customWidth="1"/>
    <col min="13842" max="13850" width="9" style="504" customWidth="1"/>
    <col min="13851" max="13851" width="7.21875" style="504" bestFit="1" customWidth="1"/>
    <col min="13852" max="13853" width="9" style="504" customWidth="1"/>
    <col min="13854" max="13858" width="10.33203125" style="504" customWidth="1"/>
    <col min="13859" max="14080" width="9" style="504" customWidth="1"/>
    <col min="14081" max="14081" width="60.33203125" style="504" customWidth="1"/>
    <col min="14082" max="14082" width="2.77734375" style="504" customWidth="1"/>
    <col min="14083" max="14083" width="14.77734375" style="504" customWidth="1"/>
    <col min="14084" max="14084" width="13.77734375" style="504" bestFit="1" customWidth="1"/>
    <col min="14085" max="14085" width="15.33203125" style="504" customWidth="1"/>
    <col min="14086" max="14086" width="14.21875" style="504" customWidth="1"/>
    <col min="14087" max="14087" width="15.21875" style="504" customWidth="1"/>
    <col min="14088" max="14088" width="13.33203125" style="504" customWidth="1"/>
    <col min="14089" max="14089" width="17.33203125" style="504" customWidth="1"/>
    <col min="14090" max="14090" width="15.21875" style="504" customWidth="1"/>
    <col min="14091" max="14091" width="19.6640625" style="504" customWidth="1"/>
    <col min="14092" max="14094" width="16" style="504" customWidth="1"/>
    <col min="14095" max="14095" width="14.77734375" style="504" customWidth="1"/>
    <col min="14096" max="14096" width="17.33203125" style="504" customWidth="1"/>
    <col min="14097" max="14097" width="14.77734375" style="504" customWidth="1"/>
    <col min="14098" max="14106" width="9" style="504" customWidth="1"/>
    <col min="14107" max="14107" width="7.21875" style="504" bestFit="1" customWidth="1"/>
    <col min="14108" max="14109" width="9" style="504" customWidth="1"/>
    <col min="14110" max="14114" width="10.33203125" style="504" customWidth="1"/>
    <col min="14115" max="14336" width="9" style="504" customWidth="1"/>
    <col min="14337" max="14337" width="60.33203125" style="504" customWidth="1"/>
    <col min="14338" max="14338" width="2.77734375" style="504" customWidth="1"/>
    <col min="14339" max="14339" width="14.77734375" style="504" customWidth="1"/>
    <col min="14340" max="14340" width="13.77734375" style="504" bestFit="1" customWidth="1"/>
    <col min="14341" max="14341" width="15.33203125" style="504" customWidth="1"/>
    <col min="14342" max="14342" width="14.21875" style="504" customWidth="1"/>
    <col min="14343" max="14343" width="15.21875" style="504" customWidth="1"/>
    <col min="14344" max="14344" width="13.33203125" style="504" customWidth="1"/>
    <col min="14345" max="14345" width="17.33203125" style="504" customWidth="1"/>
    <col min="14346" max="14346" width="15.21875" style="504" customWidth="1"/>
    <col min="14347" max="14347" width="19.6640625" style="504" customWidth="1"/>
    <col min="14348" max="14350" width="16" style="504" customWidth="1"/>
    <col min="14351" max="14351" width="14.77734375" style="504" customWidth="1"/>
    <col min="14352" max="14352" width="17.33203125" style="504" customWidth="1"/>
    <col min="14353" max="14353" width="14.77734375" style="504" customWidth="1"/>
    <col min="14354" max="14362" width="9" style="504" customWidth="1"/>
    <col min="14363" max="14363" width="7.21875" style="504" bestFit="1" customWidth="1"/>
    <col min="14364" max="14365" width="9" style="504" customWidth="1"/>
    <col min="14366" max="14370" width="10.33203125" style="504" customWidth="1"/>
    <col min="14371" max="14592" width="9" style="504" customWidth="1"/>
    <col min="14593" max="14593" width="60.33203125" style="504" customWidth="1"/>
    <col min="14594" max="14594" width="2.77734375" style="504" customWidth="1"/>
    <col min="14595" max="14595" width="14.77734375" style="504" customWidth="1"/>
    <col min="14596" max="14596" width="13.77734375" style="504" bestFit="1" customWidth="1"/>
    <col min="14597" max="14597" width="15.33203125" style="504" customWidth="1"/>
    <col min="14598" max="14598" width="14.21875" style="504" customWidth="1"/>
    <col min="14599" max="14599" width="15.21875" style="504" customWidth="1"/>
    <col min="14600" max="14600" width="13.33203125" style="504" customWidth="1"/>
    <col min="14601" max="14601" width="17.33203125" style="504" customWidth="1"/>
    <col min="14602" max="14602" width="15.21875" style="504" customWidth="1"/>
    <col min="14603" max="14603" width="19.6640625" style="504" customWidth="1"/>
    <col min="14604" max="14606" width="16" style="504" customWidth="1"/>
    <col min="14607" max="14607" width="14.77734375" style="504" customWidth="1"/>
    <col min="14608" max="14608" width="17.33203125" style="504" customWidth="1"/>
    <col min="14609" max="14609" width="14.77734375" style="504" customWidth="1"/>
    <col min="14610" max="14618" width="9" style="504" customWidth="1"/>
    <col min="14619" max="14619" width="7.21875" style="504" bestFit="1" customWidth="1"/>
    <col min="14620" max="14621" width="9" style="504" customWidth="1"/>
    <col min="14622" max="14626" width="10.33203125" style="504" customWidth="1"/>
    <col min="14627" max="14848" width="9" style="504" customWidth="1"/>
    <col min="14849" max="14849" width="60.33203125" style="504" customWidth="1"/>
    <col min="14850" max="14850" width="2.77734375" style="504" customWidth="1"/>
    <col min="14851" max="14851" width="14.77734375" style="504" customWidth="1"/>
    <col min="14852" max="14852" width="13.77734375" style="504" bestFit="1" customWidth="1"/>
    <col min="14853" max="14853" width="15.33203125" style="504" customWidth="1"/>
    <col min="14854" max="14854" width="14.21875" style="504" customWidth="1"/>
    <col min="14855" max="14855" width="15.21875" style="504" customWidth="1"/>
    <col min="14856" max="14856" width="13.33203125" style="504" customWidth="1"/>
    <col min="14857" max="14857" width="17.33203125" style="504" customWidth="1"/>
    <col min="14858" max="14858" width="15.21875" style="504" customWidth="1"/>
    <col min="14859" max="14859" width="19.6640625" style="504" customWidth="1"/>
    <col min="14860" max="14862" width="16" style="504" customWidth="1"/>
    <col min="14863" max="14863" width="14.77734375" style="504" customWidth="1"/>
    <col min="14864" max="14864" width="17.33203125" style="504" customWidth="1"/>
    <col min="14865" max="14865" width="14.77734375" style="504" customWidth="1"/>
    <col min="14866" max="14874" width="9" style="504" customWidth="1"/>
    <col min="14875" max="14875" width="7.21875" style="504" bestFit="1" customWidth="1"/>
    <col min="14876" max="14877" width="9" style="504" customWidth="1"/>
    <col min="14878" max="14882" width="10.33203125" style="504" customWidth="1"/>
    <col min="14883" max="15104" width="9" style="504" customWidth="1"/>
    <col min="15105" max="15105" width="60.33203125" style="504" customWidth="1"/>
    <col min="15106" max="15106" width="2.77734375" style="504" customWidth="1"/>
    <col min="15107" max="15107" width="14.77734375" style="504" customWidth="1"/>
    <col min="15108" max="15108" width="13.77734375" style="504" bestFit="1" customWidth="1"/>
    <col min="15109" max="15109" width="15.33203125" style="504" customWidth="1"/>
    <col min="15110" max="15110" width="14.21875" style="504" customWidth="1"/>
    <col min="15111" max="15111" width="15.21875" style="504" customWidth="1"/>
    <col min="15112" max="15112" width="13.33203125" style="504" customWidth="1"/>
    <col min="15113" max="15113" width="17.33203125" style="504" customWidth="1"/>
    <col min="15114" max="15114" width="15.21875" style="504" customWidth="1"/>
    <col min="15115" max="15115" width="19.6640625" style="504" customWidth="1"/>
    <col min="15116" max="15118" width="16" style="504" customWidth="1"/>
    <col min="15119" max="15119" width="14.77734375" style="504" customWidth="1"/>
    <col min="15120" max="15120" width="17.33203125" style="504" customWidth="1"/>
    <col min="15121" max="15121" width="14.77734375" style="504" customWidth="1"/>
    <col min="15122" max="15130" width="9" style="504" customWidth="1"/>
    <col min="15131" max="15131" width="7.21875" style="504" bestFit="1" customWidth="1"/>
    <col min="15132" max="15133" width="9" style="504" customWidth="1"/>
    <col min="15134" max="15138" width="10.33203125" style="504" customWidth="1"/>
    <col min="15139" max="15360" width="9" style="504" customWidth="1"/>
    <col min="15361" max="15361" width="60.33203125" style="504" customWidth="1"/>
    <col min="15362" max="15362" width="2.77734375" style="504" customWidth="1"/>
    <col min="15363" max="15363" width="14.77734375" style="504" customWidth="1"/>
    <col min="15364" max="15364" width="13.77734375" style="504" bestFit="1" customWidth="1"/>
    <col min="15365" max="15365" width="15.33203125" style="504" customWidth="1"/>
    <col min="15366" max="15366" width="14.21875" style="504" customWidth="1"/>
    <col min="15367" max="15367" width="15.21875" style="504" customWidth="1"/>
    <col min="15368" max="15368" width="13.33203125" style="504" customWidth="1"/>
    <col min="15369" max="15369" width="17.33203125" style="504" customWidth="1"/>
    <col min="15370" max="15370" width="15.21875" style="504" customWidth="1"/>
    <col min="15371" max="15371" width="19.6640625" style="504" customWidth="1"/>
    <col min="15372" max="15374" width="16" style="504" customWidth="1"/>
    <col min="15375" max="15375" width="14.77734375" style="504" customWidth="1"/>
    <col min="15376" max="15376" width="17.33203125" style="504" customWidth="1"/>
    <col min="15377" max="15377" width="14.77734375" style="504" customWidth="1"/>
    <col min="15378" max="15386" width="9" style="504" customWidth="1"/>
    <col min="15387" max="15387" width="7.21875" style="504" bestFit="1" customWidth="1"/>
    <col min="15388" max="15389" width="9" style="504" customWidth="1"/>
    <col min="15390" max="15394" width="10.33203125" style="504" customWidth="1"/>
    <col min="15395" max="15616" width="9" style="504" customWidth="1"/>
    <col min="15617" max="15617" width="60.33203125" style="504" customWidth="1"/>
    <col min="15618" max="15618" width="2.77734375" style="504" customWidth="1"/>
    <col min="15619" max="15619" width="14.77734375" style="504" customWidth="1"/>
    <col min="15620" max="15620" width="13.77734375" style="504" bestFit="1" customWidth="1"/>
    <col min="15621" max="15621" width="15.33203125" style="504" customWidth="1"/>
    <col min="15622" max="15622" width="14.21875" style="504" customWidth="1"/>
    <col min="15623" max="15623" width="15.21875" style="504" customWidth="1"/>
    <col min="15624" max="15624" width="13.33203125" style="504" customWidth="1"/>
    <col min="15625" max="15625" width="17.33203125" style="504" customWidth="1"/>
    <col min="15626" max="15626" width="15.21875" style="504" customWidth="1"/>
    <col min="15627" max="15627" width="19.6640625" style="504" customWidth="1"/>
    <col min="15628" max="15630" width="16" style="504" customWidth="1"/>
    <col min="15631" max="15631" width="14.77734375" style="504" customWidth="1"/>
    <col min="15632" max="15632" width="17.33203125" style="504" customWidth="1"/>
    <col min="15633" max="15633" width="14.77734375" style="504" customWidth="1"/>
    <col min="15634" max="15642" width="9" style="504" customWidth="1"/>
    <col min="15643" max="15643" width="7.21875" style="504" bestFit="1" customWidth="1"/>
    <col min="15644" max="15645" width="9" style="504" customWidth="1"/>
    <col min="15646" max="15650" width="10.33203125" style="504" customWidth="1"/>
    <col min="15651" max="15872" width="9" style="504" customWidth="1"/>
    <col min="15873" max="15873" width="60.33203125" style="504" customWidth="1"/>
    <col min="15874" max="15874" width="2.77734375" style="504" customWidth="1"/>
    <col min="15875" max="15875" width="14.77734375" style="504" customWidth="1"/>
    <col min="15876" max="15876" width="13.77734375" style="504" bestFit="1" customWidth="1"/>
    <col min="15877" max="15877" width="15.33203125" style="504" customWidth="1"/>
    <col min="15878" max="15878" width="14.21875" style="504" customWidth="1"/>
    <col min="15879" max="15879" width="15.21875" style="504" customWidth="1"/>
    <col min="15880" max="15880" width="13.33203125" style="504" customWidth="1"/>
    <col min="15881" max="15881" width="17.33203125" style="504" customWidth="1"/>
    <col min="15882" max="15882" width="15.21875" style="504" customWidth="1"/>
    <col min="15883" max="15883" width="19.6640625" style="504" customWidth="1"/>
    <col min="15884" max="15886" width="16" style="504" customWidth="1"/>
    <col min="15887" max="15887" width="14.77734375" style="504" customWidth="1"/>
    <col min="15888" max="15888" width="17.33203125" style="504" customWidth="1"/>
    <col min="15889" max="15889" width="14.77734375" style="504" customWidth="1"/>
    <col min="15890" max="15898" width="9" style="504" customWidth="1"/>
    <col min="15899" max="15899" width="7.21875" style="504" bestFit="1" customWidth="1"/>
    <col min="15900" max="15901" width="9" style="504" customWidth="1"/>
    <col min="15902" max="15906" width="10.33203125" style="504" customWidth="1"/>
    <col min="15907" max="16128" width="9" style="504" customWidth="1"/>
    <col min="16129" max="16129" width="60.33203125" style="504" customWidth="1"/>
    <col min="16130" max="16130" width="2.77734375" style="504" customWidth="1"/>
    <col min="16131" max="16131" width="14.77734375" style="504" customWidth="1"/>
    <col min="16132" max="16132" width="13.77734375" style="504" bestFit="1" customWidth="1"/>
    <col min="16133" max="16133" width="15.33203125" style="504" customWidth="1"/>
    <col min="16134" max="16134" width="14.21875" style="504" customWidth="1"/>
    <col min="16135" max="16135" width="15.21875" style="504" customWidth="1"/>
    <col min="16136" max="16136" width="13.33203125" style="504" customWidth="1"/>
    <col min="16137" max="16137" width="17.33203125" style="504" customWidth="1"/>
    <col min="16138" max="16138" width="15.21875" style="504" customWidth="1"/>
    <col min="16139" max="16139" width="19.6640625" style="504" customWidth="1"/>
    <col min="16140" max="16142" width="16" style="504" customWidth="1"/>
    <col min="16143" max="16143" width="14.77734375" style="504" customWidth="1"/>
    <col min="16144" max="16144" width="17.33203125" style="504" customWidth="1"/>
    <col min="16145" max="16145" width="14.77734375" style="504" customWidth="1"/>
    <col min="16146" max="16154" width="9" style="504" customWidth="1"/>
    <col min="16155" max="16155" width="7.21875" style="504" bestFit="1" customWidth="1"/>
    <col min="16156" max="16157" width="9" style="504" customWidth="1"/>
    <col min="16158" max="16162" width="10.33203125" style="504" customWidth="1"/>
    <col min="16163" max="16384" width="9" style="504" customWidth="1"/>
  </cols>
  <sheetData>
    <row r="1" spans="1:27" x14ac:dyDescent="0.25">
      <c r="A1" s="140" t="s">
        <v>0</v>
      </c>
      <c r="B1" s="745" t="str">
        <f>'Cover Page'!D1</f>
        <v>Edge School, Inc., The</v>
      </c>
      <c r="C1" s="745"/>
      <c r="D1" s="745"/>
      <c r="E1" s="745"/>
      <c r="G1" s="140" t="s">
        <v>1</v>
      </c>
      <c r="H1" s="745" t="str">
        <f>'Cover Page'!M1</f>
        <v>Pima</v>
      </c>
      <c r="I1" s="745"/>
      <c r="K1" s="140" t="s">
        <v>2</v>
      </c>
      <c r="L1" s="61" t="str">
        <f>'Cover Page'!R1</f>
        <v>108653000</v>
      </c>
      <c r="M1" s="142"/>
      <c r="N1" s="142"/>
      <c r="O1" s="505"/>
      <c r="P1" s="26"/>
    </row>
    <row r="2" spans="1:27" x14ac:dyDescent="0.25">
      <c r="A2" s="140"/>
      <c r="B2" s="140"/>
      <c r="C2" s="225"/>
      <c r="D2" s="142"/>
      <c r="E2" s="143"/>
      <c r="F2" s="143"/>
      <c r="G2" s="143"/>
      <c r="H2" s="140"/>
      <c r="I2" s="142"/>
      <c r="J2" s="142"/>
      <c r="K2" s="142"/>
      <c r="L2" s="143"/>
      <c r="M2" s="142"/>
      <c r="N2" s="142"/>
      <c r="O2" s="505"/>
      <c r="P2" s="505"/>
      <c r="Q2" s="506"/>
    </row>
    <row r="3" spans="1:27" x14ac:dyDescent="0.25">
      <c r="A3" s="34"/>
      <c r="B3"/>
      <c r="C3" t="s">
        <v>469</v>
      </c>
      <c r="D3" s="17"/>
      <c r="E3" s="17"/>
      <c r="F3" s="17"/>
      <c r="G3" s="17"/>
      <c r="H3" s="17"/>
      <c r="I3" s="17"/>
      <c r="J3" s="17"/>
      <c r="K3" s="17"/>
      <c r="L3" s="17"/>
      <c r="M3" s="17"/>
      <c r="N3" s="505"/>
    </row>
    <row r="4" spans="1:27" ht="24" customHeight="1" x14ac:dyDescent="0.25">
      <c r="L4" s="505"/>
      <c r="M4" s="17"/>
      <c r="N4" s="17"/>
    </row>
    <row r="5" spans="1:27" x14ac:dyDescent="0.25">
      <c r="A5" s="746"/>
      <c r="B5" s="64"/>
      <c r="C5" s="507"/>
      <c r="D5" s="748" t="s">
        <v>393</v>
      </c>
      <c r="E5" s="749"/>
      <c r="F5" s="749"/>
      <c r="G5" s="749"/>
      <c r="H5" s="749"/>
      <c r="I5" s="749"/>
      <c r="J5" s="749"/>
      <c r="K5" s="749"/>
      <c r="L5" s="750"/>
      <c r="M5" s="508" t="s">
        <v>470</v>
      </c>
      <c r="N5" s="751" t="s">
        <v>312</v>
      </c>
    </row>
    <row r="6" spans="1:27" x14ac:dyDescent="0.25">
      <c r="A6" s="747"/>
      <c r="D6" s="226"/>
      <c r="E6" s="227"/>
      <c r="F6" s="227" t="s">
        <v>165</v>
      </c>
      <c r="G6" s="227"/>
      <c r="H6" s="227"/>
      <c r="I6" s="227"/>
      <c r="J6" s="227"/>
      <c r="K6" s="227" t="s">
        <v>110</v>
      </c>
      <c r="L6" s="228"/>
      <c r="N6" s="752"/>
    </row>
    <row r="7" spans="1:27" x14ac:dyDescent="0.25">
      <c r="D7" s="229"/>
      <c r="E7" s="230" t="s">
        <v>101</v>
      </c>
      <c r="F7" s="230" t="s">
        <v>108</v>
      </c>
      <c r="G7" s="230"/>
      <c r="H7" s="230" t="s">
        <v>394</v>
      </c>
      <c r="I7" s="230" t="s">
        <v>471</v>
      </c>
      <c r="J7" s="230"/>
      <c r="K7" s="231" t="s">
        <v>395</v>
      </c>
      <c r="L7" s="232"/>
      <c r="M7" s="509" t="s">
        <v>472</v>
      </c>
      <c r="N7" s="752"/>
    </row>
    <row r="8" spans="1:27" ht="12" customHeight="1" x14ac:dyDescent="0.25">
      <c r="A8" s="754" t="s">
        <v>473</v>
      </c>
      <c r="B8" s="754"/>
      <c r="C8" s="755"/>
      <c r="D8" s="230" t="s">
        <v>106</v>
      </c>
      <c r="E8" s="233" t="s">
        <v>107</v>
      </c>
      <c r="F8" s="233" t="s">
        <v>396</v>
      </c>
      <c r="G8" s="233" t="s">
        <v>109</v>
      </c>
      <c r="H8" s="233" t="s">
        <v>397</v>
      </c>
      <c r="I8" s="233" t="s">
        <v>474</v>
      </c>
      <c r="J8" s="233" t="s">
        <v>398</v>
      </c>
      <c r="K8" s="231" t="s">
        <v>475</v>
      </c>
      <c r="L8" s="510" t="s">
        <v>400</v>
      </c>
      <c r="M8" s="509" t="s">
        <v>476</v>
      </c>
      <c r="N8" s="752"/>
    </row>
    <row r="9" spans="1:27" x14ac:dyDescent="0.25">
      <c r="A9" s="756"/>
      <c r="B9" s="756"/>
      <c r="C9" s="757"/>
      <c r="D9" s="234">
        <v>6100</v>
      </c>
      <c r="E9" s="234">
        <v>6200</v>
      </c>
      <c r="F9" s="234">
        <v>6500</v>
      </c>
      <c r="G9" s="234">
        <v>6600</v>
      </c>
      <c r="H9" s="234">
        <v>6810</v>
      </c>
      <c r="I9" s="234">
        <v>6820</v>
      </c>
      <c r="J9" s="234">
        <v>6890</v>
      </c>
      <c r="K9" s="234" t="s">
        <v>477</v>
      </c>
      <c r="L9" s="510" t="s">
        <v>403</v>
      </c>
      <c r="M9" s="511" t="s">
        <v>478</v>
      </c>
      <c r="N9" s="753"/>
    </row>
    <row r="10" spans="1:27" ht="12.75" customHeight="1" x14ac:dyDescent="0.25">
      <c r="A10" s="512" t="s">
        <v>219</v>
      </c>
      <c r="B10" s="513"/>
      <c r="C10" s="514" t="s">
        <v>27</v>
      </c>
      <c r="D10" s="235">
        <f t="array" ref="D10">SUM(SUMIFS('Accounting data'!G2:G65536,'Accounting data'!H2:H65536,"1310-1399-C*",'Accounting data'!I2:I65536,{"1*","2*","3*","4*","5*","6*"},'Accounting data'!J2:J65536,"1*",'Accounting data'!K2:K65536,"61*"))+SUM(SUMIFS('Accounting data'!G2:G65536,'Accounting data'!H2:H65536,"1227*",'Accounting data'!I2:I65536,{"1*","2*","3*","4*","5*","6*"},'Accounting data'!J2:J65536,"1*",'Accounting data'!K2:K65536,"61*"))+SUM(SUMIFS('Accounting data'!G2:G65536,'Accounting data'!H2:H65536,"1228*",'Accounting data'!I2:I65536,{"1*","2*","3*","4*","5*","6*"},'Accounting data'!J2:J65536,"1*",'Accounting data'!K2:K65536,"61*"))</f>
        <v>0</v>
      </c>
      <c r="E10" s="235">
        <f t="array" ref="E10">SUM(SUMIFS('Accounting data'!G2:G65536,'Accounting data'!H2:H65536,"1310-1399-C*",'Accounting data'!I2:I65536,{"1*","2*","3*","4*","5*","6*"},'Accounting data'!J2:J65536,"1*",'Accounting data'!K2:K65536,"62*"))+SUM(SUMIFS('Accounting data'!G2:G65536,'Accounting data'!H2:H65536,"1227*",'Accounting data'!I2:I65536,{"1*","2*","3*","4*","5*","6*"},'Accounting data'!J2:J65536,"1*",'Accounting data'!K2:K65536,"62*"))+SUM(SUMIFS('Accounting data'!G2:G65536,'Accounting data'!H2:H65536,"1228*",'Accounting data'!I2:I65536,{"1*","2*","3*","4*","5*","6*"},'Accounting data'!J2:J65536,"1*",'Accounting data'!K2:K65536,"62*"))</f>
        <v>0</v>
      </c>
      <c r="F10" s="235">
        <f t="array" ref="F10">SUM(SUMIFS('Accounting data'!G2:G65536,'Accounting data'!H2:H65536,"1310-1399-C*",'Accounting data'!I2:I65536,{"1*","2*","3*","4*","5*","6*"},'Accounting data'!J2:J65536,"1*",'Accounting data'!K2:K65536,"63*"))+SUM(SUMIFS('Accounting data'!G2:G65536,'Accounting data'!H2:H65536,"1227*",'Accounting data'!I2:I65536,{"1*","2*","3*","4*","5*","6*"},'Accounting data'!J2:J65536,"1*",'Accounting data'!K2:K65536,"63*"))+SUM(SUMIFS('Accounting data'!G2:G65536,'Accounting data'!H2:H65536,"1228*",'Accounting data'!I2:I65536,{"1*","2*","3*","4*","5*","6*"},'Accounting data'!J2:J65536,"1*",'Accounting data'!K2:K65536,"63*"))</f>
        <v>0</v>
      </c>
      <c r="G10" s="235">
        <f t="array" ref="G10">SUM(SUMIFS('Accounting data'!G2:G65536,'Accounting data'!H2:H65536,"1310-1399-C*",'Accounting data'!I2:I65536,{"1*","2*","3*","4*","5*","6*"},'Accounting data'!J2:J65536,"1*",'Accounting data'!K2:K65536,"66*"))+SUM(SUMIFS('Accounting data'!G2:G65536,'Accounting data'!H2:H65536,"1227*",'Accounting data'!I2:I65536,{"1*","2*","3*","4*","5*","6*"},'Accounting data'!J2:J65536,"1*",'Accounting data'!K2:K65536,"66*"))+SUM(SUMIFS('Accounting data'!G2:G65536,'Accounting data'!H2:H65536,"1228*",'Accounting data'!I2:I65536,{"1*","2*","3*","4*","5*","6*"},'Accounting data'!J2:J65536,"1*",'Accounting data'!K2:K65536,"66*"))</f>
        <v>0</v>
      </c>
      <c r="H10" s="235">
        <f t="array" ref="H10">SUM(SUMIFS('Accounting data'!G2:G65536,'Accounting data'!H2:H65536,"1310-1399-C*",'Accounting data'!I2:I65536,{"1*","2*","3*","4*","5*","6*"},'Accounting data'!J2:J65536,"1*",'Accounting data'!K2:K65536,"681*"))+SUM(SUMIFS('Accounting data'!G2:G65536,'Accounting data'!H2:H65536,"1227*",'Accounting data'!I2:I65536,{"1*","2*","3*","4*","5*","6*"},'Accounting data'!J2:J65536,"1*",'Accounting data'!K2:K65536,"681*"))+SUM(SUMIFS('Accounting data'!G2:G65536,'Accounting data'!H2:H65536,"1228*",'Accounting data'!I2:I65536,{"1*","2*","3*","4*","5*","6*"},'Accounting data'!J2:J65536,"1*",'Accounting data'!K2:K65536,"681*"))</f>
        <v>0</v>
      </c>
      <c r="I10" s="515"/>
      <c r="J10" s="235">
        <f t="array" ref="J10">SUM(SUMIFS('Accounting data'!G2:G65536,'Accounting data'!H2:H65536,"1310-1399-C*",'Accounting data'!I2:I65536,{"1*","2*","3*","4*","5*","6*"},'Accounting data'!J2:J65536,"1*",'Accounting data'!K2:K65536,"689*"))+SUM(SUMIFS('Accounting data'!G2:G65536,'Accounting data'!H2:H65536,"1227*",'Accounting data'!I2:I65536,{"1*","2*","3*","4*","5*","6*"},'Accounting data'!J2:J65536,"1*",'Accounting data'!K2:K65536,"689*"))+SUM(SUMIFS('Accounting data'!G2:G65536,'Accounting data'!H2:H65536,"1228*",'Accounting data'!I2:I65536,{"1*","2*","3*","4*","5*","6*"},'Accounting data'!J2:J65536,"1*",'Accounting data'!K2:K65536,"689*"))</f>
        <v>0</v>
      </c>
      <c r="K10" s="235">
        <f t="array" ref="K10">SUM(SUMIFS('Accounting data'!G2:G65536,'Accounting data'!H2:H65536,"1310-1399-C*",'Accounting data'!I2:I65536,{"1*","2*","3*","4*","5*","6*"},'Accounting data'!J2:J65536,"1*",'Accounting data'!K2:K65536,"683*"))+SUM(SUMIFS('Accounting data'!G2:G65536,'Accounting data'!H2:H65536,"1227*",'Accounting data'!I2:I65536,{"1*","2*","3*","4*","5*","6*"},'Accounting data'!J2:J65536,"1*",'Accounting data'!K2:K65536,"683*"))+SUM(SUMIFS('Accounting data'!G2:G65536,'Accounting data'!H2:H65536,"1228*",'Accounting data'!I2:I65536,{"1*","2*","3*","4*","5*","6*"},'Accounting data'!J2:J65536,"1*",'Accounting data'!K2:K65536,"683*"))</f>
        <v>0</v>
      </c>
      <c r="L10" s="235">
        <v>0</v>
      </c>
      <c r="M10" s="235">
        <f t="array" ref="M10">SUM(SUMIFS('Accounting data'!G2:G65536,'Accounting data'!H2:H65536,"1310-1399-C*",'Accounting data'!I2:I65536,{"7*","8*","9*"},'Accounting data'!J2:J65536,"1*",'Accounting data'!K2:K65536,"6*"))-SUM(SUMIFS('Accounting data'!G2:G65536,'Accounting data'!H2:H65536,"1310-1399-C*",'Accounting data'!I2:I65536,{"7*","8*","9*"},'Accounting data'!J2:J65536,"1*",'Accounting data'!K2:K65536,"69*"))+SUM(SUMIFS('Accounting data'!G2:G65536,'Accounting data'!H2:H65536,"1227*",'Accounting data'!I2:I65536,{"7*","8*","9*"},'Accounting data'!J2:J65536,"1*",'Accounting data'!K2:K65536,"6*"))-SUM(SUMIFS('Accounting data'!G2:G65536,'Accounting data'!H2:H65536,"1227*",'Accounting data'!I2:I65536,{"7*","8*","9*"},'Accounting data'!J2:J65536,"1*",'Accounting data'!K2:K65536,"69*"))+SUM(SUMIFS('Accounting data'!G2:G65536,'Accounting data'!H2:H65536,"1228*",'Accounting data'!I2:I65536,{"7*","8*","9*"},'Accounting data'!J2:J65536,"1*",'Accounting data'!K2:K65536,"6*"))-SUM(SUMIFS('Accounting data'!G2:G65536,'Accounting data'!H2:H65536,"1228*",'Accounting data'!I2:I65536,{"7*","8*","9*"},'Accounting data'!J2:J65536,"1*",'Accounting data'!K2:K65536,"69*"))</f>
        <v>0</v>
      </c>
      <c r="N10" s="235">
        <f t="shared" ref="N10:N19" si="0">ROUND(SUM(D10:M10),0)</f>
        <v>0</v>
      </c>
      <c r="O10" s="516"/>
    </row>
    <row r="11" spans="1:27" x14ac:dyDescent="0.25">
      <c r="A11" s="517" t="s">
        <v>479</v>
      </c>
      <c r="B11" s="24"/>
      <c r="C11" s="518" t="s">
        <v>29</v>
      </c>
      <c r="D11" s="235">
        <f t="array" ref="D11">SUM(SUMIFS('Accounting data'!G2:G65536,'Accounting data'!H2:H65536,"1310-1399-C*",'Accounting data'!I2:I65536,{"1*","2*","3*","4*","5*","6*"},'Accounting data'!J2:J65536,"21*",'Accounting data'!K2:K65536,"61*"))+SUM(SUMIFS('Accounting data'!G2:G65536,'Accounting data'!H2:H65536,"1310-1399-C*",'Accounting data'!I2:I65536,{"1*","2*","3*","4*","5*","6*"},'Accounting data'!J2:J65536,"22*",'Accounting data'!K2:K65536,"61*"))+SUM(SUMIFS('Accounting data'!G2:G65536,'Accounting data'!H2:H65536,"1227*",'Accounting data'!I2:I65536,{"1*","2*","3*","4*","5*","6*"},'Accounting data'!J2:J65536,"21*",'Accounting data'!K2:K65536,"61*"))+SUM(SUMIFS('Accounting data'!G2:G65536,'Accounting data'!H2:H65536,"1227*",'Accounting data'!I2:I65536,{"1*","2*","3*","4*","5*","6*"},'Accounting data'!J2:J65536,"22*",'Accounting data'!K2:K65536,"61*"))+SUM(SUMIFS('Accounting data'!G2:G65536,'Accounting data'!H2:H65536,"1228*",'Accounting data'!I2:I65536,{"1*","2*","3*","4*","5*","6*"},'Accounting data'!J2:J65536,"21*",'Accounting data'!K2:K65536,"61*"))+SUM(SUMIFS('Accounting data'!G2:G65536,'Accounting data'!H2:H65536,"1228*",'Accounting data'!I2:I65536,{"1*","2*","3*","4*","5*","6*"},'Accounting data'!J2:J65536,"22*",'Accounting data'!K2:K65536,"61*"))</f>
        <v>0</v>
      </c>
      <c r="E11" s="235">
        <f t="array" ref="E11">SUM(SUMIFS('Accounting data'!G2:G65536,'Accounting data'!H2:H65536,"1310-1399-C*",'Accounting data'!I2:I65536,{"1*","2*","3*","4*","5*","6*"},'Accounting data'!J2:J65536,"21*",'Accounting data'!K2:K65536,"62*"))+SUM(SUMIFS('Accounting data'!G2:G65536,'Accounting data'!H2:H65536,"1310-1399-C*",'Accounting data'!I2:I65536,{"1*","2*","3*","4*","5*","6*"},'Accounting data'!J2:J65536,"22*",'Accounting data'!K2:K65536,"62*"))+SUM(SUMIFS('Accounting data'!G2:G65536,'Accounting data'!H2:H65536,"1227*",'Accounting data'!I2:I65536,{"1*","2*","3*","4*","5*","6*"},'Accounting data'!J2:J65536,"21*",'Accounting data'!K2:K65536,"62*"))+SUM(SUMIFS('Accounting data'!G2:G65536,'Accounting data'!H2:H65536,"1227*",'Accounting data'!I2:I65536,{"1*","2*","3*","4*","5*","6*"},'Accounting data'!J2:J65536,"22*",'Accounting data'!K2:K65536,"62*"))+SUM(SUMIFS('Accounting data'!G2:G65536,'Accounting data'!H2:H65536,"1228*",'Accounting data'!I2:I65536,{"1*","2*","3*","4*","5*","6*"},'Accounting data'!J2:J65536,"21*",'Accounting data'!K2:K65536,"62*"))+SUM(SUMIFS('Accounting data'!G2:G65536,'Accounting data'!H2:H65536,"1228*",'Accounting data'!I2:I65536,{"1*","2*","3*","4*","5*","6*"},'Accounting data'!J2:J65536,"22*",'Accounting data'!K2:K65536,"62*"))</f>
        <v>0</v>
      </c>
      <c r="F11" s="235">
        <f t="array" ref="F11">SUM(SUMIFS('Accounting data'!G2:G65536,'Accounting data'!H2:H65536,"1310-1399-C*",'Accounting data'!I2:I65536,{"1*","2*","3*","4*","5*","6*"},'Accounting data'!J2:J65536,"21*",'Accounting data'!K2:K65536,"63*"))+SUM(SUMIFS('Accounting data'!G2:G65536,'Accounting data'!H2:H65536,"1310-1399-C*",'Accounting data'!I2:I65536,{"1*","2*","3*","4*","5*","6*"},'Accounting data'!J2:J65536,"22*",'Accounting data'!K2:K65536,"63*"))+SUM(SUMIFS('Accounting data'!G2:G65536,'Accounting data'!H2:H65536,"1227*",'Accounting data'!I2:I65536,{"1*","2*","3*","4*","5*","6*"},'Accounting data'!J2:J65536,"21*",'Accounting data'!K2:K65536,"63*"))+SUM(SUMIFS('Accounting data'!G2:G65536,'Accounting data'!H2:H65536,"1227*",'Accounting data'!I2:I65536,{"1*","2*","3*","4*","5*","6*"},'Accounting data'!J2:J65536,"22*",'Accounting data'!K2:K65536,"63*"))+SUM(SUMIFS('Accounting data'!G2:G65536,'Accounting data'!H2:H65536,"1228*",'Accounting data'!I2:I65536,{"1*","2*","3*","4*","5*","6*"},'Accounting data'!J2:J65536,"21*",'Accounting data'!K2:K65536,"63*"))+SUM(SUMIFS('Accounting data'!G2:G65536,'Accounting data'!H2:H65536,"1228*",'Accounting data'!I2:I65536,{"1*","2*","3*","4*","5*","6*"},'Accounting data'!J2:J65536,"22*",'Accounting data'!K2:K65536,"63*"))</f>
        <v>0</v>
      </c>
      <c r="G11" s="235">
        <f t="array" ref="G11">SUM(SUMIFS('Accounting data'!G2:G65536,'Accounting data'!H2:H65536,"1310-1399-C*",'Accounting data'!I2:I65536,{"1*","2*","3*","4*","5*","6*"},'Accounting data'!J2:J65536,"21*",'Accounting data'!K2:K65536,"66*"))+SUM(SUMIFS('Accounting data'!G2:G65536,'Accounting data'!H2:H65536,"1310-1399-C*",'Accounting data'!I2:I65536,{"1*","2*","3*","4*","5*","6*"},'Accounting data'!J2:J65536,"22*",'Accounting data'!K2:K65536,"66*"))+SUM(SUMIFS('Accounting data'!G2:G65536,'Accounting data'!H2:H65536,"1227*",'Accounting data'!I2:I65536,{"1*","2*","3*","4*","5*","6*"},'Accounting data'!J2:J65536,"21*",'Accounting data'!K2:K65536,"66*"))+SUM(SUMIFS('Accounting data'!G2:G65536,'Accounting data'!H2:H65536,"1227*",'Accounting data'!I2:I65536,{"1*","2*","3*","4*","5*","6*"},'Accounting data'!J2:J65536,"22*",'Accounting data'!K2:K65536,"66*"))+SUM(SUMIFS('Accounting data'!G2:G65536,'Accounting data'!H2:H65536,"1228*",'Accounting data'!I2:I65536,{"1*","2*","3*","4*","5*","6*"},'Accounting data'!J2:J65536,"21*",'Accounting data'!K2:K65536,"66*"))+SUM(SUMIFS('Accounting data'!G2:G65536,'Accounting data'!H2:H65536,"1228*",'Accounting data'!I2:I65536,{"1*","2*","3*","4*","5*","6*"},'Accounting data'!J2:J65536,"22*",'Accounting data'!K2:K65536,"66*"))</f>
        <v>0</v>
      </c>
      <c r="H11" s="235">
        <f t="array" ref="H11">SUM(SUMIFS('Accounting data'!G2:G65536,'Accounting data'!H2:H65536,"1310-1399-C*",'Accounting data'!I2:I65536,{"1*","2*","3*","4*","5*","6*"},'Accounting data'!J2:J65536,"21*",'Accounting data'!K2:K65536,"681*"))+SUM(SUMIFS('Accounting data'!G2:G65536,'Accounting data'!H2:H65536,"1310-1399-C*",'Accounting data'!I2:I65536,{"1*","2*","3*","4*","5*","6*"},'Accounting data'!J2:J65536,"22*",'Accounting data'!K2:K65536,"681*"))+SUM(SUMIFS('Accounting data'!G2:G65536,'Accounting data'!H2:H65536,"1227*",'Accounting data'!I2:I65536,{"1*","2*","3*","4*","5*","6*"},'Accounting data'!J2:J65536,"21*",'Accounting data'!K2:K65536,"681*"))+SUM(SUMIFS('Accounting data'!G2:G65536,'Accounting data'!H2:H65536,"1227*",'Accounting data'!I2:I65536,{"1*","2*","3*","4*","5*","6*"},'Accounting data'!J2:J65536,"22*",'Accounting data'!K2:K65536,"681*"))+SUM(SUMIFS('Accounting data'!G2:G65536,'Accounting data'!H2:H65536,"1228*",'Accounting data'!I2:I65536,{"1*","2*","3*","4*","5*","6*"},'Accounting data'!J2:J65536,"21*",'Accounting data'!K2:K65536,"681*"))+SUM(SUMIFS('Accounting data'!G2:G65536,'Accounting data'!H2:H65536,"1228*",'Accounting data'!I2:I65536,{"1*","2*","3*","4*","5*","6*"},'Accounting data'!J2:J65536,"22*",'Accounting data'!K2:K65536,"681*"))</f>
        <v>0</v>
      </c>
      <c r="I11" s="515"/>
      <c r="J11" s="235">
        <f t="array" ref="J11">SUM(SUMIFS('Accounting data'!G2:G65536,'Accounting data'!H2:H65536,"1310-1399-C*",'Accounting data'!I2:I65536,{"1*","2*","3*","4*","5*","6*"},'Accounting data'!J2:J65536,"21*",'Accounting data'!K2:K65536,"689*"))+SUM(SUMIFS('Accounting data'!G2:G65536,'Accounting data'!H2:H65536,"1310-1399-C*",'Accounting data'!I2:I65536,{"1*","2*","3*","4*","5*","6*"},'Accounting data'!J2:J65536,"22*",'Accounting data'!K2:K65536,"689*"))+SUM(SUMIFS('Accounting data'!G2:G65536,'Accounting data'!H2:H65536,"1227*",'Accounting data'!I2:I65536,{"1*","2*","3*","4*","5*","6*"},'Accounting data'!J2:J65536,"21*",'Accounting data'!K2:K65536,"689*"))+SUM(SUMIFS('Accounting data'!G2:G65536,'Accounting data'!H2:H65536,"1227*",'Accounting data'!I2:I65536,{"1*","2*","3*","4*","5*","6*"},'Accounting data'!J2:J65536,"22*",'Accounting data'!K2:K65536,"689*"))+SUM(SUMIFS('Accounting data'!G2:G65536,'Accounting data'!H2:H65536,"1228*",'Accounting data'!I2:I65536,{"1*","2*","3*","4*","5*","6*"},'Accounting data'!J2:J65536,"21*",'Accounting data'!K2:K65536,"689*"))+SUM(SUMIFS('Accounting data'!G2:G65536,'Accounting data'!H2:H65536,"1228*",'Accounting data'!I2:I65536,{"1*","2*","3*","4*","5*","6*"},'Accounting data'!J2:J65536,"22*",'Accounting data'!K2:K65536,"689*"))</f>
        <v>0</v>
      </c>
      <c r="K11" s="235">
        <f t="array" ref="K11">SUM(SUMIFS('Accounting data'!G2:G65536,'Accounting data'!H2:H65536,"1310-1399-C*",'Accounting data'!I2:I65536,{"1*","2*","3*","4*","5*","6*"},'Accounting data'!J2:J65536,"21*",'Accounting data'!K2:K65536,"683*"))+SUM(SUMIFS('Accounting data'!G2:G65536,'Accounting data'!H2:H65536,"1310-1399-C*",'Accounting data'!I2:I65536,{"1*","2*","3*","4*","5*","6*"},'Accounting data'!J2:J65536,"22*",'Accounting data'!K2:K65536,"683*"))+SUM(SUMIFS('Accounting data'!G2:G65536,'Accounting data'!H2:H65536,"1227*",'Accounting data'!I2:I65536,{"1*","2*","3*","4*","5*","6*"},'Accounting data'!J2:J65536,"21*",'Accounting data'!K2:K65536,"683*"))+SUM(SUMIFS('Accounting data'!G2:G65536,'Accounting data'!H2:H65536,"1227*",'Accounting data'!I2:I65536,{"1*","2*","3*","4*","5*","6*"},'Accounting data'!J2:J65536,"22*",'Accounting data'!K2:K65536,"683*"))+SUM(SUMIFS('Accounting data'!G2:G65536,'Accounting data'!H2:H65536,"1228*",'Accounting data'!I2:I65536,{"1*","2*","3*","4*","5*","6*"},'Accounting data'!J2:J65536,"21*",'Accounting data'!K2:K65536,"683*"))+SUM(SUMIFS('Accounting data'!G2:G65536,'Accounting data'!H2:H65536,"1228*",'Accounting data'!I2:I65536,{"1*","2*","3*","4*","5*","6*"},'Accounting data'!J2:J65536,"22*",'Accounting data'!K2:K65536,"683*"))</f>
        <v>0</v>
      </c>
      <c r="L11" s="235">
        <v>0</v>
      </c>
      <c r="M11" s="235">
        <f t="array" ref="M11">(SUM(SUMIFS('Accounting data'!G2:G65536,'Accounting data'!H2:H65536,"1310-1399-C*",'Accounting data'!I2:I65536,{"7*","8*","9*"},'Accounting data'!J2:J65536,"21*",'Accounting data'!K2:K65536,"6*"))+SUM(SUMIFS('Accounting data'!G2:G65536,'Accounting data'!H2:H65536,"1310-1399-C*",'Accounting data'!I2:I65536,{"7*","8*","9*"},'Accounting data'!J2:J65536,"22*",'Accounting data'!K2:K65536,"6*")))-(SUM(SUMIFS('Accounting data'!G2:G65536,'Accounting data'!H2:H65536,"1310-1399-C*",'Accounting data'!I2:I65536,{"7*","8*","9*"},'Accounting data'!J2:J65536,"21*",'Accounting data'!K2:K65536,"69*"))+SUM(SUMIFS('Accounting data'!G2:G65536,'Accounting data'!H2:H65536,"1310-1399-C*",'Accounting data'!I2:I65536,{"7*","8*","9*"},'Accounting data'!J2:J65536,"22*",'Accounting data'!K2:K65536,"69*")))+(SUM(SUMIFS('Accounting data'!G2:G65536,'Accounting data'!H2:H65536,"1227*",'Accounting data'!I2:I65536,{"7*","8*","9*"},'Accounting data'!J2:J65536,"21*",'Accounting data'!K2:K65536,"6*"))+SUM(SUMIFS('Accounting data'!G2:G65536,'Accounting data'!H2:H65536,"1227*",'Accounting data'!I2:I65536,{"7*","8*","9*"},'Accounting data'!J2:J65536,"22*",'Accounting data'!K2:K65536,"6*")))-(SUM(SUMIFS('Accounting data'!G2:G65536,'Accounting data'!H2:H65536,"1227*",'Accounting data'!I2:I65536,{"7*","8*","9*"},'Accounting data'!J2:J65536,"21*",'Accounting data'!K2:K65536,"69*"))+SUM(SUMIFS('Accounting data'!G2:G65536,'Accounting data'!H2:H65536,"1227*",'Accounting data'!I2:I65536,{"7*","8*","9*"},'Accounting data'!J2:J65536,"22*",'Accounting data'!K2:K65536,"69*")))+(SUM(SUMIFS('Accounting data'!G2:G65536,'Accounting data'!H2:H65536,"1228*",'Accounting data'!I2:I65536,{"7*","8*","9*"},'Accounting data'!J2:J65536,"21*",'Accounting data'!K2:K65536,"6*"))+SUM(SUMIFS('Accounting data'!G2:G65536,'Accounting data'!H2:H65536,"1228*",'Accounting data'!I2:I65536,{"7*","8*","9*"},'Accounting data'!J2:J65536,"22*",'Accounting data'!K2:K65536,"6*")))-(SUM(SUMIFS('Accounting data'!G2:G65536,'Accounting data'!H2:H65536,"1228*",'Accounting data'!I2:I65536,{"7*","8*","9*"},'Accounting data'!J2:J65536,"21*",'Accounting data'!K2:K65536,"69*"))+SUM(SUMIFS('Accounting data'!G2:G65536,'Accounting data'!H2:H65536,"1228*",'Accounting data'!I2:I65536,{"7*","8*","9*"},'Accounting data'!J2:J65536,"22*",'Accounting data'!K2:K65536,"69*")))</f>
        <v>0</v>
      </c>
      <c r="N11" s="235">
        <f t="shared" si="0"/>
        <v>0</v>
      </c>
      <c r="O11" s="516"/>
    </row>
    <row r="12" spans="1:27" x14ac:dyDescent="0.25">
      <c r="A12" s="517" t="s">
        <v>480</v>
      </c>
      <c r="B12" s="24"/>
      <c r="C12" s="518" t="s">
        <v>31</v>
      </c>
      <c r="D12" s="235">
        <f t="array" ref="D12">SUM(SUMIFS('Accounting data'!G2:G65536,'Accounting data'!H2:H65536,"1310-1399-C*",'Accounting data'!I2:I65536,{"1*","2*","3*","4*","5*","6*"},'Accounting data'!J2:J65536,"23*",'Accounting data'!K2:K65536,"61*"))+SUM(SUMIFS('Accounting data'!G2:G65536,'Accounting data'!H2:H65536,"1310-1399-C*",'Accounting data'!I2:I65536,{"1*","2*","3*","4*","5*","6*"},'Accounting data'!J2:J65536,"25*",'Accounting data'!K2:K65536,"61*"))+SUM(SUMIFS('Accounting data'!G2:G65536,'Accounting data'!H2:H65536,"1310-1399-C*",'Accounting data'!I2:I65536,{"1*","2*","3*","4*","5*","6*"},'Accounting data'!J2:J65536,"29*",'Accounting data'!K2:K65536,"61*"))+SUM(SUMIFS('Accounting data'!G2:G65536,'Accounting data'!H2:H65536,"1227*",'Accounting data'!I2:I65536,{"1*","2*","3*","4*","5*","6*"},'Accounting data'!J2:J65536,"23*",'Accounting data'!K2:K65536,"61*"))+SUM(SUMIFS('Accounting data'!G2:G65536,'Accounting data'!H2:H65536,"1227*",'Accounting data'!I2:I65536,{"1*","2*","3*","4*","5*","6*"},'Accounting data'!J2:J65536,"25*",'Accounting data'!K2:K65536,"61*"))+SUM(SUMIFS('Accounting data'!G2:G65536,'Accounting data'!H2:H65536,"1227*",'Accounting data'!I2:I65536,{"1*","2*","3*","4*","5*","6*"},'Accounting data'!J2:J65536,"29*",'Accounting data'!K2:K65536,"61*"))+SUM(SUMIFS('Accounting data'!G2:G65536,'Accounting data'!H2:H65536,"1228*",'Accounting data'!I2:I65536,{"1*","2*","3*","4*","5*","6*"},'Accounting data'!J2:J65536,"23*",'Accounting data'!K2:K65536,"61*"))+SUM(SUMIFS('Accounting data'!G2:G65536,'Accounting data'!H2:H65536,"1228*",'Accounting data'!I2:I65536,{"1*","2*","3*","4*","5*","6*"},'Accounting data'!J2:J65536,"25*",'Accounting data'!K2:K65536,"61*"))+SUM(SUMIFS('Accounting data'!G2:G65536,'Accounting data'!H2:H65536,"1228*",'Accounting data'!I2:I65536,{"1*","2*","3*","4*","5*","6*"},'Accounting data'!J2:J65536,"29*",'Accounting data'!K2:K65536,"61*"))</f>
        <v>0</v>
      </c>
      <c r="E12" s="235">
        <f t="array" ref="E12">SUM(SUMIFS('Accounting data'!G2:G65536,'Accounting data'!H2:H65536,"1310-1399-C*",'Accounting data'!I2:I65536,{"1*","2*","3*","4*","5*","6*"},'Accounting data'!J2:J65536,"23*",'Accounting data'!K2:K65536,"62*"))+SUM(SUMIFS('Accounting data'!G2:G65536,'Accounting data'!H2:H65536,"1310-1399-C*",'Accounting data'!I2:I65536,{"1*","2*","3*","4*","5*","6*"},'Accounting data'!J2:J65536,"25*",'Accounting data'!K2:K65536,"62*"))+SUM(SUMIFS('Accounting data'!G2:G65536,'Accounting data'!H2:H65536,"1310-1399-C*",'Accounting data'!I2:I65536,{"1*","2*","3*","4*","5*","6*"},'Accounting data'!J2:J65536,"29*",'Accounting data'!K2:K65536,"62*"))+SUM(SUMIFS('Accounting data'!G2:G65536,'Accounting data'!H2:H65536,"1227*",'Accounting data'!I2:I65536,{"1*","2*","3*","4*","5*","6*"},'Accounting data'!J2:J65536,"23*",'Accounting data'!K2:K65536,"62*"))+SUM(SUMIFS('Accounting data'!G2:G65536,'Accounting data'!H2:H65536,"1227*",'Accounting data'!I2:I65536,{"1*","2*","3*","4*","5*","6*"},'Accounting data'!J2:J65536,"25*",'Accounting data'!K2:K65536,"62*"))+SUM(SUMIFS('Accounting data'!G2:G65536,'Accounting data'!H2:H65536,"1227*",'Accounting data'!I2:I65536,{"1*","2*","3*","4*","5*","6*"},'Accounting data'!J2:J65536,"29*",'Accounting data'!K2:K65536,"62*"))+SUM(SUMIFS('Accounting data'!G2:G65536,'Accounting data'!H2:H65536,"1228*",'Accounting data'!I2:I65536,{"1*","2*","3*","4*","5*","6*"},'Accounting data'!J2:J65536,"23*",'Accounting data'!K2:K65536,"62*"))+SUM(SUMIFS('Accounting data'!G2:G65536,'Accounting data'!H2:H65536,"1228*",'Accounting data'!I2:I65536,{"1*","2*","3*","4*","5*","6*"},'Accounting data'!J2:J65536,"25*",'Accounting data'!K2:K65536,"62*"))+SUM(SUMIFS('Accounting data'!G2:G65536,'Accounting data'!H2:H65536,"1228*",'Accounting data'!I2:I65536,{"1*","2*","3*","4*","5*","6*"},'Accounting data'!J2:J65536,"29*",'Accounting data'!K2:K65536,"62*"))</f>
        <v>0</v>
      </c>
      <c r="F12" s="235">
        <f t="array" ref="F12">SUM(SUMIFS('Accounting data'!G2:G65536,'Accounting data'!H2:H65536,"1310-1399-C*",'Accounting data'!I2:I65536,{"1*","2*","3*","4*","5*","6*"},'Accounting data'!J2:J65536,"23*",'Accounting data'!K2:K65536,"63*"))+SUM(SUMIFS('Accounting data'!G2:G65536,'Accounting data'!H2:H65536,"1310-1399-C*",'Accounting data'!I2:I65536,{"1*","2*","3*","4*","5*","6*"},'Accounting data'!J2:J65536,"25*",'Accounting data'!K2:K65536,"63*"))+SUM(SUMIFS('Accounting data'!G2:G65536,'Accounting data'!H2:H65536,"1310-1399-C*",'Accounting data'!I2:I65536,{"1*","2*","3*","4*","5*","6*"},'Accounting data'!J2:J65536,"29*",'Accounting data'!K2:K65536,"63*"))+SUM(SUMIFS('Accounting data'!G2:G65536,'Accounting data'!H2:H65536,"1227*",'Accounting data'!I2:I65536,{"1*","2*","3*","4*","5*","6*"},'Accounting data'!J2:J65536,"23*",'Accounting data'!K2:K65536,"63*"))+SUM(SUMIFS('Accounting data'!G2:G65536,'Accounting data'!H2:H65536,"1227*",'Accounting data'!I2:I65536,{"1*","2*","3*","4*","5*","6*"},'Accounting data'!J2:J65536,"25*",'Accounting data'!K2:K65536,"63*"))+SUM(SUMIFS('Accounting data'!G2:G65536,'Accounting data'!H2:H65536,"1227*",'Accounting data'!I2:I65536,{"1*","2*","3*","4*","5*","6*"},'Accounting data'!J2:J65536,"29*",'Accounting data'!K2:K65536,"63*"))+SUM(SUMIFS('Accounting data'!G2:G65536,'Accounting data'!H2:H65536,"1228*",'Accounting data'!I2:I65536,{"1*","2*","3*","4*","5*","6*"},'Accounting data'!J2:J65536,"23*",'Accounting data'!K2:K65536,"63*"))+SUM(SUMIFS('Accounting data'!G2:G65536,'Accounting data'!H2:H65536,"1228*",'Accounting data'!I2:I65536,{"1*","2*","3*","4*","5*","6*"},'Accounting data'!J2:J65536,"25*",'Accounting data'!K2:K65536,"63*"))+SUM(SUMIFS('Accounting data'!G2:G65536,'Accounting data'!H2:H65536,"1228*",'Accounting data'!I2:I65536,{"1*","2*","3*","4*","5*","6*"},'Accounting data'!J2:J65536,"29*",'Accounting data'!K2:K65536,"63*"))</f>
        <v>0</v>
      </c>
      <c r="G12" s="235">
        <f t="array" ref="G12">SUM(SUMIFS('Accounting data'!G2:G65536,'Accounting data'!H2:H65536,"1310-1399-C*",'Accounting data'!I2:I65536,{"1*","2*","3*","4*","5*","6*"},'Accounting data'!J2:J65536,"23*",'Accounting data'!K2:K65536,"66*"))+SUM(SUMIFS('Accounting data'!G2:G65536,'Accounting data'!H2:H65536,"1310-1399-C*",'Accounting data'!I2:I65536,{"1*","2*","3*","4*","5*","6*"},'Accounting data'!J2:J65536,"25*",'Accounting data'!K2:K65536,"66*"))+SUM(SUMIFS('Accounting data'!G2:G65536,'Accounting data'!H2:H65536,"1310-1399-C*",'Accounting data'!I2:I65536,{"1*","2*","3*","4*","5*","6*"},'Accounting data'!J2:J65536,"29*",'Accounting data'!K2:K65536,"66*"))+SUM(SUMIFS('Accounting data'!G2:G65536,'Accounting data'!H2:H65536,"1227*",'Accounting data'!I2:I65536,{"1*","2*","3*","4*","5*","6*"},'Accounting data'!J2:J65536,"23*",'Accounting data'!K2:K65536,"66*"))+SUM(SUMIFS('Accounting data'!G2:G65536,'Accounting data'!H2:H65536,"1227*",'Accounting data'!I2:I65536,{"1*","2*","3*","4*","5*","6*"},'Accounting data'!J2:J65536,"25*",'Accounting data'!K2:K65536,"66*"))+SUM(SUMIFS('Accounting data'!G2:G65536,'Accounting data'!H2:H65536,"1227*",'Accounting data'!I2:I65536,{"1*","2*","3*","4*","5*","6*"},'Accounting data'!J2:J65536,"29*",'Accounting data'!K2:K65536,"66*"))+SUM(SUMIFS('Accounting data'!G2:G65536,'Accounting data'!H2:H65536,"1228*",'Accounting data'!I2:I65536,{"1*","2*","3*","4*","5*","6*"},'Accounting data'!J2:J65536,"23*",'Accounting data'!K2:K65536,"66*"))+SUM(SUMIFS('Accounting data'!G2:G65536,'Accounting data'!H2:H65536,"1228*",'Accounting data'!I2:I65536,{"1*","2*","3*","4*","5*","6*"},'Accounting data'!J2:J65536,"25*",'Accounting data'!K2:K65536,"66*"))+SUM(SUMIFS('Accounting data'!G2:G65536,'Accounting data'!H2:H65536,"1228*",'Accounting data'!I2:I65536,{"1*","2*","3*","4*","5*","6*"},'Accounting data'!J2:J65536,"29*",'Accounting data'!K2:K65536,"66*"))</f>
        <v>0</v>
      </c>
      <c r="H12" s="235">
        <f t="array" ref="H12">SUM(SUMIFS('Accounting data'!G2:G65536,'Accounting data'!H2:H65536,"1310-1399-C*",'Accounting data'!I2:I65536,{"1*","2*","3*","4*","5*","6*"},'Accounting data'!J2:J65536,"23*",'Accounting data'!K2:K65536,"681*"))+SUM(SUMIFS('Accounting data'!G2:G65536,'Accounting data'!H2:H65536,"1310-1399-C*",'Accounting data'!I2:I65536,{"1*","2*","3*","4*","5*","6*"},'Accounting data'!J2:J65536,"25*",'Accounting data'!K2:K65536,"681*"))+SUM(SUMIFS('Accounting data'!G2:G65536,'Accounting data'!H2:H65536,"1310-1399-C*",'Accounting data'!I2:I65536,{"1*","2*","3*","4*","5*","6*"},'Accounting data'!J2:J65536,"29*",'Accounting data'!K2:K65536,"681*"))+SUM(SUMIFS('Accounting data'!G2:G65536,'Accounting data'!H2:H65536,"1227*",'Accounting data'!I2:I65536,{"1*","2*","3*","4*","5*","6*"},'Accounting data'!J2:J65536,"23*",'Accounting data'!K2:K65536,"681*"))+SUM(SUMIFS('Accounting data'!G2:G65536,'Accounting data'!H2:H65536,"1227*",'Accounting data'!I2:I65536,{"1*","2*","3*","4*","5*","6*"},'Accounting data'!J2:J65536,"25*",'Accounting data'!K2:K65536,"681*"))+SUM(SUMIFS('Accounting data'!G2:G65536,'Accounting data'!H2:H65536,"1227*",'Accounting data'!I2:I65536,{"1*","2*","3*","4*","5*","6*"},'Accounting data'!J2:J65536,"29*",'Accounting data'!K2:K65536,"681*"))+SUM(SUMIFS('Accounting data'!G2:G65536,'Accounting data'!H2:H65536,"1228*",'Accounting data'!I2:I65536,{"1*","2*","3*","4*","5*","6*"},'Accounting data'!J2:J65536,"23*",'Accounting data'!K2:K65536,"681*"))+SUM(SUMIFS('Accounting data'!G2:G65536,'Accounting data'!H2:H65536,"1228*",'Accounting data'!I2:I65536,{"1*","2*","3*","4*","5*","6*"},'Accounting data'!J2:J65536,"25*",'Accounting data'!K2:K65536,"681*"))+SUM(SUMIFS('Accounting data'!G2:G65536,'Accounting data'!H2:H65536,"1228*",'Accounting data'!I2:I65536,{"1*","2*","3*","4*","5*","6*"},'Accounting data'!J2:J65536,"29*",'Accounting data'!K2:K65536,"681*"))</f>
        <v>0</v>
      </c>
      <c r="I12" s="235">
        <f t="array" ref="I12">SUM(SUMIFS('Accounting data'!G2:G65536,'Accounting data'!H2:H65536,"1310-1399-C*",'Accounting data'!I2:I65536,{"1*","2*","3*","4*","5*","6*"},'Accounting data'!J2:J65536,"23*",'Accounting data'!K2:K65536,"682*"))+SUM(SUMIFS('Accounting data'!G2:G65536,'Accounting data'!H2:H65536,"1310-1399-C*",'Accounting data'!I2:I65536,{"1*","2*","3*","4*","5*","6*"},'Accounting data'!J2:J65536,"25*",'Accounting data'!K2:K65536,"682*"))+SUM(SUMIFS('Accounting data'!G2:G65536,'Accounting data'!H2:H65536,"1310-1399-C*",'Accounting data'!I2:I65536,{"1*","2*","3*","4*","5*","6*"},'Accounting data'!J2:J65536,"29*",'Accounting data'!K2:K65536,"682*"))+SUM(SUMIFS('Accounting data'!G2:G65536,'Accounting data'!H2:H65536,"1227*",'Accounting data'!I2:I65536,{"1*","2*","3*","4*","5*","6*"},'Accounting data'!J2:J65536,"23*",'Accounting data'!K2:K65536,"682*"))+SUM(SUMIFS('Accounting data'!G2:G65536,'Accounting data'!H2:H65536,"1227*",'Accounting data'!I2:I65536,{"1*","2*","3*","4*","5*","6*"},'Accounting data'!J2:J65536,"25*",'Accounting data'!K2:K65536,"682*"))+SUM(SUMIFS('Accounting data'!G2:G65536,'Accounting data'!H2:H65536,"1227*",'Accounting data'!I2:I65536,{"1*","2*","3*","4*","5*","6*"},'Accounting data'!J2:J65536,"29*",'Accounting data'!K2:K65536,"682*"))+SUM(SUMIFS('Accounting data'!G2:G65536,'Accounting data'!H2:H65536,"1228*",'Accounting data'!I2:I65536,{"1*","2*","3*","4*","5*","6*"},'Accounting data'!J2:J65536,"23*",'Accounting data'!K2:K65536,"682*"))+SUM(SUMIFS('Accounting data'!G2:G65536,'Accounting data'!H2:H65536,"1228*",'Accounting data'!I2:I65536,{"1*","2*","3*","4*","5*","6*"},'Accounting data'!J2:J65536,"25*",'Accounting data'!K2:K65536,"682*"))+SUM(SUMIFS('Accounting data'!G2:G65536,'Accounting data'!H2:H65536,"1228*",'Accounting data'!I2:I65536,{"1*","2*","3*","4*","5*","6*"},'Accounting data'!J2:J65536,"29*",'Accounting data'!K2:K65536,"682*"))</f>
        <v>0</v>
      </c>
      <c r="J12" s="235">
        <f t="array" ref="J12">SUM(SUMIFS('Accounting data'!G2:G65536,'Accounting data'!H2:H65536,"1310-1399-C*",'Accounting data'!I2:I65536,{"1*","2*","3*","4*","5*","6*"},'Accounting data'!J2:J65536,"23*",'Accounting data'!K2:K65536,"689*"))+SUM(SUMIFS('Accounting data'!G2:G65536,'Accounting data'!H2:H65536,"1310-1399-C*",'Accounting data'!I2:I65536,{"1*","2*","3*","4*","5*","6*"},'Accounting data'!J2:J65536,"25*",'Accounting data'!K2:K65536,"689*"))+SUM(SUMIFS('Accounting data'!G2:G65536,'Accounting data'!H2:H65536,"1310-1399-C*",'Accounting data'!I2:I65536,{"1*","2*","3*","4*","5*","6*"},'Accounting data'!J2:J65536,"29*",'Accounting data'!K2:K65536,"689*"))+SUM(SUMIFS('Accounting data'!G2:G65536,'Accounting data'!H2:H65536,"1227*",'Accounting data'!I2:I65536,{"1*","2*","3*","4*","5*","6*"},'Accounting data'!J2:J65536,"23*",'Accounting data'!K2:K65536,"689*"))+SUM(SUMIFS('Accounting data'!G2:G65536,'Accounting data'!H2:H65536,"1227*",'Accounting data'!I2:I65536,{"1*","2*","3*","4*","5*","6*"},'Accounting data'!J2:J65536,"25*",'Accounting data'!K2:K65536,"689*"))+SUM(SUMIFS('Accounting data'!G2:G65536,'Accounting data'!H2:H65536,"1227*",'Accounting data'!I2:I65536,{"1*","2*","3*","4*","5*","6*"},'Accounting data'!J2:J65536,"29*",'Accounting data'!K2:K65536,"689*"))+SUM(SUMIFS('Accounting data'!G2:G65536,'Accounting data'!H2:H65536,"1228*",'Accounting data'!I2:I65536,{"1*","2*","3*","4*","5*","6*"},'Accounting data'!J2:J65536,"23*",'Accounting data'!K2:K65536,"689*"))+SUM(SUMIFS('Accounting data'!G2:G65536,'Accounting data'!H2:H65536,"1228*",'Accounting data'!I2:I65536,{"1*","2*","3*","4*","5*","6*"},'Accounting data'!J2:J65536,"25*",'Accounting data'!K2:K65536,"689*"))+SUM(SUMIFS('Accounting data'!G2:G65536,'Accounting data'!H2:H65536,"1228*",'Accounting data'!I2:I65536,{"1*","2*","3*","4*","5*","6*"},'Accounting data'!J2:J65536,"29*",'Accounting data'!K2:K65536,"689*"))</f>
        <v>0</v>
      </c>
      <c r="K12" s="235">
        <f t="array" ref="K12">SUM(SUMIFS('Accounting data'!G2:G65536,'Accounting data'!H2:H65536,"1310-1399-C*",'Accounting data'!I2:I65536,{"1*","2*","3*","4*","5*","6*"},'Accounting data'!J2:J65536,"23*",'Accounting data'!K2:K65536,"683*"))+SUM(SUMIFS('Accounting data'!G2:G65536,'Accounting data'!H2:H65536,"1310-1399-C*",'Accounting data'!I2:I65536,{"1*","2*","3*","4*","5*","6*"},'Accounting data'!J2:J65536,"25*",'Accounting data'!K2:K65536,"683*"))+SUM(SUMIFS('Accounting data'!G2:G65536,'Accounting data'!H2:H65536,"1310-1399-C*",'Accounting data'!I2:I65536,{"1*","2*","3*","4*","5*","6*"},'Accounting data'!J2:J65536,"29*",'Accounting data'!K2:K65536,"683*"))+SUM(SUMIFS('Accounting data'!G2:G65536,'Accounting data'!H2:H65536,"1227*",'Accounting data'!I2:I65536,{"1*","2*","3*","4*","5*","6*"},'Accounting data'!J2:J65536,"23*",'Accounting data'!K2:K65536,"683*"))+SUM(SUMIFS('Accounting data'!G2:G65536,'Accounting data'!H2:H65536,"1227*",'Accounting data'!I2:I65536,{"1*","2*","3*","4*","5*","6*"},'Accounting data'!J2:J65536,"25*",'Accounting data'!K2:K65536,"683*"))+SUM(SUMIFS('Accounting data'!G2:G65536,'Accounting data'!H2:H65536,"1227*",'Accounting data'!I2:I65536,{"1*","2*","3*","4*","5*","6*"},'Accounting data'!J2:J65536,"29*",'Accounting data'!K2:K65536,"683*"))+SUM(SUMIFS('Accounting data'!G2:G65536,'Accounting data'!H2:H65536,"1228*",'Accounting data'!I2:I65536,{"1*","2*","3*","4*","5*","6*"},'Accounting data'!J2:J65536,"23*",'Accounting data'!K2:K65536,"683*"))+SUM(SUMIFS('Accounting data'!G2:G65536,'Accounting data'!H2:H65536,"1228*",'Accounting data'!I2:I65536,{"1*","2*","3*","4*","5*","6*"},'Accounting data'!J2:J65536,"25*",'Accounting data'!K2:K65536,"683*"))+SUM(SUMIFS('Accounting data'!G2:G65536,'Accounting data'!H2:H65536,"1228*",'Accounting data'!I2:I65536,{"1*","2*","3*","4*","5*","6*"},'Accounting data'!J2:J65536,"29*",'Accounting data'!K2:K65536,"683*"))</f>
        <v>0</v>
      </c>
      <c r="L12" s="235">
        <v>0</v>
      </c>
      <c r="M12" s="519">
        <f t="array" ref="M12">(SUM(SUMIFS('Accounting data'!G2:G65536,'Accounting data'!H2:H65536,"1310-1399-C*",'Accounting data'!I2:I65536,{"7*","8*","9*"},'Accounting data'!J2:J65536,"23*",'Accounting data'!K2:K65536,"6*"))+SUM(SUMIFS('Accounting data'!G2:G65536,'Accounting data'!H2:H65536,"1310-1399-C*",'Accounting data'!I2:I65536,{"7*","8*","9*"},'Accounting data'!J2:J65536,"25*",'Accounting data'!K2:K65536,"6*"))+SUM(SUMIFS('Accounting data'!G2:G65536,'Accounting data'!H2:H65536,"1310-1399-C*",'Accounting data'!I2:I65536,{"7*","8*","9*"},'Accounting data'!J2:J65536,"29*",'Accounting data'!K2:K65536,"6*")))-(SUM(SUMIFS('Accounting data'!G2:G65536,'Accounting data'!H2:H65536,"1310-1399-C*",'Accounting data'!I2:I65536,{"7*","8*","9*"},'Accounting data'!J2:J65536,"23*",'Accounting data'!K2:K65536,"69*"))+SUM(SUMIFS('Accounting data'!G2:G65536,'Accounting data'!H2:H65536,"1310-1399-C*",'Accounting data'!I2:I65536,{"7*","8*","9*"},'Accounting data'!J2:J65536,"25*",'Accounting data'!K2:K65536,"69*"))+SUM(SUMIFS('Accounting data'!G2:G65536,'Accounting data'!H2:H65536,"1310-1399-C*",'Accounting data'!I2:I65536,{"7*","8*","9*"},'Accounting data'!J2:J65536,"29*",'Accounting data'!K2:K65536,"69*")))+(SUM(SUMIFS('Accounting data'!G2:G65536,'Accounting data'!H2:H65536,"1227*",'Accounting data'!I2:I65536,{"7*","8*","9*"},'Accounting data'!J2:J65536,"23*",'Accounting data'!K2:K65536,"6*"))+SUM(SUMIFS('Accounting data'!G2:G65536,'Accounting data'!H2:H65536,"1227*",'Accounting data'!I2:I65536,{"7*","8*","9*"},'Accounting data'!J2:J65536,"25*",'Accounting data'!K2:K65536,"6*"))+SUM(SUMIFS('Accounting data'!G2:G65536,'Accounting data'!H2:H65536,"1227*",'Accounting data'!I2:I65536,{"7*","8*","9*"},'Accounting data'!J2:J65536,"29*",'Accounting data'!K2:K65536,"6*")))-(SUM(SUMIFS('Accounting data'!G2:G65536,'Accounting data'!H2:H65536,"1227*",'Accounting data'!I2:I65536,{"7*","8*","9*"},'Accounting data'!J2:J65536,"23*",'Accounting data'!K2:K65536,"69*"))+SUM(SUMIFS('Accounting data'!G2:G65536,'Accounting data'!H2:H65536,"1227*",'Accounting data'!I2:I65536,{"7*","8*","9*"},'Accounting data'!J2:J65536,"25*",'Accounting data'!K2:K65536,"69*"))+SUM(SUMIFS('Accounting data'!G2:G65536,'Accounting data'!H2:H65536,"1227*",'Accounting data'!I2:I65536,{"7*","8*","9*"},'Accounting data'!J2:J65536,"29*",'Accounting data'!K2:K65536,"69*")))+AA12</f>
        <v>0</v>
      </c>
      <c r="N12" s="235">
        <f t="shared" si="0"/>
        <v>0</v>
      </c>
      <c r="O12" s="516"/>
      <c r="AA12" s="520">
        <f t="array" ref="AA12">(SUM(SUMIFS('Accounting data'!G2:G65536,'Accounting data'!H2:H65536,"1228*",'Accounting data'!I2:I65536,{"7*","8*","9*"},'Accounting data'!J2:J65536,"23*",'Accounting data'!K2:K65536,"6*"))+SUM(SUMIFS('Accounting data'!G2:G65536,'Accounting data'!H2:H65536,"1228*",'Accounting data'!I2:I65536,{"7*","8*","9*"},'Accounting data'!J2:J65536,"25*",'Accounting data'!K2:K65536,"6*"))+SUM(SUMIFS('Accounting data'!G2:G65536,'Accounting data'!H2:H65536,"1228*",'Accounting data'!I2:I65536,{"7*","8*","9*"},'Accounting data'!J2:J65536,"29*",'Accounting data'!K2:K65536,"6*")))-(SUM(SUMIFS('Accounting data'!G2:G65536,'Accounting data'!H2:H65536,"1228*",'Accounting data'!I2:I65536,{"7*","8*","9*"},'Accounting data'!J2:J65536,"23*",'Accounting data'!K2:K65536,"69*"))+SUM(SUMIFS('Accounting data'!G2:G65536,'Accounting data'!H2:H65536,"1228*",'Accounting data'!I2:I65536,{"7*","8*","9*"},'Accounting data'!J2:J65536,"25*",'Accounting data'!K2:K65536,"69*"))+SUM(SUMIFS('Accounting data'!G2:G65536,'Accounting data'!H2:H65536,"1228*",'Accounting data'!I2:I65536,{"7*","8*","9*"},'Accounting data'!J2:J65536,"29*",'Accounting data'!K2:K65536,"69*")))</f>
        <v>0</v>
      </c>
    </row>
    <row r="13" spans="1:27" x14ac:dyDescent="0.25">
      <c r="A13" s="521" t="s">
        <v>224</v>
      </c>
      <c r="B13" s="522"/>
      <c r="C13" s="523" t="s">
        <v>34</v>
      </c>
      <c r="D13" s="235">
        <f t="array" ref="D13">SUM(SUMIFS('Accounting data'!G2:G65536,'Accounting data'!H2:H65536,"1310-1399-C*",'Accounting data'!I2:I65536,{"1*","2*","3*","4*","5*","6*"},'Accounting data'!J2:J65536,"24*",'Accounting data'!K2:K65536,"61*"))+SUM(SUMIFS('Accounting data'!G2:G65536,'Accounting data'!H2:H65536,"1227*",'Accounting data'!I2:I65536,{"1*","2*","3*","4*","5*","6*"},'Accounting data'!J2:J65536,"24*",'Accounting data'!K2:K65536,"61*"))+SUM(SUMIFS('Accounting data'!G2:G65536,'Accounting data'!H2:H65536,"1228*",'Accounting data'!I2:I65536,{"1*","2*","3*","4*","5*","6*"},'Accounting data'!J2:J65536,"24*",'Accounting data'!K2:K65536,"61*"))</f>
        <v>0</v>
      </c>
      <c r="E13" s="235">
        <f t="array" ref="E13">SUM(SUMIFS('Accounting data'!G2:G65536,'Accounting data'!H2:H65536,"1310-1399-C*",'Accounting data'!I2:I65536,{"1*","2*","3*","4*","5*","6*"},'Accounting data'!J2:J65536,"24*",'Accounting data'!K2:K65536,"62*"))+SUM(SUMIFS('Accounting data'!G2:G65536,'Accounting data'!H2:H65536,"1227*",'Accounting data'!I2:I65536,{"1*","2*","3*","4*","5*","6*"},'Accounting data'!J2:J65536,"24*",'Accounting data'!K2:K65536,"62*"))+SUM(SUMIFS('Accounting data'!G2:G65536,'Accounting data'!H2:H65536,"1228*",'Accounting data'!I2:I65536,{"1*","2*","3*","4*","5*","6*"},'Accounting data'!J2:J65536,"24*",'Accounting data'!K2:K65536,"62*"))</f>
        <v>0</v>
      </c>
      <c r="F13" s="235">
        <f t="array" ref="F13">SUM(SUMIFS('Accounting data'!G2:G65536,'Accounting data'!H2:H65536,"1310-1399-C*",'Accounting data'!I2:I65536,{"1*","2*","3*","4*","5*","6*"},'Accounting data'!J2:J65536,"24*",'Accounting data'!K2:K65536,"63*"))+SUM(SUMIFS('Accounting data'!G2:G65536,'Accounting data'!H2:H65536,"1227*",'Accounting data'!I2:I65536,{"1*","2*","3*","4*","5*","6*"},'Accounting data'!J2:J65536,"24*",'Accounting data'!K2:K65536,"63*"))+SUM(SUMIFS('Accounting data'!G2:G65536,'Accounting data'!H2:H65536,"1228*",'Accounting data'!I2:I65536,{"1*","2*","3*","4*","5*","6*"},'Accounting data'!J2:J65536,"24*",'Accounting data'!K2:K65536,"63*"))</f>
        <v>0</v>
      </c>
      <c r="G13" s="235">
        <f t="array" ref="G13">SUM(SUMIFS('Accounting data'!G2:G65536,'Accounting data'!H2:H65536,"1310-1399-C*",'Accounting data'!I2:I65536,{"1*","2*","3*","4*","5*","6*"},'Accounting data'!J2:J65536,"24*",'Accounting data'!K2:K65536,"66*"))+SUM(SUMIFS('Accounting data'!G2:G65536,'Accounting data'!H2:H65536,"1227*",'Accounting data'!I2:I65536,{"1*","2*","3*","4*","5*","6*"},'Accounting data'!J2:J65536,"24*",'Accounting data'!K2:K65536,"66*"))+SUM(SUMIFS('Accounting data'!G2:G65536,'Accounting data'!H2:H65536,"1228*",'Accounting data'!I2:I65536,{"1*","2*","3*","4*","5*","6*"},'Accounting data'!J2:J65536,"24*",'Accounting data'!K2:K65536,"66*"))</f>
        <v>0</v>
      </c>
      <c r="H13" s="235">
        <f t="array" ref="H13">SUM(SUMIFS('Accounting data'!G2:G65536,'Accounting data'!H2:H65536,"1310-1399-C*",'Accounting data'!I2:I65536,{"1*","2*","3*","4*","5*","6*"},'Accounting data'!J2:J65536,"24*",'Accounting data'!K2:K65536,"681*"))+SUM(SUMIFS('Accounting data'!G2:G65536,'Accounting data'!H2:H65536,"1227*",'Accounting data'!I2:I65536,{"1*","2*","3*","4*","5*","6*"},'Accounting data'!J2:J65536,"24*",'Accounting data'!K2:K65536,"681*"))+SUM(SUMIFS('Accounting data'!G2:G65536,'Accounting data'!H2:H65536,"1228*",'Accounting data'!I2:I65536,{"1*","2*","3*","4*","5*","6*"},'Accounting data'!J2:J65536,"24*",'Accounting data'!K2:K65536,"681*"))</f>
        <v>0</v>
      </c>
      <c r="I13" s="515"/>
      <c r="J13" s="235">
        <f t="array" ref="J13">SUM(SUMIFS('Accounting data'!G2:G65536,'Accounting data'!H2:H65536,"1310-1399-C*",'Accounting data'!I2:I65536,{"1*","2*","3*","4*","5*","6*"},'Accounting data'!J2:J65536,"24*",'Accounting data'!K2:K65536,"689*"))+SUM(SUMIFS('Accounting data'!G2:G65536,'Accounting data'!H2:H65536,"1227*",'Accounting data'!I2:I65536,{"1*","2*","3*","4*","5*","6*"},'Accounting data'!J2:J65536,"24*",'Accounting data'!K2:K65536,"689*"))+SUM(SUMIFS('Accounting data'!G2:G65536,'Accounting data'!H2:H65536,"1228*",'Accounting data'!I2:I65536,{"1*","2*","3*","4*","5*","6*"},'Accounting data'!J2:J65536,"24*",'Accounting data'!K2:K65536,"689*"))</f>
        <v>0</v>
      </c>
      <c r="K13" s="235">
        <f t="array" ref="K13">SUM(SUMIFS('Accounting data'!G2:G65536,'Accounting data'!H2:H65536,"1310-1399-C*",'Accounting data'!I2:I65536,{"1*","2*","3*","4*","5*","6*"},'Accounting data'!J2:J65536,"24*",'Accounting data'!K2:K65536,"683*"))+SUM(SUMIFS('Accounting data'!G2:G65536,'Accounting data'!H2:H65536,"1227*",'Accounting data'!I2:I65536,{"1*","2*","3*","4*","5*","6*"},'Accounting data'!J2:J65536,"24*",'Accounting data'!K2:K65536,"683*"))+SUM(SUMIFS('Accounting data'!G2:G65536,'Accounting data'!H2:H65536,"1228*",'Accounting data'!I2:I65536,{"1*","2*","3*","4*","5*","6*"},'Accounting data'!J2:J65536,"24*",'Accounting data'!K2:K65536,"683*"))</f>
        <v>0</v>
      </c>
      <c r="L13" s="235">
        <v>0</v>
      </c>
      <c r="M13" s="235">
        <f t="array" ref="M13">SUM(SUMIFS('Accounting data'!G2:G65536,'Accounting data'!H2:H65536,"1310-1399-C*",'Accounting data'!I2:I65536,{"7*","8*","9*"},'Accounting data'!J2:J65536,"24*",'Accounting data'!K2:K65536,"6*"))-SUM(SUMIFS('Accounting data'!G2:G65536,'Accounting data'!H2:H65536,"1310-1399-C*",'Accounting data'!I2:I65536,{"7*","8*","9*"},'Accounting data'!J2:J65536,"24*",'Accounting data'!K2:K65536,"69*"))+SUM(SUMIFS('Accounting data'!G2:G65536,'Accounting data'!H2:H65536,"1227*",'Accounting data'!I2:I65536,{"7*","8*","9*"},'Accounting data'!J2:J65536,"24*",'Accounting data'!K2:K65536,"6*"))-SUM(SUMIFS('Accounting data'!G2:G65536,'Accounting data'!H2:H65536,"1227*",'Accounting data'!I2:I65536,{"7*","8*","9*"},'Accounting data'!J2:J65536,"24*",'Accounting data'!K2:K65536,"69*"))+SUM(SUMIFS('Accounting data'!G2:G65536,'Accounting data'!H2:H65536,"1228*",'Accounting data'!I2:I65536,{"7*","8*","9*"},'Accounting data'!J2:J65536,"24*",'Accounting data'!K2:K65536,"6*"))-SUM(SUMIFS('Accounting data'!G2:G65536,'Accounting data'!H2:H65536,"1228*",'Accounting data'!I2:I65536,{"7*","8*","9*"},'Accounting data'!J2:J65536,"24*",'Accounting data'!K2:K65536,"69*"))+(SUM(SUMIFS('Accounting data'!G2:G65536,'Accounting data'!H2:H65536,"1227*",'Accounting data'!I2:I65536,{"7*","8*","9*"},'Accounting data'!J2:J65536,"23*",'Accounting data'!K2:K65536,"6*"))+SUM(SUMIFS('Accounting data'!G2:G65536,'Accounting data'!H2:H65536,"1227*",'Accounting data'!I2:I65536,{"7*","8*","9*"},'Accounting data'!J2:J65536,"25*",'Accounting data'!K2:K65536,"6*"))+SUM(SUMIFS('Accounting data'!G2:G65536,'Accounting data'!H2:H65536,"1227*",'Accounting data'!I2:I65536,{"7*","8*","9*"},'Accounting data'!J2:J65536,"29*",'Accounting data'!K2:K65536,"6*")))-(SUM(SUMIFS('Accounting data'!G2:G65536,'Accounting data'!H2:H65536,"1227*",'Accounting data'!I2:I65536,{"7*","8*","9*"},'Accounting data'!J2:J65536,"23*",'Accounting data'!K2:K65536,"69*"))+SUM(SUMIFS('Accounting data'!G2:G65536,'Accounting data'!H2:H65536,"1227*",'Accounting data'!I2:I65536,{"7*","8*","9*"},'Accounting data'!J2:J65536,"25*",'Accounting data'!K2:K65536,"69*"))+SUM(SUMIFS('Accounting data'!G2:G65536,'Accounting data'!H2:H65536,"1227*",'Accounting data'!I2:I65536,{"7*","8*","9*"},'Accounting data'!J2:J65536,"29*",'Accounting data'!K2:K65536,"69*")))</f>
        <v>0</v>
      </c>
      <c r="N13" s="235">
        <f t="shared" si="0"/>
        <v>0</v>
      </c>
      <c r="O13" s="524"/>
    </row>
    <row r="14" spans="1:27" x14ac:dyDescent="0.25">
      <c r="A14" s="517" t="s">
        <v>481</v>
      </c>
      <c r="B14" s="24"/>
      <c r="C14" s="523" t="s">
        <v>36</v>
      </c>
      <c r="D14" s="235">
        <f t="array" ref="D14">SUM(SUMIFS('Accounting data'!G2:G65536,'Accounting data'!H2:H65536,"1310-1399-C*",'Accounting data'!I2:I65536,{"1*","2*","3*","4*","5*","6*"},'Accounting data'!J2:J65536,"26*",'Accounting data'!K2:K65536,"61*"))+SUM(SUMIFS('Accounting data'!G2:G65536,'Accounting data'!H2:H65536,"1227*",'Accounting data'!I2:I65536,{"1*","2*","3*","4*","5*","6*"},'Accounting data'!J2:J65536,"26*",'Accounting data'!K2:K65536,"61*"))+SUM(SUMIFS('Accounting data'!G2:G65536,'Accounting data'!H2:H65536,"1228*",'Accounting data'!I2:I65536,{"1*","2*","3*","4*","5*","6*"},'Accounting data'!J2:J65536,"26*",'Accounting data'!K2:K65536,"61*"))</f>
        <v>0</v>
      </c>
      <c r="E14" s="235">
        <f t="array" ref="E14">SUM(SUMIFS('Accounting data'!G2:G65536,'Accounting data'!H2:H65536,"1310-1399-C*",'Accounting data'!I2:I65536,{"1*","2*","3*","4*","5*","6*"},'Accounting data'!J2:J65536,"26*",'Accounting data'!K2:K65536,"62*"))+SUM(SUMIFS('Accounting data'!G2:G65536,'Accounting data'!H2:H65536,"1227*",'Accounting data'!I2:I65536,{"1*","2*","3*","4*","5*","6*"},'Accounting data'!J2:J65536,"26*",'Accounting data'!K2:K65536,"62*"))+SUM(SUMIFS('Accounting data'!G2:G65536,'Accounting data'!H2:H65536,"1228*",'Accounting data'!I2:I65536,{"1*","2*","3*","4*","5*","6*"},'Accounting data'!J2:J65536,"26*",'Accounting data'!K2:K65536,"62*"))</f>
        <v>0</v>
      </c>
      <c r="F14" s="235">
        <f t="array" ref="F14">SUM(SUMIFS('Accounting data'!G2:G65536,'Accounting data'!H2:H65536,"1310-1399-C*",'Accounting data'!I2:I65536,{"1*","2*","3*","4*","5*","6*"},'Accounting data'!J2:J65536,"26*",'Accounting data'!K2:K65536,"63*"))+SUM(SUMIFS('Accounting data'!G2:G65536,'Accounting data'!H2:H65536,"1227*",'Accounting data'!I2:I65536,{"1*","2*","3*","4*","5*","6*"},'Accounting data'!J2:J65536,"26*",'Accounting data'!K2:K65536,"63*"))+SUM(SUMIFS('Accounting data'!G2:G65536,'Accounting data'!H2:H65536,"1228*",'Accounting data'!I2:I65536,{"1*","2*","3*","4*","5*","6*"},'Accounting data'!J2:J65536,"26*",'Accounting data'!K2:K65536,"63*"))</f>
        <v>0</v>
      </c>
      <c r="G14" s="235">
        <f t="array" ref="G14">SUM(SUMIFS('Accounting data'!G2:G65536,'Accounting data'!H2:H65536,"1310-1399-C*",'Accounting data'!I2:I65536,{"1*","2*","3*","4*","5*","6*"},'Accounting data'!J2:J65536,"26*",'Accounting data'!K2:K65536,"66*"))+SUM(SUMIFS('Accounting data'!G2:G65536,'Accounting data'!H2:H65536,"1227*",'Accounting data'!I2:I65536,{"1*","2*","3*","4*","5*","6*"},'Accounting data'!J2:J65536,"26*",'Accounting data'!K2:K65536,"66*"))+SUM(SUMIFS('Accounting data'!G2:G65536,'Accounting data'!H2:H65536,"1228*",'Accounting data'!I2:I65536,{"1*","2*","3*","4*","5*","6*"},'Accounting data'!J2:J65536,"26*",'Accounting data'!K2:K65536,"66*"))</f>
        <v>0</v>
      </c>
      <c r="H14" s="235">
        <f t="array" ref="H14">SUM(SUMIFS('Accounting data'!G2:G65536,'Accounting data'!H2:H65536,"1310-1399-C*",'Accounting data'!I2:I65536,{"1*","2*","3*","4*","5*","6*"},'Accounting data'!J2:J65536,"26*",'Accounting data'!K2:K65536,"681*"))+SUM(SUMIFS('Accounting data'!G2:G65536,'Accounting data'!H2:H65536,"1227*",'Accounting data'!I2:I65536,{"1*","2*","3*","4*","5*","6*"},'Accounting data'!J2:J65536,"26*",'Accounting data'!K2:K65536,"681*"))+SUM(SUMIFS('Accounting data'!G2:G65536,'Accounting data'!H2:H65536,"1228*",'Accounting data'!I2:I65536,{"1*","2*","3*","4*","5*","6*"},'Accounting data'!J2:J65536,"26*",'Accounting data'!K2:K65536,"681*"))</f>
        <v>0</v>
      </c>
      <c r="I14" s="515"/>
      <c r="J14" s="235">
        <f t="array" ref="J14">SUM(SUMIFS('Accounting data'!G2:G65536,'Accounting data'!H2:H65536,"1310-1399-C*",'Accounting data'!I2:I65536,{"1*","2*","3*","4*","5*","6*"},'Accounting data'!J2:J65536,"26*",'Accounting data'!K2:K65536,"689*"))+SUM(SUMIFS('Accounting data'!G2:G65536,'Accounting data'!H2:H65536,"1227*",'Accounting data'!I2:I65536,{"1*","2*","3*","4*","5*","6*"},'Accounting data'!J2:J65536,"26*",'Accounting data'!K2:K65536,"689*"))+SUM(SUMIFS('Accounting data'!G2:G65536,'Accounting data'!H2:H65536,"1228*",'Accounting data'!I2:I65536,{"1*","2*","3*","4*","5*","6*"},'Accounting data'!J2:J65536,"26*",'Accounting data'!K2:K65536,"689*"))</f>
        <v>0</v>
      </c>
      <c r="K14" s="235">
        <f t="array" ref="K14">SUM(SUMIFS('Accounting data'!G2:G65536,'Accounting data'!H2:H65536,"1310-1399-C*",'Accounting data'!I2:I65536,{"1*","2*","3*","4*","5*","6*"},'Accounting data'!J2:J65536,"26*",'Accounting data'!K2:K65536,"683*"))+SUM(SUMIFS('Accounting data'!G2:G65536,'Accounting data'!H2:H65536,"1227*",'Accounting data'!I2:I65536,{"1*","2*","3*","4*","5*","6*"},'Accounting data'!J2:J65536,"26*",'Accounting data'!K2:K65536,"683*"))+SUM(SUMIFS('Accounting data'!G2:G65536,'Accounting data'!H2:H65536,"1228*",'Accounting data'!I2:I65536,{"1*","2*","3*","4*","5*","6*"},'Accounting data'!J2:J65536,"26*",'Accounting data'!K2:K65536,"683*"))</f>
        <v>0</v>
      </c>
      <c r="L14" s="235">
        <v>0</v>
      </c>
      <c r="M14" s="235">
        <f t="array" ref="M14">SUM(SUMIFS('Accounting data'!G2:G65536,'Accounting data'!H2:H65536,"1310-1399-C*",'Accounting data'!I2:I65536,{"7*","8*","9*"},'Accounting data'!J2:J65536,"26*",'Accounting data'!K2:K65536,"6*"))-SUM(SUMIFS('Accounting data'!G2:G65536,'Accounting data'!H2:H65536,"1310-1399-C*",'Accounting data'!I2:I65536,{"7*","8*","9*"},'Accounting data'!J2:J65536,"26*",'Accounting data'!K2:K65536,"69*"))+SUM(SUMIFS('Accounting data'!G2:G65536,'Accounting data'!H2:H65536,"1227*",'Accounting data'!I2:I65536,{"7*","8*","9*"},'Accounting data'!J2:J65536,"26*",'Accounting data'!K2:K65536,"6*"))-SUM(SUMIFS('Accounting data'!G2:G65536,'Accounting data'!H2:H65536,"1227*",'Accounting data'!I2:I65536,{"7*","8*","9*"},'Accounting data'!J2:J65536,"26*",'Accounting data'!K2:K65536,"69*"))+SUM(SUMIFS('Accounting data'!G2:G65536,'Accounting data'!H2:H65536,"1228*",'Accounting data'!I2:I65536,{"7*","8*","9*"},'Accounting data'!J2:J65536,"26*",'Accounting data'!K2:K65536,"6*"))-SUM(SUMIFS('Accounting data'!G2:G65536,'Accounting data'!H2:H65536,"1228*",'Accounting data'!I2:I65536,{"7*","8*","9*"},'Accounting data'!J2:J65536,"26*",'Accounting data'!K2:K65536,"69*"))</f>
        <v>0</v>
      </c>
      <c r="N14" s="235">
        <f t="shared" si="0"/>
        <v>0</v>
      </c>
      <c r="O14" s="524"/>
    </row>
    <row r="15" spans="1:27" x14ac:dyDescent="0.25">
      <c r="A15" s="236" t="s">
        <v>230</v>
      </c>
      <c r="B15" s="237"/>
      <c r="C15" s="523" t="s">
        <v>38</v>
      </c>
      <c r="D15" s="235">
        <f t="array" ref="D15">SUM(SUMIFS('Accounting data'!G2:G65536,'Accounting data'!H2:H65536,"1310-1399-C*",'Accounting data'!I2:I65536,{"1*","2*","3*","4*","5*","6*"},'Accounting data'!J2:J65536,"27*",'Accounting data'!K2:K65536,"61*"))+SUM(SUMIFS('Accounting data'!G2:G65536,'Accounting data'!H2:H65536,"1227*",'Accounting data'!I2:I65536,{"1*","2*","3*","4*","5*","6*"},'Accounting data'!J2:J65536,"27*",'Accounting data'!K2:K65536,"61*"))+SUM(SUMIFS('Accounting data'!G2:G65536,'Accounting data'!H2:H65536,"1228*",'Accounting data'!I2:I65536,{"1*","2*","3*","4*","5*","6*"},'Accounting data'!J2:J65536,"27*",'Accounting data'!K2:K65536,"61*"))</f>
        <v>0</v>
      </c>
      <c r="E15" s="235">
        <f t="array" ref="E15">SUM(SUMIFS('Accounting data'!G2:G65536,'Accounting data'!H2:H65536,"1310-1399-C*",'Accounting data'!I2:I65536,{"1*","2*","3*","4*","5*","6*"},'Accounting data'!J2:J65536,"27*",'Accounting data'!K2:K65536,"62*"))+SUM(SUMIFS('Accounting data'!G2:G65536,'Accounting data'!H2:H65536,"1227*",'Accounting data'!I2:I65536,{"1*","2*","3*","4*","5*","6*"},'Accounting data'!J2:J65536,"27*",'Accounting data'!K2:K65536,"62*"))+SUM(SUMIFS('Accounting data'!G2:G65536,'Accounting data'!H2:H65536,"1228*",'Accounting data'!I2:I65536,{"1*","2*","3*","4*","5*","6*"},'Accounting data'!J2:J65536,"27*",'Accounting data'!K2:K65536,"62*"))</f>
        <v>0</v>
      </c>
      <c r="F15" s="235">
        <f t="array" ref="F15">SUM(SUMIFS('Accounting data'!G2:G65536,'Accounting data'!H2:H65536,"1310-1399-C*",'Accounting data'!I2:I65536,{"1*","2*","3*","4*","5*","6*"},'Accounting data'!J2:J65536,"27*",'Accounting data'!K2:K65536,"63*"))+SUM(SUMIFS('Accounting data'!G2:G65536,'Accounting data'!H2:H65536,"1227*",'Accounting data'!I2:I65536,{"1*","2*","3*","4*","5*","6*"},'Accounting data'!J2:J65536,"27*",'Accounting data'!K2:K65536,"63*"))+SUM(SUMIFS('Accounting data'!G2:G65536,'Accounting data'!H2:H65536,"1228*",'Accounting data'!I2:I65536,{"1*","2*","3*","4*","5*","6*"},'Accounting data'!J2:J65536,"27*",'Accounting data'!K2:K65536,"63*"))</f>
        <v>0</v>
      </c>
      <c r="G15" s="235">
        <f t="array" ref="G15">SUM(SUMIFS('Accounting data'!G2:G65536,'Accounting data'!H2:H65536,"1310-1399-C*",'Accounting data'!I2:I65536,{"1*","2*","3*","4*","5*","6*"},'Accounting data'!J2:J65536,"27*",'Accounting data'!K2:K65536,"66*"))+SUM(SUMIFS('Accounting data'!G2:G65536,'Accounting data'!H2:H65536,"1227*",'Accounting data'!I2:I65536,{"1*","2*","3*","4*","5*","6*"},'Accounting data'!J2:J65536,"27*",'Accounting data'!K2:K65536,"66*"))+SUM(SUMIFS('Accounting data'!G2:G65536,'Accounting data'!H2:H65536,"1228*",'Accounting data'!I2:I65536,{"1*","2*","3*","4*","5*","6*"},'Accounting data'!J2:J65536,"27*",'Accounting data'!K2:K65536,"66*"))</f>
        <v>0</v>
      </c>
      <c r="H15" s="235">
        <f t="array" ref="H15">SUM(SUMIFS('Accounting data'!G2:G65536,'Accounting data'!H2:H65536,"1310-1399-C*",'Accounting data'!I2:I65536,{"1*","2*","3*","4*","5*","6*"},'Accounting data'!J2:J65536,"27*",'Accounting data'!K2:K65536,"681*"))+SUM(SUMIFS('Accounting data'!G2:G65536,'Accounting data'!H2:H65536,"1227*",'Accounting data'!I2:I65536,{"1*","2*","3*","4*","5*","6*"},'Accounting data'!J2:J65536,"27*",'Accounting data'!K2:K65536,"681*"))+SUM(SUMIFS('Accounting data'!G2:G65536,'Accounting data'!H2:H65536,"1228*",'Accounting data'!I2:I65536,{"1*","2*","3*","4*","5*","6*"},'Accounting data'!J2:J65536,"27*",'Accounting data'!K2:K65536,"681*"))</f>
        <v>0</v>
      </c>
      <c r="I15" s="515"/>
      <c r="J15" s="235">
        <f t="array" ref="J15">SUM(SUMIFS('Accounting data'!G2:G65536,'Accounting data'!H2:H65536,"1310-1399-C*",'Accounting data'!I2:I65536,{"1*","2*","3*","4*","5*","6*"},'Accounting data'!J2:J65536,"27*",'Accounting data'!K2:K65536,"689*"))+SUM(SUMIFS('Accounting data'!G2:G65536,'Accounting data'!H2:H65536,"1227*",'Accounting data'!I2:I65536,{"1*","2*","3*","4*","5*","6*"},'Accounting data'!J2:J65536,"27*",'Accounting data'!K2:K65536,"689*"))+SUM(SUMIFS('Accounting data'!G2:G65536,'Accounting data'!H2:H65536,"1228*",'Accounting data'!I2:I65536,{"1*","2*","3*","4*","5*","6*"},'Accounting data'!J2:J65536,"27*",'Accounting data'!K2:K65536,"689*"))</f>
        <v>0</v>
      </c>
      <c r="K15" s="235">
        <f t="array" ref="K15">SUM(SUMIFS('Accounting data'!G2:G65536,'Accounting data'!H2:H65536,"1310-1399-C*",'Accounting data'!I2:I65536,{"1*","2*","3*","4*","5*","6*"},'Accounting data'!J2:J65536,"27*",'Accounting data'!K2:K65536,"683*"))+SUM(SUMIFS('Accounting data'!G2:G65536,'Accounting data'!H2:H65536,"1227*",'Accounting data'!I2:I65536,{"1*","2*","3*","4*","5*","6*"},'Accounting data'!J2:J65536,"27*",'Accounting data'!K2:K65536,"683*"))+SUM(SUMIFS('Accounting data'!G2:G65536,'Accounting data'!H2:H65536,"1228*",'Accounting data'!I2:I65536,{"1*","2*","3*","4*","5*","6*"},'Accounting data'!J2:J65536,"27*",'Accounting data'!K2:K65536,"683*"))</f>
        <v>0</v>
      </c>
      <c r="L15" s="235">
        <v>0</v>
      </c>
      <c r="M15" s="235">
        <f t="array" ref="M15">SUM(SUMIFS('Accounting data'!G2:G65536,'Accounting data'!H2:H65536,"1310-1399-C*",'Accounting data'!I2:I65536,{"7*","8*","9*"},'Accounting data'!J2:J65536,"27*",'Accounting data'!K2:K65536,"6*"))-SUM(SUMIFS('Accounting data'!G2:G65536,'Accounting data'!H2:H65536,"1310-1399-C*",'Accounting data'!I2:I65536,{"7*","8*","9*"},'Accounting data'!J2:J65536,"27*",'Accounting data'!K2:K65536,"69*"))+SUM(SUMIFS('Accounting data'!G2:G65536,'Accounting data'!H2:H65536,"1227*",'Accounting data'!I2:I65536,{"7*","8*","9*"},'Accounting data'!J2:J65536,"27*",'Accounting data'!K2:K65536,"6*"))-SUM(SUMIFS('Accounting data'!G2:G65536,'Accounting data'!H2:H65536,"1227*",'Accounting data'!I2:I65536,{"7*","8*","9*"},'Accounting data'!J2:J65536,"27*",'Accounting data'!K2:K65536,"69*"))+SUM(SUMIFS('Accounting data'!G2:G65536,'Accounting data'!H2:H65536,"1228*",'Accounting data'!I2:I65536,{"7*","8*","9*"},'Accounting data'!J2:J65536,"27*",'Accounting data'!K2:K65536,"6*"))-SUM(SUMIFS('Accounting data'!G2:G65536,'Accounting data'!H2:H65536,"1228*",'Accounting data'!I2:I65536,{"7*","8*","9*"},'Accounting data'!J2:J65536,"27*",'Accounting data'!K2:K65536,"69*"))</f>
        <v>0</v>
      </c>
      <c r="N15" s="235">
        <f t="shared" si="0"/>
        <v>0</v>
      </c>
      <c r="O15" s="524"/>
    </row>
    <row r="16" spans="1:27" x14ac:dyDescent="0.25">
      <c r="A16" s="236" t="s">
        <v>482</v>
      </c>
      <c r="B16" s="237"/>
      <c r="C16" s="523" t="s">
        <v>40</v>
      </c>
      <c r="D16" s="235">
        <f t="array" ref="D16">SUM(SUMIFS('Accounting data'!G2:G65536,'Accounting data'!H2:H65536,"1310-1399-C*",'Accounting data'!I2:I65536,{"1*","2*","3*","4*","5*","6*"},'Accounting data'!J2:J65536,"31*",'Accounting data'!K2:K65536,"61*"))+SUM(SUMIFS('Accounting data'!G2:G65536,'Accounting data'!H2:H65536,"1227*",'Accounting data'!I2:I65536,{"1*","2*","3*","4*","5*","6*"},'Accounting data'!J2:J65536,"31*",'Accounting data'!K2:K65536,"61*"))+SUM(SUMIFS('Accounting data'!G2:G65536,'Accounting data'!H2:H65536,"1228*",'Accounting data'!I2:I65536,{"1*","2*","3*","4*","5*","6*"},'Accounting data'!J2:J65536,"31*",'Accounting data'!K2:K65536,"61*"))</f>
        <v>0</v>
      </c>
      <c r="E16" s="235">
        <f t="array" ref="E16">SUM(SUMIFS('Accounting data'!G2:G65536,'Accounting data'!H2:H65536,"1310-1399-C*",'Accounting data'!I2:I65536,{"1*","2*","3*","4*","5*","6*"},'Accounting data'!J2:J65536,"31*",'Accounting data'!K2:K65536,"62*"))+SUM(SUMIFS('Accounting data'!G2:G65536,'Accounting data'!H2:H65536,"1227*",'Accounting data'!I2:I65536,{"1*","2*","3*","4*","5*","6*"},'Accounting data'!J2:J65536,"31*",'Accounting data'!K2:K65536,"62*"))+SUM(SUMIFS('Accounting data'!G2:G65536,'Accounting data'!H2:H65536,"1228*",'Accounting data'!I2:I65536,{"1*","2*","3*","4*","5*","6*"},'Accounting data'!J2:J65536,"31*",'Accounting data'!K2:K65536,"62*"))</f>
        <v>0</v>
      </c>
      <c r="F16" s="235">
        <f t="array" ref="F16">SUM(SUMIFS('Accounting data'!G2:G65536,'Accounting data'!H2:H65536,"1310-1399-C*",'Accounting data'!I2:I65536,{"1*","2*","3*","4*","5*","6*"},'Accounting data'!J2:J65536,"31*",'Accounting data'!K2:K65536,"63*"))+SUM(SUMIFS('Accounting data'!G2:G65536,'Accounting data'!H2:H65536,"1227*",'Accounting data'!I2:I65536,{"1*","2*","3*","4*","5*","6*"},'Accounting data'!J2:J65536,"31*",'Accounting data'!K2:K65536,"63*"))+SUM(SUMIFS('Accounting data'!G2:G65536,'Accounting data'!H2:H65536,"1228*",'Accounting data'!I2:I65536,{"1*","2*","3*","4*","5*","6*"},'Accounting data'!J2:J65536,"31*",'Accounting data'!K2:K65536,"63*"))</f>
        <v>0</v>
      </c>
      <c r="G16" s="235">
        <f t="array" ref="G16">SUM(SUMIFS('Accounting data'!G2:G65536,'Accounting data'!H2:H65536,"1310-1399-C*",'Accounting data'!I2:I65536,{"1*","2*","3*","4*","5*","6*"},'Accounting data'!J2:J65536,"31*",'Accounting data'!K2:K65536,"66*"))+SUM(SUMIFS('Accounting data'!G2:G65536,'Accounting data'!H2:H65536,"1227*",'Accounting data'!I2:I65536,{"1*","2*","3*","4*","5*","6*"},'Accounting data'!J2:J65536,"31*",'Accounting data'!K2:K65536,"66*"))+SUM(SUMIFS('Accounting data'!G2:G65536,'Accounting data'!H2:H65536,"1228*",'Accounting data'!I2:I65536,{"1*","2*","3*","4*","5*","6*"},'Accounting data'!J2:J65536,"31*",'Accounting data'!K2:K65536,"66*"))</f>
        <v>0</v>
      </c>
      <c r="H16" s="235">
        <f t="array" ref="H16">SUM(SUMIFS('Accounting data'!G2:G65536,'Accounting data'!H2:H65536,"1310-1399-C*",'Accounting data'!I2:I65536,{"1*","2*","3*","4*","5*","6*"},'Accounting data'!J2:J65536,"31*",'Accounting data'!K2:K65536,"681*"))+SUM(SUMIFS('Accounting data'!G2:G65536,'Accounting data'!H2:H65536,"1227*",'Accounting data'!I2:I65536,{"1*","2*","3*","4*","5*","6*"},'Accounting data'!J2:J65536,"31*",'Accounting data'!K2:K65536,"681*"))+SUM(SUMIFS('Accounting data'!G2:G65536,'Accounting data'!H2:H65536,"1228*",'Accounting data'!I2:I65536,{"1*","2*","3*","4*","5*","6*"},'Accounting data'!J2:J65536,"31*",'Accounting data'!K2:K65536,"681*"))</f>
        <v>0</v>
      </c>
      <c r="I16" s="515"/>
      <c r="J16" s="235">
        <f t="array" ref="J16">SUM(SUMIFS('Accounting data'!G2:G65536,'Accounting data'!H2:H65536,"1310-1399-C*",'Accounting data'!I2:I65536,{"1*","2*","3*","4*","5*","6*"},'Accounting data'!J2:J65536,"31*",'Accounting data'!K2:K65536,"689*"))+SUM(SUMIFS('Accounting data'!G2:G65536,'Accounting data'!H2:H65536,"1227*",'Accounting data'!I2:I65536,{"1*","2*","3*","4*","5*","6*"},'Accounting data'!J2:J65536,"31*",'Accounting data'!K2:K65536,"689*"))+SUM(SUMIFS('Accounting data'!G2:G65536,'Accounting data'!H2:H65536,"1228*",'Accounting data'!I2:I65536,{"1*","2*","3*","4*","5*","6*"},'Accounting data'!J2:J65536,"31*",'Accounting data'!K2:K65536,"689*"))</f>
        <v>0</v>
      </c>
      <c r="K16" s="235">
        <f t="array" ref="K16">SUM(SUMIFS('Accounting data'!G2:G65536,'Accounting data'!H2:H65536,"1310-1399-C*",'Accounting data'!I2:I65536,{"1*","2*","3*","4*","5*","6*"},'Accounting data'!J2:J65536,"31*",'Accounting data'!K2:K65536,"683*"))+SUM(SUMIFS('Accounting data'!G2:G65536,'Accounting data'!H2:H65536,"1227*",'Accounting data'!I2:I65536,{"1*","2*","3*","4*","5*","6*"},'Accounting data'!J2:J65536,"31*",'Accounting data'!K2:K65536,"683*"))+SUM(SUMIFS('Accounting data'!G2:G65536,'Accounting data'!H2:H65536,"1228*",'Accounting data'!I2:I65536,{"1*","2*","3*","4*","5*","6*"},'Accounting data'!J2:J65536,"31*",'Accounting data'!K2:K65536,"683*"))</f>
        <v>0</v>
      </c>
      <c r="L16" s="235">
        <v>0</v>
      </c>
      <c r="M16" s="235">
        <f t="array" ref="M16">SUM(SUMIFS('Accounting data'!G2:G65536,'Accounting data'!H2:H65536,"1310-1399-C*",'Accounting data'!I2:I65536,{"7*","8*","9*"},'Accounting data'!J2:J65536,"31*",'Accounting data'!K2:K65536,"6*"))-SUM(SUMIFS('Accounting data'!G2:G65536,'Accounting data'!H2:H65536,"1310-1399-C*",'Accounting data'!I2:I65536,{"7*","8*","9*"},'Accounting data'!J2:J65536,"31*",'Accounting data'!K2:K65536,"69*"))+SUM(SUMIFS('Accounting data'!G2:G65536,'Accounting data'!H2:H65536,"1227*",'Accounting data'!I2:I65536,{"7*","8*","9*"},'Accounting data'!J2:J65536,"31*",'Accounting data'!K2:K65536,"6*"))-SUM(SUMIFS('Accounting data'!G2:G65536,'Accounting data'!H2:H65536,"1227*",'Accounting data'!I2:I65536,{"7*","8*","9*"},'Accounting data'!J2:J65536,"31*",'Accounting data'!K2:K65536,"69*"))+SUM(SUMIFS('Accounting data'!G2:G65536,'Accounting data'!H2:H65536,"1228*",'Accounting data'!I2:I65536,{"7*","8*","9*"},'Accounting data'!J2:J65536,"31*",'Accounting data'!K2:K65536,"6*"))-SUM(SUMIFS('Accounting data'!G2:G65536,'Accounting data'!H2:H65536,"1228*",'Accounting data'!I2:I65536,{"7*","8*","9*"},'Accounting data'!J2:J65536,"31*",'Accounting data'!K2:K65536,"69*"))</f>
        <v>0</v>
      </c>
      <c r="N16" s="235">
        <f t="shared" si="0"/>
        <v>0</v>
      </c>
      <c r="O16" s="524"/>
    </row>
    <row r="17" spans="1:16" x14ac:dyDescent="0.25">
      <c r="A17" s="236" t="s">
        <v>483</v>
      </c>
      <c r="B17" s="237"/>
      <c r="C17" s="523" t="s">
        <v>42</v>
      </c>
      <c r="D17" s="235">
        <f t="array" ref="D17">SUM(SUMIFS('Accounting data'!G2:G65536,'Accounting data'!H2:H65536,"1310-1399-C*",'Accounting data'!I2:I65536,{"1*","2*","3*","4*","5*","6*"},'Accounting data'!J2:J65536,"34*",'Accounting data'!K2:K65536,"61*"))+SUM(SUMIFS('Accounting data'!G2:G65536,'Accounting data'!H2:H65536,"1227*",'Accounting data'!I2:I65536,{"1*","2*","3*","4*","5*","6*"},'Accounting data'!J2:J65536,"34*",'Accounting data'!K2:K65536,"61*"))+SUM(SUMIFS('Accounting data'!G2:G65536,'Accounting data'!H2:H65536,"1228*",'Accounting data'!I2:I65536,{"1*","2*","3*","4*","5*","6*"},'Accounting data'!J2:J65536,"34*",'Accounting data'!K2:K65536,"61*"))</f>
        <v>0</v>
      </c>
      <c r="E17" s="235">
        <f t="array" ref="E17">SUM(SUMIFS('Accounting data'!G2:G65536,'Accounting data'!H2:H65536,"1310-1399-C*",'Accounting data'!I2:I65536,{"1*","2*","3*","4*","5*","6*"},'Accounting data'!J2:J65536,"34*",'Accounting data'!K2:K65536,"62*"))+SUM(SUMIFS('Accounting data'!G2:G65536,'Accounting data'!H2:H65536,"1227*",'Accounting data'!I2:I65536,{"1*","2*","3*","4*","5*","6*"},'Accounting data'!J2:J65536,"34*",'Accounting data'!K2:K65536,"62*"))+SUM(SUMIFS('Accounting data'!G2:G65536,'Accounting data'!H2:H65536,"1228*",'Accounting data'!I2:I65536,{"1*","2*","3*","4*","5*","6*"},'Accounting data'!J2:J65536,"34*",'Accounting data'!K2:K65536,"62*"))</f>
        <v>0</v>
      </c>
      <c r="F17" s="235">
        <f t="array" ref="F17">SUM(SUMIFS('Accounting data'!G2:G65536,'Accounting data'!H2:H65536,"1310-1399-C*",'Accounting data'!I2:I65536,{"1*","2*","3*","4*","5*","6*"},'Accounting data'!J2:J65536,"34*",'Accounting data'!K2:K65536,"63*"))+SUM(SUMIFS('Accounting data'!G2:G65536,'Accounting data'!H2:H65536,"1227*",'Accounting data'!I2:I65536,{"1*","2*","3*","4*","5*","6*"},'Accounting data'!J2:J65536,"34*",'Accounting data'!K2:K65536,"63*"))+SUM(SUMIFS('Accounting data'!G2:G65536,'Accounting data'!H2:H65536,"1228*",'Accounting data'!I2:I65536,{"1*","2*","3*","4*","5*","6*"},'Accounting data'!J2:J65536,"34*",'Accounting data'!K2:K65536,"63*"))</f>
        <v>0</v>
      </c>
      <c r="G17" s="235">
        <f t="array" ref="G17">SUM(SUMIFS('Accounting data'!G2:G65536,'Accounting data'!H2:H65536,"1310-1399-C*",'Accounting data'!I2:I65536,{"1*","2*","3*","4*","5*","6*"},'Accounting data'!J2:J65536,"34*",'Accounting data'!K2:K65536,"66*"))+SUM(SUMIFS('Accounting data'!G2:G65536,'Accounting data'!H2:H65536,"1227*",'Accounting data'!I2:I65536,{"1*","2*","3*","4*","5*","6*"},'Accounting data'!J2:J65536,"34*",'Accounting data'!K2:K65536,"66*"))+SUM(SUMIFS('Accounting data'!G2:G65536,'Accounting data'!H2:H65536,"1228*",'Accounting data'!I2:I65536,{"1*","2*","3*","4*","5*","6*"},'Accounting data'!J2:J65536,"34*",'Accounting data'!K2:K65536,"66*"))</f>
        <v>0</v>
      </c>
      <c r="H17" s="235">
        <f t="array" ref="H17">SUM(SUMIFS('Accounting data'!G2:G65536,'Accounting data'!H2:H65536,"1310-1399-C*",'Accounting data'!I2:I65536,{"1*","2*","3*","4*","5*","6*"},'Accounting data'!J2:J65536,"34*",'Accounting data'!K2:K65536,"681*"))+SUM(SUMIFS('Accounting data'!G2:G65536,'Accounting data'!H2:H65536,"1227*",'Accounting data'!I2:I65536,{"1*","2*","3*","4*","5*","6*"},'Accounting data'!J2:J65536,"34*",'Accounting data'!K2:K65536,"681*"))+SUM(SUMIFS('Accounting data'!G2:G65536,'Accounting data'!H2:H65536,"1228*",'Accounting data'!I2:I65536,{"1*","2*","3*","4*","5*","6*"},'Accounting data'!J2:J65536,"34*",'Accounting data'!K2:K65536,"681*"))</f>
        <v>0</v>
      </c>
      <c r="I17" s="515"/>
      <c r="J17" s="235">
        <f t="array" ref="J17">SUM(SUMIFS('Accounting data'!G2:G65536,'Accounting data'!H2:H65536,"1310-1399-C*",'Accounting data'!I2:I65536,{"1*","2*","3*","4*","5*","6*"},'Accounting data'!J2:J65536,"34*",'Accounting data'!K2:K65536,"689*"))+SUM(SUMIFS('Accounting data'!G2:G65536,'Accounting data'!H2:H65536,"1227*",'Accounting data'!I2:I65536,{"1*","2*","3*","4*","5*","6*"},'Accounting data'!J2:J65536,"34*",'Accounting data'!K2:K65536,"689*"))+SUM(SUMIFS('Accounting data'!G2:G65536,'Accounting data'!H2:H65536,"1228*",'Accounting data'!I2:I65536,{"1*","2*","3*","4*","5*","6*"},'Accounting data'!J2:J65536,"34*",'Accounting data'!K2:K65536,"689*"))</f>
        <v>0</v>
      </c>
      <c r="K17" s="235">
        <f t="array" ref="K17">SUM(SUMIFS('Accounting data'!G2:G65536,'Accounting data'!H2:H65536,"1310-1399-C*",'Accounting data'!I2:I65536,{"1*","2*","3*","4*","5*","6*"},'Accounting data'!J2:J65536,"34*",'Accounting data'!K2:K65536,"683*"))+SUM(SUMIFS('Accounting data'!G2:G65536,'Accounting data'!H2:H65536,"1227*",'Accounting data'!I2:I65536,{"1*","2*","3*","4*","5*","6*"},'Accounting data'!J2:J65536,"34*",'Accounting data'!K2:K65536,"683*"))+SUM(SUMIFS('Accounting data'!G2:G65536,'Accounting data'!H2:H65536,"1228*",'Accounting data'!I2:I65536,{"1*","2*","3*","4*","5*","6*"},'Accounting data'!J2:J65536,"34*",'Accounting data'!K2:K65536,"683*"))</f>
        <v>0</v>
      </c>
      <c r="L17" s="235">
        <v>0</v>
      </c>
      <c r="M17" s="235">
        <f t="array" ref="M17">SUM(SUMIFS('Accounting data'!G2:G65536,'Accounting data'!H2:H65536,"1310-1399-C*",'Accounting data'!I2:I65536,{"7*","8*","9*"},'Accounting data'!J2:J65536,"34*",'Accounting data'!K2:K65536,"6*"))-SUM(SUMIFS('Accounting data'!G2:G65536,'Accounting data'!H2:H65536,"1310-1399-C*",'Accounting data'!I2:I65536,{"7*","8*","9*"},'Accounting data'!J2:J65536,"34*",'Accounting data'!K2:K65536,"69*"))+SUM(SUMIFS('Accounting data'!G2:G65536,'Accounting data'!H2:H65536,"1227*",'Accounting data'!I2:I65536,{"7*","8*","9*"},'Accounting data'!J2:J65536,"34*",'Accounting data'!K2:K65536,"6*"))-SUM(SUMIFS('Accounting data'!G2:G65536,'Accounting data'!H2:H65536,"1227*",'Accounting data'!I2:I65536,{"7*","8*","9*"},'Accounting data'!J2:J65536,"34*",'Accounting data'!K2:K65536,"69*"))+SUM(SUMIFS('Accounting data'!G2:G65536,'Accounting data'!H2:H65536,"1228*",'Accounting data'!I2:I65536,{"7*","8*","9*"},'Accounting data'!J2:J65536,"34*",'Accounting data'!K2:K65536,"6*"))-SUM(SUMIFS('Accounting data'!G2:G65536,'Accounting data'!H2:H65536,"1228*",'Accounting data'!I2:I65536,{"7*","8*","9*"},'Accounting data'!J2:J65536,"34*",'Accounting data'!K2:K65536,"69*"))</f>
        <v>0</v>
      </c>
      <c r="N17" s="235">
        <f t="shared" si="0"/>
        <v>0</v>
      </c>
      <c r="O17" s="524"/>
    </row>
    <row r="18" spans="1:16" x14ac:dyDescent="0.25">
      <c r="A18" s="477" t="s">
        <v>110</v>
      </c>
      <c r="B18" s="20"/>
      <c r="C18" s="525" t="s">
        <v>44</v>
      </c>
      <c r="D18" s="235">
        <f t="array" ref="D18">SUM(SUMIFS('Accounting data'!G2:G65536,'Accounting data'!H2:H65536,"1310-1399-C*",'Accounting data'!I2:I65536,{"1*","2*","3*","4*","5*","6*"},'Accounting data'!K2:K65536,"61*"))+SUM(SUMIFS('Accounting data'!G2:G65536,'Accounting data'!H2:H65536,"1227*",'Accounting data'!I2:I65536,{"1*","2*","3*","4*","5*","6*"},'Accounting data'!K2:K65536,"61*"))+SUM(SUMIFS('Accounting data'!G2:G65536,'Accounting data'!H2:H65536,"1228*",'Accounting data'!I2:I65536,{"1*","2*","3*","4*","5*","6*"},'Accounting data'!K2:K65536,"61*"))-SUM(D10:D17)</f>
        <v>0</v>
      </c>
      <c r="E18" s="235">
        <f t="array" ref="E18">SUM(SUMIFS('Accounting data'!G2:G65536,'Accounting data'!H2:H65536,"1310-1399-C*",'Accounting data'!I2:I65536,{"1*","2*","3*","4*","5*","6*"},'Accounting data'!K2:K65536,"62*"))+SUM(SUMIFS('Accounting data'!G2:G65536,'Accounting data'!H2:H65536,"1227*",'Accounting data'!I2:I65536,{"1*","2*","3*","4*","5*","6*"},'Accounting data'!K2:K65536,"62*"))+SUM(SUMIFS('Accounting data'!G2:G65536,'Accounting data'!H2:H65536,"1228*",'Accounting data'!I2:I65536,{"1*","2*","3*","4*","5*","6*"},'Accounting data'!K2:K65536,"62*"))-SUM(E10:E17)</f>
        <v>0</v>
      </c>
      <c r="F18" s="235">
        <f t="array" ref="F18">SUM(SUMIFS('Accounting data'!G2:G65536,'Accounting data'!H2:H65536,"1310-1399-C*",'Accounting data'!I2:I65536,{"1*","2*","3*","4*","5*","6*"},'Accounting data'!K2:K65536,"63*"))+SUM(SUMIFS('Accounting data'!G2:G65536,'Accounting data'!H2:H65536,"1227*",'Accounting data'!I2:I65536,{"1*","2*","3*","4*","5*","6*"},'Accounting data'!K2:K65536,"63*"))+SUM(SUMIFS('Accounting data'!G2:G65536,'Accounting data'!H2:H65536,"1228*",'Accounting data'!I2:I65536,{"1*","2*","3*","4*","5*","6*"},'Accounting data'!K2:K65536,"63*"))-SUM(F10:F17)</f>
        <v>0</v>
      </c>
      <c r="G18" s="235">
        <f t="array" ref="G18">SUM(SUMIFS('Accounting data'!G2:G65536,'Accounting data'!H2:H65536,"1310-1399-C*",'Accounting data'!I2:I65536,{"1*","2*","3*","4*","5*","6*"},'Accounting data'!K2:K65536,"66*"))+SUM(SUMIFS('Accounting data'!G2:G65536,'Accounting data'!H2:H65536,"1227*",'Accounting data'!I2:I65536,{"1*","2*","3*","4*","5*","6*"},'Accounting data'!K2:K65536,"66*"))+SUM(SUMIFS('Accounting data'!G2:G65536,'Accounting data'!H2:H65536,"1228*",'Accounting data'!I2:I65536,{"1*","2*","3*","4*","5*","6*"},'Accounting data'!K2:K65536,"66*"))-SUM(G10:G17)</f>
        <v>0</v>
      </c>
      <c r="H18" s="235">
        <f t="array" ref="H18">SUM(SUMIFS('Accounting data'!G2:G65536,'Accounting data'!H2:H65536,"1310-1399-C*",'Accounting data'!I2:I65536,{"1*","2*","3*","4*","5*","6*"},'Accounting data'!K2:K65536,"681*"))+SUM(SUMIFS('Accounting data'!G2:G65536,'Accounting data'!H2:H65536,"1227*",'Accounting data'!I2:I65536,{"1*","2*","3*","4*","5*","6*"},'Accounting data'!K2:K65536,"681*"))+SUM(SUMIFS('Accounting data'!G2:G65536,'Accounting data'!H2:H65536,"1228*",'Accounting data'!I2:I65536,{"1*","2*","3*","4*","5*","6*"},'Accounting data'!K2:K65536,"681*"))-SUM(H10:H17)</f>
        <v>0</v>
      </c>
      <c r="I18" s="515"/>
      <c r="J18" s="235">
        <f t="array" ref="J18">SUM(SUMIFS('Accounting data'!G2:G65536,'Accounting data'!H2:H65536,"1310-1399-C*",'Accounting data'!I2:I65536,{"1*","2*","3*","4*","5*","6*"},'Accounting data'!K2:K65536,"689*"))+SUM(SUMIFS('Accounting data'!G2:G65536,'Accounting data'!H2:H65536,"1227*",'Accounting data'!I2:I65536,{"1*","2*","3*","4*","5*","6*"},'Accounting data'!K2:K65536,"689*"))+SUM(SUMIFS('Accounting data'!G2:G65536,'Accounting data'!H2:H65536,"1228*",'Accounting data'!I2:I65536,{"1*","2*","3*","4*","5*","6*"},'Accounting data'!K2:K65536,"689*"))-SUM(J10:J17)</f>
        <v>0</v>
      </c>
      <c r="K18" s="235">
        <f t="array" ref="K18">SUM(SUMIFS('Accounting data'!G2:G65536,'Accounting data'!H2:H65536,"1310-1399-C*",'Accounting data'!I2:I65536,{"1*","2*","3*","4*","5*","6*"},'Accounting data'!K2:K65536,"683*"))+SUM(SUMIFS('Accounting data'!G2:G65536,'Accounting data'!H2:H65536,"1227*",'Accounting data'!I2:I65536,{"1*","2*","3*","4*","5*","6*"},'Accounting data'!K2:K65536,"683*"))+SUM(SUMIFS('Accounting data'!G2:G65536,'Accounting data'!H2:H65536,"1228*",'Accounting data'!I2:I65536,{"1*","2*","3*","4*","5*","6*"},'Accounting data'!K2:K65536,"683*"))-SUM(K10:K17)</f>
        <v>0</v>
      </c>
      <c r="L18" s="235">
        <v>0</v>
      </c>
      <c r="M18" s="235">
        <f t="array" ref="M18">SUM(SUMIFS('Accounting data'!G2:G65536,'Accounting data'!H2:H65536,"1310-1399-C*",'Accounting data'!I2:I65536,{"7*","8*","9*"},'Accounting data'!K2:K65536,"6*"))-SUM(SUMIFS('Accounting data'!G2:G65536,'Accounting data'!H2:H65536,"1310-1399-C*",'Accounting data'!I2:I65536,{"7*","8*","9*"},'Accounting data'!K2:K65536,"69*"))+SUM(SUMIFS('Accounting data'!G2:G65536,'Accounting data'!H2:H65536,"1227*",'Accounting data'!I2:I65536,{"7*","8*","9*"},'Accounting data'!K2:K65536,"6*"))-SUM(SUMIFS('Accounting data'!G2:G65536,'Accounting data'!H2:H65536,"1227*",'Accounting data'!I2:I65536,{"7*","8*","9*"},'Accounting data'!K2:K65536,"69*"))+SUM(SUMIFS('Accounting data'!G2:G65536,'Accounting data'!H2:H65536,"1228*",'Accounting data'!I2:I65536,{"7*","8*","9*"},'Accounting data'!K2:K65536,"6*"))-SUM(SUMIFS('Accounting data'!G2:G65536,'Accounting data'!H2:H65536,"1228*",'Accounting data'!I2:I65536,{"7*","8*","9*"},'Accounting data'!K2:K65536,"69*"))-SUM(M10:M17)</f>
        <v>0</v>
      </c>
      <c r="N18" s="235">
        <f t="shared" si="0"/>
        <v>0</v>
      </c>
      <c r="O18" s="524"/>
    </row>
    <row r="19" spans="1:16" x14ac:dyDescent="0.25">
      <c r="A19" s="238" t="s">
        <v>484</v>
      </c>
      <c r="B19" s="239"/>
      <c r="C19" s="526" t="s">
        <v>46</v>
      </c>
      <c r="D19" s="72">
        <f t="shared" ref="D19:M19" si="1">SUM(D10:D18)</f>
        <v>0</v>
      </c>
      <c r="E19" s="72">
        <f t="shared" si="1"/>
        <v>0</v>
      </c>
      <c r="F19" s="72">
        <f t="shared" si="1"/>
        <v>0</v>
      </c>
      <c r="G19" s="72">
        <f t="shared" si="1"/>
        <v>0</v>
      </c>
      <c r="H19" s="72">
        <f t="shared" si="1"/>
        <v>0</v>
      </c>
      <c r="I19" s="72">
        <f t="shared" si="1"/>
        <v>0</v>
      </c>
      <c r="J19" s="72">
        <f t="shared" si="1"/>
        <v>0</v>
      </c>
      <c r="K19" s="72">
        <f t="shared" si="1"/>
        <v>0</v>
      </c>
      <c r="L19" s="72">
        <f t="shared" si="1"/>
        <v>0</v>
      </c>
      <c r="M19" s="72">
        <f t="shared" si="1"/>
        <v>0</v>
      </c>
      <c r="N19" s="235">
        <f t="shared" si="0"/>
        <v>0</v>
      </c>
      <c r="O19" s="524"/>
    </row>
    <row r="20" spans="1:16" x14ac:dyDescent="0.25">
      <c r="L20" s="527"/>
    </row>
    <row r="21" spans="1:16" ht="34.5" customHeight="1" x14ac:dyDescent="0.25">
      <c r="A21" s="734" t="s">
        <v>485</v>
      </c>
      <c r="B21" s="735"/>
      <c r="C21" s="736"/>
      <c r="D21" s="79" t="s">
        <v>486</v>
      </c>
      <c r="E21" s="65" t="s">
        <v>487</v>
      </c>
      <c r="G21" s="16" t="s">
        <v>488</v>
      </c>
      <c r="H21" s="15"/>
      <c r="I21" s="15"/>
      <c r="J21" s="14"/>
      <c r="L21" s="528" t="s">
        <v>489</v>
      </c>
      <c r="M21" s="529"/>
      <c r="N21" s="529"/>
      <c r="O21" s="530"/>
    </row>
    <row r="22" spans="1:16" x14ac:dyDescent="0.25">
      <c r="A22" s="531" t="s">
        <v>490</v>
      </c>
      <c r="B22" s="532"/>
      <c r="C22" s="533"/>
      <c r="D22" s="72">
        <v>0</v>
      </c>
      <c r="E22" s="534">
        <v>0</v>
      </c>
      <c r="G22" s="535" t="s">
        <v>491</v>
      </c>
      <c r="H22" s="536"/>
      <c r="I22" s="537"/>
      <c r="J22" s="72">
        <v>0</v>
      </c>
      <c r="L22" s="535" t="s">
        <v>492</v>
      </c>
      <c r="M22" s="536"/>
      <c r="N22" s="537"/>
      <c r="O22" s="66">
        <f>ROUND(SUM(SUMIFS('Accounting data'!G2:G65536,'Accounting data'!H2:H65536,"1310-1399-C*",'Accounting data'!K2:K65536,"69*")),0)+ROUND(SUM(SUMIFS('Accounting data'!G2:G65536,'Accounting data'!H2:H65536,"1227*",'Accounting data'!K2:K65536,"69*")),0)+ROUND(SUM(SUMIFS('Accounting data'!G2:G65536,'Accounting data'!H2:H65536,"1228*",'Accounting data'!K2:K65536,"69*")),0)</f>
        <v>0</v>
      </c>
    </row>
    <row r="23" spans="1:16" x14ac:dyDescent="0.25">
      <c r="A23" s="535" t="s">
        <v>493</v>
      </c>
      <c r="B23" s="536"/>
      <c r="C23" s="537"/>
      <c r="D23" s="72">
        <v>0</v>
      </c>
      <c r="E23" s="72">
        <v>0</v>
      </c>
      <c r="G23" s="10" t="s">
        <v>494</v>
      </c>
      <c r="H23" s="9"/>
      <c r="I23" s="537"/>
      <c r="J23" s="72">
        <v>0</v>
      </c>
    </row>
    <row r="24" spans="1:16" x14ac:dyDescent="0.25">
      <c r="A24" s="535" t="s">
        <v>495</v>
      </c>
      <c r="B24" s="536"/>
      <c r="C24" s="240"/>
      <c r="D24" s="72">
        <v>0</v>
      </c>
      <c r="E24" s="538">
        <v>0</v>
      </c>
      <c r="G24" s="8" t="s">
        <v>496</v>
      </c>
      <c r="H24" s="7"/>
      <c r="I24" s="537"/>
      <c r="J24" s="72">
        <v>0</v>
      </c>
      <c r="L24" s="16" t="s">
        <v>497</v>
      </c>
      <c r="M24" s="15"/>
      <c r="N24" s="15"/>
      <c r="O24" s="14"/>
    </row>
    <row r="25" spans="1:16" x14ac:dyDescent="0.25">
      <c r="A25" s="535" t="s">
        <v>498</v>
      </c>
      <c r="B25" s="536"/>
      <c r="C25" s="240"/>
      <c r="D25" s="72">
        <v>0</v>
      </c>
      <c r="E25" s="538">
        <v>0</v>
      </c>
      <c r="G25" s="8" t="s">
        <v>499</v>
      </c>
      <c r="H25" s="7"/>
      <c r="I25" s="537"/>
      <c r="J25" s="72">
        <v>0</v>
      </c>
      <c r="L25" s="241" t="s">
        <v>500</v>
      </c>
      <c r="M25" s="242"/>
      <c r="N25" s="240"/>
      <c r="O25" s="72">
        <v>0</v>
      </c>
    </row>
    <row r="26" spans="1:16" x14ac:dyDescent="0.25">
      <c r="A26" s="535" t="s">
        <v>501</v>
      </c>
      <c r="B26" s="536"/>
      <c r="C26" s="240"/>
      <c r="D26" s="72">
        <v>0</v>
      </c>
      <c r="E26" s="538">
        <v>0</v>
      </c>
      <c r="G26" s="8" t="s">
        <v>502</v>
      </c>
      <c r="H26" s="7"/>
      <c r="I26" s="537"/>
      <c r="J26" s="72">
        <v>0</v>
      </c>
      <c r="L26" s="241" t="s">
        <v>503</v>
      </c>
      <c r="M26" s="242"/>
      <c r="N26" s="240"/>
      <c r="O26" s="72">
        <v>0</v>
      </c>
    </row>
    <row r="27" spans="1:16" x14ac:dyDescent="0.25">
      <c r="A27" s="539" t="s">
        <v>504</v>
      </c>
      <c r="B27" s="540"/>
      <c r="C27" s="243"/>
      <c r="D27" s="72">
        <v>0</v>
      </c>
      <c r="E27" s="534">
        <v>0</v>
      </c>
      <c r="L27" s="241" t="s">
        <v>505</v>
      </c>
      <c r="M27" s="242"/>
      <c r="N27" s="240"/>
      <c r="O27" s="72">
        <v>0</v>
      </c>
    </row>
    <row r="28" spans="1:16" x14ac:dyDescent="0.25">
      <c r="A28" s="541" t="s">
        <v>506</v>
      </c>
      <c r="B28" s="542"/>
      <c r="C28" s="543"/>
      <c r="D28" s="244">
        <v>0</v>
      </c>
      <c r="E28" s="538">
        <f>D28</f>
        <v>0</v>
      </c>
      <c r="L28" s="141"/>
      <c r="M28" s="141"/>
      <c r="N28" s="141"/>
      <c r="O28" s="144"/>
    </row>
    <row r="29" spans="1:16" x14ac:dyDescent="0.25">
      <c r="A29" s="717"/>
      <c r="B29" s="717"/>
      <c r="C29" s="717"/>
      <c r="D29" s="245"/>
    </row>
    <row r="30" spans="1:16" ht="15" customHeight="1" x14ac:dyDescent="0.25">
      <c r="A30" s="143"/>
      <c r="B30" s="143"/>
      <c r="C30" s="143"/>
      <c r="D30" s="143"/>
      <c r="G30" s="16" t="s">
        <v>507</v>
      </c>
      <c r="H30" s="15"/>
      <c r="I30" s="15"/>
      <c r="J30" s="14"/>
      <c r="L30" s="737" t="str">
        <f>IF(OR(D19&lt;0,E19&lt;0,F19&lt;0,G19&lt;0,H19&lt;0,J19&lt;0,K19&lt;0,L19&lt;0,M19&lt;0,N19&lt;0),"Line 9 in the current expenses table should not contain negative amounts. Click the instruction link in cell A18 for more information.","")</f>
        <v/>
      </c>
      <c r="M30" s="737" t="str">
        <f t="shared" ref="M30:P32" si="2">IF(OR(E19&lt;0,F19&lt;0,G19&lt;0,H19&lt;0,I19&lt;0,K19&lt;0,L19&lt;0,M19&lt;0,N19&lt;0,O19&lt;0),"Table A, line 9 should not contain negative amounts. Click the the instruction link in cell A18 for more information.","")</f>
        <v/>
      </c>
      <c r="N30" s="737" t="str">
        <f t="shared" si="2"/>
        <v/>
      </c>
      <c r="O30" s="737" t="str">
        <f t="shared" si="2"/>
        <v/>
      </c>
      <c r="P30" s="737" t="str">
        <f t="shared" si="2"/>
        <v/>
      </c>
    </row>
    <row r="31" spans="1:16" ht="15" customHeight="1" x14ac:dyDescent="0.25">
      <c r="E31" s="544"/>
      <c r="G31" s="545" t="s">
        <v>508</v>
      </c>
      <c r="H31" s="536"/>
      <c r="I31" s="536"/>
      <c r="J31" s="246">
        <f>ROUND(SUMIFS('Accounting data'!G2:G65536,'Accounting data'!H2:H65536,"1310-1399-C*",'Accounting data'!K2:K65536,"685*"),0)</f>
        <v>0</v>
      </c>
      <c r="L31" s="737" t="str">
        <f>IF(OR(D20&lt;0,E20&lt;0,F20&lt;0,G20&lt;0,H20&lt;0,J20&lt;0,K20&lt;0,L20&lt;0,M20&lt;0,N20&lt;0),"Table A, line 9 should not contain negative amounts. Click the the instruction link in cell A18 for more information.","")</f>
        <v/>
      </c>
      <c r="M31" s="737" t="str">
        <f t="shared" si="2"/>
        <v/>
      </c>
      <c r="N31" s="737" t="str">
        <f t="shared" si="2"/>
        <v/>
      </c>
      <c r="O31" s="737" t="str">
        <f t="shared" si="2"/>
        <v/>
      </c>
      <c r="P31" s="737" t="str">
        <f t="shared" si="2"/>
        <v/>
      </c>
    </row>
    <row r="32" spans="1:16" ht="15" customHeight="1" x14ac:dyDescent="0.25">
      <c r="E32" s="516"/>
      <c r="G32" s="545" t="s">
        <v>509</v>
      </c>
      <c r="H32" s="536"/>
      <c r="I32" s="536"/>
      <c r="J32" s="72">
        <v>0</v>
      </c>
      <c r="L32" s="737" t="str">
        <f>IF(OR(D21&lt;0,E21&lt;0,F21&lt;0,G21&lt;0,H21&lt;0,J21&lt;0,K21&lt;0,L21&lt;0,M21&lt;0,N21&lt;0),"Table A, line 9 should not contain negative amounts. Click the the instruction link in cell A18 for more information.","")</f>
        <v/>
      </c>
      <c r="M32" s="737" t="str">
        <f t="shared" si="2"/>
        <v/>
      </c>
      <c r="N32" s="737" t="str">
        <f t="shared" si="2"/>
        <v/>
      </c>
      <c r="O32" s="737" t="str">
        <f t="shared" si="2"/>
        <v/>
      </c>
      <c r="P32" s="737" t="str">
        <f t="shared" si="2"/>
        <v/>
      </c>
    </row>
    <row r="33" spans="1:28" ht="12.75" customHeight="1" x14ac:dyDescent="0.25">
      <c r="E33" s="546"/>
      <c r="K33" s="247"/>
      <c r="L33" s="476"/>
      <c r="M33" s="476"/>
      <c r="N33" s="547"/>
      <c r="O33" s="476"/>
      <c r="AB33" s="224" t="s">
        <v>510</v>
      </c>
    </row>
    <row r="34" spans="1:28" ht="11.25" customHeight="1" x14ac:dyDescent="0.25">
      <c r="E34" s="548"/>
      <c r="G34" s="141"/>
      <c r="M34" s="549"/>
      <c r="N34" s="248"/>
      <c r="O34" s="248"/>
    </row>
    <row r="35" spans="1:28" ht="37.5" customHeight="1" x14ac:dyDescent="0.25">
      <c r="A35" s="738" t="s">
        <v>511</v>
      </c>
      <c r="B35" s="739"/>
      <c r="C35" s="740"/>
      <c r="D35" s="743" t="s">
        <v>512</v>
      </c>
      <c r="E35" s="743" t="s">
        <v>513</v>
      </c>
      <c r="F35" s="743" t="s">
        <v>514</v>
      </c>
      <c r="G35" s="743" t="s">
        <v>515</v>
      </c>
      <c r="H35" s="500"/>
      <c r="J35" s="16" t="s">
        <v>516</v>
      </c>
      <c r="K35" s="90"/>
      <c r="L35" s="90"/>
      <c r="M35" s="90"/>
      <c r="N35" s="91"/>
      <c r="V35" s="256"/>
    </row>
    <row r="36" spans="1:28" ht="25.5" customHeight="1" x14ac:dyDescent="0.25">
      <c r="A36" s="741"/>
      <c r="B36" s="652"/>
      <c r="C36" s="742"/>
      <c r="D36" s="744"/>
      <c r="E36" s="744"/>
      <c r="F36" s="744"/>
      <c r="G36" s="744"/>
      <c r="H36" s="500"/>
      <c r="J36" s="725" t="s">
        <v>517</v>
      </c>
      <c r="K36" s="726"/>
      <c r="L36" s="726"/>
      <c r="M36" s="727"/>
      <c r="N36" s="72">
        <v>200305</v>
      </c>
      <c r="Q36" s="550"/>
      <c r="R36" s="551"/>
      <c r="V36" s="256"/>
    </row>
    <row r="37" spans="1:28" ht="12.75" customHeight="1" x14ac:dyDescent="0.25">
      <c r="A37" s="552" t="s">
        <v>518</v>
      </c>
      <c r="B37" s="553"/>
      <c r="C37" s="553"/>
      <c r="D37" s="72">
        <v>57067</v>
      </c>
      <c r="E37" s="72">
        <v>57067</v>
      </c>
      <c r="F37" s="515"/>
      <c r="G37" s="515"/>
      <c r="J37" s="725" t="s">
        <v>519</v>
      </c>
      <c r="K37" s="726"/>
      <c r="L37" s="726"/>
      <c r="M37" s="727"/>
      <c r="N37" s="72">
        <v>200305</v>
      </c>
      <c r="V37" s="256"/>
    </row>
    <row r="38" spans="1:28" ht="12.75" customHeight="1" x14ac:dyDescent="0.25">
      <c r="A38" s="552" t="s">
        <v>520</v>
      </c>
      <c r="B38" s="553"/>
      <c r="C38" s="553"/>
      <c r="D38" s="72">
        <v>234916</v>
      </c>
      <c r="E38" s="72">
        <v>234916</v>
      </c>
      <c r="F38" s="515"/>
      <c r="G38" s="554"/>
      <c r="J38" s="725" t="s">
        <v>521</v>
      </c>
      <c r="K38" s="726"/>
      <c r="L38" s="726"/>
      <c r="M38" s="727"/>
      <c r="N38" s="72">
        <v>200305</v>
      </c>
      <c r="V38" s="256"/>
    </row>
    <row r="39" spans="1:28" ht="12.75" customHeight="1" x14ac:dyDescent="0.25">
      <c r="A39" s="552" t="s">
        <v>522</v>
      </c>
      <c r="B39" s="553"/>
      <c r="C39" s="553"/>
      <c r="D39" s="72">
        <v>531737</v>
      </c>
      <c r="E39" s="72">
        <v>531737</v>
      </c>
      <c r="F39" s="72">
        <v>0</v>
      </c>
      <c r="G39" s="72">
        <f>ROUND(D39-E39-F39,0)</f>
        <v>0</v>
      </c>
      <c r="J39" s="728" t="s">
        <v>523</v>
      </c>
      <c r="K39" s="729"/>
      <c r="L39" s="729"/>
      <c r="M39" s="730"/>
      <c r="N39" s="249">
        <v>0</v>
      </c>
      <c r="V39" s="256"/>
    </row>
    <row r="40" spans="1:28" ht="12.75" customHeight="1" x14ac:dyDescent="0.25">
      <c r="A40" s="552" t="s">
        <v>524</v>
      </c>
      <c r="B40" s="553"/>
      <c r="C40" s="553"/>
      <c r="D40" s="72">
        <v>18302</v>
      </c>
      <c r="E40" s="72">
        <v>18302</v>
      </c>
      <c r="F40" s="72">
        <v>0</v>
      </c>
      <c r="G40" s="72">
        <f>ROUND(D40-E40-F40,0)</f>
        <v>0</v>
      </c>
      <c r="J40" s="728" t="s">
        <v>525</v>
      </c>
      <c r="K40" s="729"/>
      <c r="L40" s="729"/>
      <c r="M40" s="730"/>
      <c r="N40" s="72">
        <f>ROUND(N36-N37-N39,0)</f>
        <v>0</v>
      </c>
      <c r="V40" s="256"/>
    </row>
    <row r="41" spans="1:28" ht="12.75" customHeight="1" x14ac:dyDescent="0.25">
      <c r="A41" s="552" t="s">
        <v>526</v>
      </c>
      <c r="B41" s="553"/>
      <c r="C41" s="553"/>
      <c r="D41" s="72">
        <v>66204</v>
      </c>
      <c r="E41" s="72">
        <v>66204</v>
      </c>
      <c r="F41" s="554"/>
      <c r="G41" s="554"/>
    </row>
    <row r="42" spans="1:28" ht="12.75" customHeight="1" x14ac:dyDescent="0.25">
      <c r="A42" s="555" t="s">
        <v>527</v>
      </c>
      <c r="B42" s="553"/>
      <c r="C42" s="553"/>
      <c r="D42" s="72">
        <v>77082</v>
      </c>
      <c r="E42" s="72">
        <v>77082</v>
      </c>
      <c r="F42" s="72">
        <v>0</v>
      </c>
      <c r="G42" s="72">
        <f>ROUND(D42-E42-F42,0)</f>
        <v>0</v>
      </c>
    </row>
    <row r="43" spans="1:28" ht="12.75" customHeight="1" x14ac:dyDescent="0.25">
      <c r="A43" s="731" t="s">
        <v>528</v>
      </c>
      <c r="B43" s="732"/>
      <c r="C43" s="733"/>
      <c r="D43" s="246">
        <f>ROUND(SUM(D37:D42),0)</f>
        <v>985308</v>
      </c>
      <c r="E43" s="246">
        <f>ROUND(SUM(E37:E42),0)</f>
        <v>985308</v>
      </c>
      <c r="F43" s="246">
        <f>ROUND(SUM(F37:F42),0)</f>
        <v>0</v>
      </c>
      <c r="G43" s="246">
        <f>ROUND(SUM(G37:G42),0)</f>
        <v>0</v>
      </c>
    </row>
    <row r="44" spans="1:28" x14ac:dyDescent="0.25">
      <c r="F44" s="250"/>
    </row>
    <row r="45" spans="1:28" x14ac:dyDescent="0.25">
      <c r="E45" s="556" t="s">
        <v>529</v>
      </c>
      <c r="F45" s="67">
        <f>ROUND(N19+O22+O25+O26+O27+J31+J32,0)</f>
        <v>0</v>
      </c>
      <c r="H45" s="472"/>
      <c r="I45" s="473"/>
      <c r="J45" s="473"/>
      <c r="K45" s="473"/>
    </row>
    <row r="46" spans="1:28" ht="12.75" customHeight="1" x14ac:dyDescent="0.25">
      <c r="A46" s="169"/>
      <c r="B46" s="169"/>
      <c r="C46" s="251"/>
      <c r="F46" s="472"/>
      <c r="G46" s="472"/>
      <c r="H46" s="473"/>
      <c r="I46" s="473"/>
      <c r="J46" s="473"/>
      <c r="K46" s="473"/>
    </row>
    <row r="47" spans="1:28" ht="12.75" customHeight="1" x14ac:dyDescent="0.25">
      <c r="A47" s="169"/>
      <c r="B47" s="169"/>
      <c r="C47" s="251"/>
      <c r="F47" s="472"/>
      <c r="G47" s="472"/>
      <c r="H47" s="473"/>
      <c r="I47" s="473"/>
      <c r="J47" s="473"/>
      <c r="K47" s="473"/>
    </row>
    <row r="48" spans="1:28" ht="12.75" customHeight="1" x14ac:dyDescent="0.25">
      <c r="A48" s="251"/>
      <c r="B48" s="251"/>
      <c r="C48" s="251"/>
      <c r="F48" s="472"/>
      <c r="G48" s="472"/>
      <c r="H48" s="473"/>
      <c r="I48" s="473"/>
      <c r="J48" s="473"/>
      <c r="K48" s="473"/>
    </row>
    <row r="49" spans="1:7" ht="12.75" customHeight="1" x14ac:dyDescent="0.25">
      <c r="A49" s="251"/>
      <c r="B49" s="251"/>
      <c r="C49" s="251"/>
      <c r="F49" s="472"/>
      <c r="G49" s="472"/>
    </row>
  </sheetData>
  <sheetProtection algorithmName="SHA-512" hashValue="J/5w2jnWo1XRmJA8acxZu2H0/cfwJY5tmQpzr0bzrpqyJG4qivBoEDDoH11FdaOkKN2lKm2apQWBm3XvEasoyw==" saltValue="8kdGsj+C+29iR0MUAYjnhg==" spinCount="100000" sheet="1" objects="1"/>
  <mergeCells count="20">
    <mergeCell ref="B1:E1"/>
    <mergeCell ref="H1:I1"/>
    <mergeCell ref="A5:A6"/>
    <mergeCell ref="D5:L5"/>
    <mergeCell ref="N5:N9"/>
    <mergeCell ref="A8:C9"/>
    <mergeCell ref="A21:C21"/>
    <mergeCell ref="A29:C29"/>
    <mergeCell ref="L30:P32"/>
    <mergeCell ref="A35:C36"/>
    <mergeCell ref="D35:D36"/>
    <mergeCell ref="E35:E36"/>
    <mergeCell ref="F35:F36"/>
    <mergeCell ref="G35:G36"/>
    <mergeCell ref="J36:M36"/>
    <mergeCell ref="J37:M37"/>
    <mergeCell ref="J38:M38"/>
    <mergeCell ref="J39:M39"/>
    <mergeCell ref="J40:M40"/>
    <mergeCell ref="A43:C43"/>
  </mergeCells>
  <dataValidations count="32">
    <dataValidation type="whole" allowBlank="1" showInputMessage="1" showErrorMessage="1" errorTitle="Input error" error="The amount entered should be rounded to the nearest dollar and should not exceed the remaining Other funds balance (column D minus columns E and F)." sqref="JC42 SY42 ACU42 AMQ42 AWM42 BGI42 BQE42 CAA42 CJW42 CTS42 DDO42 DNK42 DXG42 EHC42 EQY42 FAU42 FKQ42 FUM42 GEI42 GOE42 GYA42 HHW42 HRS42 IBO42 ILK42 IVG42 JFC42 JOY42 JYU42 KIQ42 KSM42 LCI42 LME42 LWA42 MFW42 MPS42 MZO42 NJK42 NTG42 ODC42 OMY42 OWU42 PGQ42 PQM42 QAI42 QKE42 QUA42 RDW42 RNS42 RXO42 SHK42 SRG42 TBC42 TKY42 TUU42 UEQ42 UOM42 UYI42 VIE42 VSA42 WBW42 WLS42 WVO42 G65578 JC65578 SY65578 ACU65578 AMQ65578 AWM65578 BGI65578 BQE65578 CAA65578 CJW65578 CTS65578 DDO65578 DNK65578 DXG65578 EHC65578 EQY65578 FAU65578 FKQ65578 FUM65578 GEI65578 GOE65578 GYA65578 HHW65578 HRS65578 IBO65578 ILK65578 IVG65578 JFC65578 JOY65578 JYU65578 KIQ65578 KSM65578 LCI65578 LME65578 LWA65578 MFW65578 MPS65578 MZO65578 NJK65578 NTG65578 ODC65578 OMY65578 OWU65578 PGQ65578 PQM65578 QAI65578 QKE65578 QUA65578 RDW65578 RNS65578 RXO65578 SHK65578 SRG65578 TBC65578 TKY65578 TUU65578 UEQ65578 UOM65578 UYI65578 VIE65578 VSA65578 WBW65578 WLS65578 WVO65578 G131114 JC131114 SY131114 ACU131114 AMQ131114 AWM131114 BGI131114 BQE131114 CAA131114 CJW131114 CTS131114 DDO131114 DNK131114 DXG131114 EHC131114 EQY131114 FAU131114 FKQ131114 FUM131114 GEI131114 GOE131114 GYA131114 HHW131114 HRS131114 IBO131114 ILK131114 IVG131114 JFC131114 JOY131114 JYU131114 KIQ131114 KSM131114 LCI131114 LME131114 LWA131114 MFW131114 MPS131114 MZO131114 NJK131114 NTG131114 ODC131114 OMY131114 OWU131114 PGQ131114 PQM131114 QAI131114 QKE131114 QUA131114 RDW131114 RNS131114 RXO131114 SHK131114 SRG131114 TBC131114 TKY131114 TUU131114 UEQ131114 UOM131114 UYI131114 VIE131114 VSA131114 WBW131114 WLS131114 WVO131114 G196650 JC196650 SY196650 ACU196650 AMQ196650 AWM196650 BGI196650 BQE196650 CAA196650 CJW196650 CTS196650 DDO196650 DNK196650 DXG196650 EHC196650 EQY196650 FAU196650 FKQ196650 FUM196650 GEI196650 GOE196650 GYA196650 HHW196650 HRS196650 IBO196650 ILK196650 IVG196650 JFC196650 JOY196650 JYU196650 KIQ196650 KSM196650 LCI196650 LME196650 LWA196650 MFW196650 MPS196650 MZO196650 NJK196650 NTG196650 ODC196650 OMY196650 OWU196650 PGQ196650 PQM196650 QAI196650 QKE196650 QUA196650 RDW196650 RNS196650 RXO196650 SHK196650 SRG196650 TBC196650 TKY196650 TUU196650 UEQ196650 UOM196650 UYI196650 VIE196650 VSA196650 WBW196650 WLS196650 WVO196650 G262186 JC262186 SY262186 ACU262186 AMQ262186 AWM262186 BGI262186 BQE262186 CAA262186 CJW262186 CTS262186 DDO262186 DNK262186 DXG262186 EHC262186 EQY262186 FAU262186 FKQ262186 FUM262186 GEI262186 GOE262186 GYA262186 HHW262186 HRS262186 IBO262186 ILK262186 IVG262186 JFC262186 JOY262186 JYU262186 KIQ262186 KSM262186 LCI262186 LME262186 LWA262186 MFW262186 MPS262186 MZO262186 NJK262186 NTG262186 ODC262186 OMY262186 OWU262186 PGQ262186 PQM262186 QAI262186 QKE262186 QUA262186 RDW262186 RNS262186 RXO262186 SHK262186 SRG262186 TBC262186 TKY262186 TUU262186 UEQ262186 UOM262186 UYI262186 VIE262186 VSA262186 WBW262186 WLS262186 WVO262186 G327722 JC327722 SY327722 ACU327722 AMQ327722 AWM327722 BGI327722 BQE327722 CAA327722 CJW327722 CTS327722 DDO327722 DNK327722 DXG327722 EHC327722 EQY327722 FAU327722 FKQ327722 FUM327722 GEI327722 GOE327722 GYA327722 HHW327722 HRS327722 IBO327722 ILK327722 IVG327722 JFC327722 JOY327722 JYU327722 KIQ327722 KSM327722 LCI327722 LME327722 LWA327722 MFW327722 MPS327722 MZO327722 NJK327722 NTG327722 ODC327722 OMY327722 OWU327722 PGQ327722 PQM327722 QAI327722 QKE327722 QUA327722 RDW327722 RNS327722 RXO327722 SHK327722 SRG327722 TBC327722 TKY327722 TUU327722 UEQ327722 UOM327722 UYI327722 VIE327722 VSA327722 WBW327722 WLS327722 WVO327722 G393258 JC393258 SY393258 ACU393258 AMQ393258 AWM393258 BGI393258 BQE393258 CAA393258 CJW393258 CTS393258 DDO393258 DNK393258 DXG393258 EHC393258 EQY393258 FAU393258 FKQ393258 FUM393258 GEI393258 GOE393258 GYA393258 HHW393258 HRS393258 IBO393258 ILK393258 IVG393258 JFC393258 JOY393258 JYU393258 KIQ393258 KSM393258 LCI393258 LME393258 LWA393258 MFW393258 MPS393258 MZO393258 NJK393258 NTG393258 ODC393258 OMY393258 OWU393258 PGQ393258 PQM393258 QAI393258 QKE393258 QUA393258 RDW393258 RNS393258 RXO393258 SHK393258 SRG393258 TBC393258 TKY393258 TUU393258 UEQ393258 UOM393258 UYI393258 VIE393258 VSA393258 WBW393258 WLS393258 WVO393258 G458794 JC458794 SY458794 ACU458794 AMQ458794 AWM458794 BGI458794 BQE458794 CAA458794 CJW458794 CTS458794 DDO458794 DNK458794 DXG458794 EHC458794 EQY458794 FAU458794 FKQ458794 FUM458794 GEI458794 GOE458794 GYA458794 HHW458794 HRS458794 IBO458794 ILK458794 IVG458794 JFC458794 JOY458794 JYU458794 KIQ458794 KSM458794 LCI458794 LME458794 LWA458794 MFW458794 MPS458794 MZO458794 NJK458794 NTG458794 ODC458794 OMY458794 OWU458794 PGQ458794 PQM458794 QAI458794 QKE458794 QUA458794 RDW458794 RNS458794 RXO458794 SHK458794 SRG458794 TBC458794 TKY458794 TUU458794 UEQ458794 UOM458794 UYI458794 VIE458794 VSA458794 WBW458794 WLS458794 WVO458794 G524330 JC524330 SY524330 ACU524330 AMQ524330 AWM524330 BGI524330 BQE524330 CAA524330 CJW524330 CTS524330 DDO524330 DNK524330 DXG524330 EHC524330 EQY524330 FAU524330 FKQ524330 FUM524330 GEI524330 GOE524330 GYA524330 HHW524330 HRS524330 IBO524330 ILK524330 IVG524330 JFC524330 JOY524330 JYU524330 KIQ524330 KSM524330 LCI524330 LME524330 LWA524330 MFW524330 MPS524330 MZO524330 NJK524330 NTG524330 ODC524330 OMY524330 OWU524330 PGQ524330 PQM524330 QAI524330 QKE524330 QUA524330 RDW524330 RNS524330 RXO524330 SHK524330 SRG524330 TBC524330 TKY524330 TUU524330 UEQ524330 UOM524330 UYI524330 VIE524330 VSA524330 WBW524330 WLS524330 WVO524330 G589866 JC589866 SY589866 ACU589866 AMQ589866 AWM589866 BGI589866 BQE589866 CAA589866 CJW589866 CTS589866 DDO589866 DNK589866 DXG589866 EHC589866 EQY589866 FAU589866 FKQ589866 FUM589866 GEI589866 GOE589866 GYA589866 HHW589866 HRS589866 IBO589866 ILK589866 IVG589866 JFC589866 JOY589866 JYU589866 KIQ589866 KSM589866 LCI589866 LME589866 LWA589866 MFW589866 MPS589866 MZO589866 NJK589866 NTG589866 ODC589866 OMY589866 OWU589866 PGQ589866 PQM589866 QAI589866 QKE589866 QUA589866 RDW589866 RNS589866 RXO589866 SHK589866 SRG589866 TBC589866 TKY589866 TUU589866 UEQ589866 UOM589866 UYI589866 VIE589866 VSA589866 WBW589866 WLS589866 WVO589866 G655402 JC655402 SY655402 ACU655402 AMQ655402 AWM655402 BGI655402 BQE655402 CAA655402 CJW655402 CTS655402 DDO655402 DNK655402 DXG655402 EHC655402 EQY655402 FAU655402 FKQ655402 FUM655402 GEI655402 GOE655402 GYA655402 HHW655402 HRS655402 IBO655402 ILK655402 IVG655402 JFC655402 JOY655402 JYU655402 KIQ655402 KSM655402 LCI655402 LME655402 LWA655402 MFW655402 MPS655402 MZO655402 NJK655402 NTG655402 ODC655402 OMY655402 OWU655402 PGQ655402 PQM655402 QAI655402 QKE655402 QUA655402 RDW655402 RNS655402 RXO655402 SHK655402 SRG655402 TBC655402 TKY655402 TUU655402 UEQ655402 UOM655402 UYI655402 VIE655402 VSA655402 WBW655402 WLS655402 WVO655402 G720938 JC720938 SY720938 ACU720938 AMQ720938 AWM720938 BGI720938 BQE720938 CAA720938 CJW720938 CTS720938 DDO720938 DNK720938 DXG720938 EHC720938 EQY720938 FAU720938 FKQ720938 FUM720938 GEI720938 GOE720938 GYA720938 HHW720938 HRS720938 IBO720938 ILK720938 IVG720938 JFC720938 JOY720938 JYU720938 KIQ720938 KSM720938 LCI720938 LME720938 LWA720938 MFW720938 MPS720938 MZO720938 NJK720938 NTG720938 ODC720938 OMY720938 OWU720938 PGQ720938 PQM720938 QAI720938 QKE720938 QUA720938 RDW720938 RNS720938 RXO720938 SHK720938 SRG720938 TBC720938 TKY720938 TUU720938 UEQ720938 UOM720938 UYI720938 VIE720938 VSA720938 WBW720938 WLS720938 WVO720938 G786474 JC786474 SY786474 ACU786474 AMQ786474 AWM786474 BGI786474 BQE786474 CAA786474 CJW786474 CTS786474 DDO786474 DNK786474 DXG786474 EHC786474 EQY786474 FAU786474 FKQ786474 FUM786474 GEI786474 GOE786474 GYA786474 HHW786474 HRS786474 IBO786474 ILK786474 IVG786474 JFC786474 JOY786474 JYU786474 KIQ786474 KSM786474 LCI786474 LME786474 LWA786474 MFW786474 MPS786474 MZO786474 NJK786474 NTG786474 ODC786474 OMY786474 OWU786474 PGQ786474 PQM786474 QAI786474 QKE786474 QUA786474 RDW786474 RNS786474 RXO786474 SHK786474 SRG786474 TBC786474 TKY786474 TUU786474 UEQ786474 UOM786474 UYI786474 VIE786474 VSA786474 WBW786474 WLS786474 WVO786474 G852010 JC852010 SY852010 ACU852010 AMQ852010 AWM852010 BGI852010 BQE852010 CAA852010 CJW852010 CTS852010 DDO852010 DNK852010 DXG852010 EHC852010 EQY852010 FAU852010 FKQ852010 FUM852010 GEI852010 GOE852010 GYA852010 HHW852010 HRS852010 IBO852010 ILK852010 IVG852010 JFC852010 JOY852010 JYU852010 KIQ852010 KSM852010 LCI852010 LME852010 LWA852010 MFW852010 MPS852010 MZO852010 NJK852010 NTG852010 ODC852010 OMY852010 OWU852010 PGQ852010 PQM852010 QAI852010 QKE852010 QUA852010 RDW852010 RNS852010 RXO852010 SHK852010 SRG852010 TBC852010 TKY852010 TUU852010 UEQ852010 UOM852010 UYI852010 VIE852010 VSA852010 WBW852010 WLS852010 WVO852010 G917546 JC917546 SY917546 ACU917546 AMQ917546 AWM917546 BGI917546 BQE917546 CAA917546 CJW917546 CTS917546 DDO917546 DNK917546 DXG917546 EHC917546 EQY917546 FAU917546 FKQ917546 FUM917546 GEI917546 GOE917546 GYA917546 HHW917546 HRS917546 IBO917546 ILK917546 IVG917546 JFC917546 JOY917546 JYU917546 KIQ917546 KSM917546 LCI917546 LME917546 LWA917546 MFW917546 MPS917546 MZO917546 NJK917546 NTG917546 ODC917546 OMY917546 OWU917546 PGQ917546 PQM917546 QAI917546 QKE917546 QUA917546 RDW917546 RNS917546 RXO917546 SHK917546 SRG917546 TBC917546 TKY917546 TUU917546 UEQ917546 UOM917546 UYI917546 VIE917546 VSA917546 WBW917546 WLS917546 WVO917546 G983082 JC983082 SY983082 ACU983082 AMQ983082 AWM983082 BGI983082 BQE983082 CAA983082 CJW983082 CTS983082 DDO983082 DNK983082 DXG983082 EHC983082 EQY983082 FAU983082 FKQ983082 FUM983082 GEI983082 GOE983082 GYA983082 HHW983082 HRS983082 IBO983082 ILK983082 IVG983082 JFC983082 JOY983082 JYU983082 KIQ983082 KSM983082 LCI983082 LME983082 LWA983082 MFW983082 MPS983082 MZO983082 NJK983082 NTG983082" xr:uid="{00000000-0002-0000-0A00-000000000000}">
      <formula1>0</formula1>
      <formula2>D42-E42-F42</formula2>
    </dataValidation>
    <dataValidation type="whole" allowBlank="1" showInputMessage="1" showErrorMessage="1" errorTitle="Input error" error="The amount entered should be rounded to the nearest dollar and should not exceed the remaining Other funds balance (column D minus columns E and F)." sqref="OMY983082 OWU983082 PGQ983082 PQM983082 QAI983082 QKE983082 QUA983082 RDW983082 RNS983082 RXO983082 SHK983082 SRG983082 TBC983082 TKY983082 TUU983082 UEQ983082 UOM983082 UYI983082 VIE983082 VSA983082 WBW983082 WLS983082 WVO983082" xr:uid="{00000000-0002-0000-0A00-000001000000}">
      <formula1>0</formula1>
      <formula2>IZ42-JA42-JB42</formula2>
    </dataValidation>
    <dataValidation type="whole" allowBlank="1" showInputMessage="1" showErrorMessage="1" errorTitle="Input error" error="The amount entered should be rounded to the nearest dollar and should not exceed the remaining ESSER I fund balance (column D minus columns E and F)." sqref="JD37 SZ37 ACV37 AMR37 AWN37 BGJ37 BQF37 CAB37 CJX37 CTT37 DDP37 DNL37 DXH37 EHD37 EQZ37 FAV37 FKR37 FUN37 GEJ37 GOF37 GYB37 HHX37 HRT37 IBP37 ILL37 IVH37 JFD37 JOZ37 JYV37 KIR37 KSN37 LCJ37 LMF37 LWB37 MFX37 MPT37 MZP37 NJL37 NTH37 ODD37 OMZ37 OWV37 PGR37 PQN37 QAJ37 QKF37 QUB37 RDX37 RNT37 RXP37 SHL37 SRH37 TBD37 TKZ37 TUV37 UER37 UON37 UYJ37 VIF37 VSB37 WBX37 WLT37 WVP37 G65573 JC65573 SY65573 ACU65573 AMQ65573 AWM65573 BGI65573 BQE65573 CAA65573 CJW65573 CTS65573 DDO65573 DNK65573 DXG65573 EHC65573 EQY65573 FAU65573 FKQ65573 FUM65573 GEI65573 GOE65573 GYA65573 HHW65573 HRS65573 IBO65573 ILK65573 IVG65573 JFC65573 JOY65573 JYU65573 KIQ65573 KSM65573 LCI65573 LME65573 LWA65573 MFW65573 MPS65573 MZO65573 NJK65573 NTG65573 ODC65573 OMY65573 OWU65573 PGQ65573 PQM65573 QAI65573 QKE65573 QUA65573 RDW65573 RNS65573 RXO65573 SHK65573 SRG65573 TBC65573 TKY65573 TUU65573 UEQ65573 UOM65573 UYI65573 VIE65573 VSA65573 WBW65573 WLS65573 WVO65573 G131109 JC131109 SY131109 ACU131109 AMQ131109 AWM131109 BGI131109 BQE131109 CAA131109 CJW131109 CTS131109 DDO131109 DNK131109 DXG131109 EHC131109 EQY131109 FAU131109 FKQ131109 FUM131109 GEI131109 GOE131109 GYA131109 HHW131109 HRS131109 IBO131109 ILK131109 IVG131109 JFC131109 JOY131109 JYU131109 KIQ131109 KSM131109 LCI131109 LME131109 LWA131109 MFW131109 MPS131109 MZO131109 NJK131109 NTG131109 ODC131109 OMY131109 OWU131109 PGQ131109 PQM131109 QAI131109 QKE131109 QUA131109 RDW131109 RNS131109 RXO131109 SHK131109 SRG131109 TBC131109 TKY131109 TUU131109 UEQ131109 UOM131109 UYI131109 VIE131109 VSA131109 WBW131109 WLS131109 WVO131109 G196645 JC196645 SY196645 ACU196645 AMQ196645 AWM196645 BGI196645 BQE196645 CAA196645 CJW196645 CTS196645 DDO196645 DNK196645 DXG196645 EHC196645 EQY196645 FAU196645 FKQ196645 FUM196645 GEI196645 GOE196645 GYA196645 HHW196645 HRS196645 IBO196645 ILK196645 IVG196645 JFC196645 JOY196645 JYU196645 KIQ196645 KSM196645 LCI196645 LME196645 LWA196645 MFW196645 MPS196645 MZO196645 NJK196645 NTG196645 ODC196645 OMY196645 OWU196645 PGQ196645 PQM196645 QAI196645 QKE196645 QUA196645 RDW196645 RNS196645 RXO196645 SHK196645 SRG196645 TBC196645 TKY196645 TUU196645 UEQ196645 UOM196645 UYI196645 VIE196645 VSA196645 WBW196645 WLS196645 WVO196645 G262181 JC262181 SY262181 ACU262181 AMQ262181 AWM262181 BGI262181 BQE262181 CAA262181 CJW262181 CTS262181 DDO262181 DNK262181 DXG262181 EHC262181 EQY262181 FAU262181 FKQ262181 FUM262181 GEI262181 GOE262181 GYA262181 HHW262181 HRS262181 IBO262181 ILK262181 IVG262181 JFC262181 JOY262181 JYU262181 KIQ262181 KSM262181 LCI262181 LME262181 LWA262181 MFW262181 MPS262181 MZO262181 NJK262181 NTG262181 ODC262181 OMY262181 OWU262181 PGQ262181 PQM262181 QAI262181 QKE262181 QUA262181 RDW262181 RNS262181 RXO262181 SHK262181 SRG262181 TBC262181 TKY262181 TUU262181 UEQ262181 UOM262181 UYI262181 VIE262181 VSA262181 WBW262181 WLS262181 WVO262181 G327717 JC327717 SY327717 ACU327717 AMQ327717 AWM327717 BGI327717 BQE327717 CAA327717 CJW327717 CTS327717 DDO327717 DNK327717 DXG327717 EHC327717 EQY327717 FAU327717 FKQ327717 FUM327717 GEI327717 GOE327717 GYA327717 HHW327717 HRS327717 IBO327717 ILK327717 IVG327717 JFC327717 JOY327717 JYU327717 KIQ327717 KSM327717 LCI327717 LME327717 LWA327717 MFW327717 MPS327717 MZO327717 NJK327717 NTG327717 ODC327717 OMY327717 OWU327717 PGQ327717 PQM327717 QAI327717 QKE327717 QUA327717 RDW327717 RNS327717 RXO327717 SHK327717 SRG327717 TBC327717 TKY327717 TUU327717 UEQ327717 UOM327717 UYI327717 VIE327717 VSA327717 WBW327717 WLS327717 WVO327717 G393253 JC393253 SY393253 ACU393253 AMQ393253 AWM393253 BGI393253 BQE393253 CAA393253 CJW393253 CTS393253 DDO393253 DNK393253 DXG393253 EHC393253 EQY393253 FAU393253 FKQ393253 FUM393253 GEI393253 GOE393253 GYA393253 HHW393253 HRS393253 IBO393253 ILK393253 IVG393253 JFC393253 JOY393253 JYU393253 KIQ393253 KSM393253 LCI393253 LME393253 LWA393253 MFW393253 MPS393253 MZO393253 NJK393253 NTG393253 ODC393253 OMY393253 OWU393253 PGQ393253 PQM393253 QAI393253 QKE393253 QUA393253 RDW393253 RNS393253 RXO393253 SHK393253 SRG393253 TBC393253 TKY393253 TUU393253 UEQ393253 UOM393253 UYI393253 VIE393253 VSA393253 WBW393253 WLS393253 WVO393253 G458789 JC458789 SY458789 ACU458789 AMQ458789 AWM458789 BGI458789 BQE458789 CAA458789 CJW458789 CTS458789 DDO458789 DNK458789 DXG458789 EHC458789 EQY458789 FAU458789 FKQ458789 FUM458789 GEI458789 GOE458789 GYA458789 HHW458789 HRS458789 IBO458789 ILK458789 IVG458789 JFC458789 JOY458789 JYU458789 KIQ458789 KSM458789 LCI458789 LME458789 LWA458789 MFW458789 MPS458789 MZO458789 NJK458789 NTG458789 ODC458789 OMY458789 OWU458789 PGQ458789 PQM458789 QAI458789 QKE458789 QUA458789 RDW458789 RNS458789 RXO458789 SHK458789 SRG458789 TBC458789 TKY458789 TUU458789 UEQ458789 UOM458789 UYI458789 VIE458789 VSA458789 WBW458789 WLS458789 WVO458789 G524325 JC524325 SY524325 ACU524325 AMQ524325 AWM524325 BGI524325 BQE524325 CAA524325 CJW524325 CTS524325 DDO524325 DNK524325 DXG524325 EHC524325 EQY524325 FAU524325 FKQ524325 FUM524325 GEI524325 GOE524325 GYA524325 HHW524325 HRS524325 IBO524325 ILK524325 IVG524325 JFC524325 JOY524325 JYU524325 KIQ524325 KSM524325 LCI524325 LME524325 LWA524325 MFW524325 MPS524325 MZO524325 NJK524325 NTG524325 ODC524325 OMY524325 OWU524325 PGQ524325 PQM524325 QAI524325 QKE524325 QUA524325 RDW524325 RNS524325 RXO524325 SHK524325 SRG524325 TBC524325 TKY524325 TUU524325 UEQ524325 UOM524325 UYI524325 VIE524325 VSA524325 WBW524325 WLS524325 WVO524325 G589861 JC589861 SY589861 ACU589861 AMQ589861 AWM589861 BGI589861 BQE589861 CAA589861 CJW589861 CTS589861 DDO589861 DNK589861 DXG589861 EHC589861 EQY589861 FAU589861 FKQ589861 FUM589861 GEI589861 GOE589861 GYA589861 HHW589861 HRS589861 IBO589861 ILK589861 IVG589861 JFC589861 JOY589861 JYU589861 KIQ589861 KSM589861 LCI589861 LME589861 LWA589861 MFW589861 MPS589861 MZO589861 NJK589861 NTG589861 ODC589861 OMY589861 OWU589861 PGQ589861 PQM589861 QAI589861 QKE589861 QUA589861 RDW589861 RNS589861 RXO589861 SHK589861 SRG589861 TBC589861 TKY589861 TUU589861 UEQ589861 UOM589861 UYI589861 VIE589861 VSA589861 WBW589861 WLS589861 WVO589861 G655397 JC655397 SY655397 ACU655397 AMQ655397 AWM655397 BGI655397 BQE655397 CAA655397 CJW655397 CTS655397 DDO655397 DNK655397 DXG655397 EHC655397 EQY655397 FAU655397 FKQ655397 FUM655397 GEI655397 GOE655397 GYA655397 HHW655397 HRS655397 IBO655397 ILK655397 IVG655397 JFC655397 JOY655397 JYU655397 KIQ655397 KSM655397 LCI655397 LME655397 LWA655397 MFW655397 MPS655397 MZO655397 NJK655397 NTG655397 ODC655397 OMY655397 OWU655397 PGQ655397 PQM655397 QAI655397 QKE655397 QUA655397 RDW655397 RNS655397 RXO655397 SHK655397 SRG655397 TBC655397 TKY655397 TUU655397 UEQ655397 UOM655397 UYI655397 VIE655397 VSA655397 WBW655397 WLS655397 WVO655397 G720933 JC720933 SY720933 ACU720933 AMQ720933 AWM720933 BGI720933 BQE720933 CAA720933 CJW720933 CTS720933 DDO720933 DNK720933 DXG720933 EHC720933 EQY720933 FAU720933 FKQ720933 FUM720933 GEI720933 GOE720933 GYA720933 HHW720933 HRS720933 IBO720933 ILK720933 IVG720933 JFC720933 JOY720933 JYU720933 KIQ720933 KSM720933 LCI720933 LME720933 LWA720933 MFW720933 MPS720933 MZO720933 NJK720933 NTG720933 ODC720933 OMY720933 OWU720933 PGQ720933 PQM720933 QAI720933 QKE720933 QUA720933 RDW720933 RNS720933 RXO720933 SHK720933 SRG720933 TBC720933 TKY720933 TUU720933 UEQ720933 UOM720933 UYI720933 VIE720933 VSA720933 WBW720933 WLS720933 WVO720933 G786469 JC786469 SY786469 ACU786469 AMQ786469 AWM786469 BGI786469 BQE786469 CAA786469 CJW786469 CTS786469 DDO786469 DNK786469 DXG786469 EHC786469 EQY786469 FAU786469 FKQ786469 FUM786469 GEI786469 GOE786469 GYA786469 HHW786469 HRS786469 IBO786469 ILK786469 IVG786469 JFC786469 JOY786469 JYU786469 KIQ786469 KSM786469 LCI786469 LME786469 LWA786469 MFW786469 MPS786469 MZO786469 NJK786469 NTG786469 ODC786469 OMY786469 OWU786469 PGQ786469 PQM786469 QAI786469 QKE786469 QUA786469 RDW786469 RNS786469 RXO786469 SHK786469 SRG786469 TBC786469 TKY786469 TUU786469 UEQ786469 UOM786469 UYI786469 VIE786469 VSA786469 WBW786469 WLS786469 WVO786469 G852005 JC852005 SY852005 ACU852005 AMQ852005 AWM852005 BGI852005 BQE852005 CAA852005 CJW852005 CTS852005 DDO852005 DNK852005 DXG852005 EHC852005 EQY852005 FAU852005 FKQ852005 FUM852005 GEI852005 GOE852005 GYA852005 HHW852005 HRS852005 IBO852005 ILK852005 IVG852005 JFC852005 JOY852005 JYU852005 KIQ852005 KSM852005 LCI852005 LME852005 LWA852005 MFW852005 MPS852005 MZO852005 NJK852005 NTG852005 ODC852005 OMY852005 OWU852005 PGQ852005 PQM852005 QAI852005 QKE852005 QUA852005 RDW852005 RNS852005 RXO852005 SHK852005 SRG852005 TBC852005 TKY852005 TUU852005 UEQ852005 UOM852005 UYI852005 VIE852005 VSA852005 WBW852005 WLS852005 WVO852005 G917541 JC917541 SY917541 ACU917541 AMQ917541 AWM917541 BGI917541 BQE917541 CAA917541 CJW917541 CTS917541 DDO917541 DNK917541 DXG917541 EHC917541 EQY917541 FAU917541 FKQ917541 FUM917541 GEI917541 GOE917541 GYA917541 HHW917541 HRS917541 IBO917541 ILK917541 IVG917541 JFC917541 JOY917541 JYU917541 KIQ917541 KSM917541 LCI917541 LME917541 LWA917541 MFW917541 MPS917541 MZO917541 NJK917541 NTG917541 ODC917541 OMY917541 OWU917541 PGQ917541 PQM917541 QAI917541 QKE917541 QUA917541 RDW917541 RNS917541 RXO917541 SHK917541 SRG917541 TBC917541 TKY917541 TUU917541 UEQ917541 UOM917541 UYI917541 VIE917541 VSA917541 WBW917541 WLS917541 WVO917541 G983077 JC983077 SY983077 ACU983077 AMQ983077 AWM983077 BGI983077 BQE983077 CAA983077 CJW983077 CTS983077 DDO983077 DNK983077 DXG983077 EHC983077 EQY983077 FAU983077 FKQ983077 FUM983077 GEI983077 GOE983077 GYA983077 HHW983077 HRS983077 IBO983077 ILK983077 IVG983077 JFC983077 JOY983077 JYU983077 KIQ983077 KSM983077 LCI983077 LME983077 LWA983077 MFW983077 MPS983077 MZO983077 NJK983077 NTG983077" xr:uid="{00000000-0002-0000-0A00-000002000000}">
      <formula1>0</formula1>
      <formula2>D37-E37-F37</formula2>
    </dataValidation>
    <dataValidation type="whole" allowBlank="1" showInputMessage="1" showErrorMessage="1" errorTitle="Input error" error="The amount entered should be rounded to the nearest dollar and should not exceed the remaining ESSER I fund balance (column D minus columns E and F)." sqref="OMY983077 OWU983077 PGQ983077 PQM983077 QAI983077 QKE983077 QUA983077 RDW983077 RNS983077 RXO983077 SHK983077 SRG983077 TBC983077 TKY983077 TUU983077 UEQ983077 UOM983077 UYI983077 VIE983077 VSA983077 WBW983077 WLS983077 WVO983077" xr:uid="{00000000-0002-0000-0A00-000003000000}">
      <formula1>0</formula1>
      <formula2>IZ37-JA37-JB37</formula2>
    </dataValidation>
    <dataValidation type="whole" allowBlank="1" showInputMessage="1" showErrorMessage="1" errorTitle="Input error" error="The amount entered should be rounded to the nearest dollar and should not exceed the remaining ESSER II fund balance (column D minus columns E and F)." sqref="JD38 SZ38 ACV38 AMR38 AWN38 BGJ38 BQF38 CAB38 CJX38 CTT38 DDP38 DNL38 DXH38 EHD38 EQZ38 FAV38 FKR38 FUN38 GEJ38 GOF38 GYB38 HHX38 HRT38 IBP38 ILL38 IVH38 JFD38 JOZ38 JYV38 KIR38 KSN38 LCJ38 LMF38 LWB38 MFX38 MPT38 MZP38 NJL38 NTH38 ODD38 OMZ38 OWV38 PGR38 PQN38 QAJ38 QKF38 QUB38 RDX38 RNT38 RXP38 SHL38 SRH38 TBD38 TKZ38 TUV38 UER38 UON38 UYJ38 VIF38 VSB38 WBX38 WLT38 WVP38 G65574 JC65574 SY65574 ACU65574 AMQ65574 AWM65574 BGI65574 BQE65574 CAA65574 CJW65574 CTS65574 DDO65574 DNK65574 DXG65574 EHC65574 EQY65574 FAU65574 FKQ65574 FUM65574 GEI65574 GOE65574 GYA65574 HHW65574 HRS65574 IBO65574 ILK65574 IVG65574 JFC65574 JOY65574 JYU65574 KIQ65574 KSM65574 LCI65574 LME65574 LWA65574 MFW65574 MPS65574 MZO65574 NJK65574 NTG65574 ODC65574 OMY65574 OWU65574 PGQ65574 PQM65574 QAI65574 QKE65574 QUA65574 RDW65574 RNS65574 RXO65574 SHK65574 SRG65574 TBC65574 TKY65574 TUU65574 UEQ65574 UOM65574 UYI65574 VIE65574 VSA65574 WBW65574 WLS65574 WVO65574 G131110 JC131110 SY131110 ACU131110 AMQ131110 AWM131110 BGI131110 BQE131110 CAA131110 CJW131110 CTS131110 DDO131110 DNK131110 DXG131110 EHC131110 EQY131110 FAU131110 FKQ131110 FUM131110 GEI131110 GOE131110 GYA131110 HHW131110 HRS131110 IBO131110 ILK131110 IVG131110 JFC131110 JOY131110 JYU131110 KIQ131110 KSM131110 LCI131110 LME131110 LWA131110 MFW131110 MPS131110 MZO131110 NJK131110 NTG131110 ODC131110 OMY131110 OWU131110 PGQ131110 PQM131110 QAI131110 QKE131110 QUA131110 RDW131110 RNS131110 RXO131110 SHK131110 SRG131110 TBC131110 TKY131110 TUU131110 UEQ131110 UOM131110 UYI131110 VIE131110 VSA131110 WBW131110 WLS131110 WVO131110 G196646 JC196646 SY196646 ACU196646 AMQ196646 AWM196646 BGI196646 BQE196646 CAA196646 CJW196646 CTS196646 DDO196646 DNK196646 DXG196646 EHC196646 EQY196646 FAU196646 FKQ196646 FUM196646 GEI196646 GOE196646 GYA196646 HHW196646 HRS196646 IBO196646 ILK196646 IVG196646 JFC196646 JOY196646 JYU196646 KIQ196646 KSM196646 LCI196646 LME196646 LWA196646 MFW196646 MPS196646 MZO196646 NJK196646 NTG196646 ODC196646 OMY196646 OWU196646 PGQ196646 PQM196646 QAI196646 QKE196646 QUA196646 RDW196646 RNS196646 RXO196646 SHK196646 SRG196646 TBC196646 TKY196646 TUU196646 UEQ196646 UOM196646 UYI196646 VIE196646 VSA196646 WBW196646 WLS196646 WVO196646 G262182 JC262182 SY262182 ACU262182 AMQ262182 AWM262182 BGI262182 BQE262182 CAA262182 CJW262182 CTS262182 DDO262182 DNK262182 DXG262182 EHC262182 EQY262182 FAU262182 FKQ262182 FUM262182 GEI262182 GOE262182 GYA262182 HHW262182 HRS262182 IBO262182 ILK262182 IVG262182 JFC262182 JOY262182 JYU262182 KIQ262182 KSM262182 LCI262182 LME262182 LWA262182 MFW262182 MPS262182 MZO262182 NJK262182 NTG262182 ODC262182 OMY262182 OWU262182 PGQ262182 PQM262182 QAI262182 QKE262182 QUA262182 RDW262182 RNS262182 RXO262182 SHK262182 SRG262182 TBC262182 TKY262182 TUU262182 UEQ262182 UOM262182 UYI262182 VIE262182 VSA262182 WBW262182 WLS262182 WVO262182 G327718 JC327718 SY327718 ACU327718 AMQ327718 AWM327718 BGI327718 BQE327718 CAA327718 CJW327718 CTS327718 DDO327718 DNK327718 DXG327718 EHC327718 EQY327718 FAU327718 FKQ327718 FUM327718 GEI327718 GOE327718 GYA327718 HHW327718 HRS327718 IBO327718 ILK327718 IVG327718 JFC327718 JOY327718 JYU327718 KIQ327718 KSM327718 LCI327718 LME327718 LWA327718 MFW327718 MPS327718 MZO327718 NJK327718 NTG327718 ODC327718 OMY327718 OWU327718 PGQ327718 PQM327718 QAI327718 QKE327718 QUA327718 RDW327718 RNS327718 RXO327718 SHK327718 SRG327718 TBC327718 TKY327718 TUU327718 UEQ327718 UOM327718 UYI327718 VIE327718 VSA327718 WBW327718 WLS327718 WVO327718 G393254 JC393254 SY393254 ACU393254 AMQ393254 AWM393254 BGI393254 BQE393254 CAA393254 CJW393254 CTS393254 DDO393254 DNK393254 DXG393254 EHC393254 EQY393254 FAU393254 FKQ393254 FUM393254 GEI393254 GOE393254 GYA393254 HHW393254 HRS393254 IBO393254 ILK393254 IVG393254 JFC393254 JOY393254 JYU393254 KIQ393254 KSM393254 LCI393254 LME393254 LWA393254 MFW393254 MPS393254 MZO393254 NJK393254 NTG393254 ODC393254 OMY393254 OWU393254 PGQ393254 PQM393254 QAI393254 QKE393254 QUA393254 RDW393254 RNS393254 RXO393254 SHK393254 SRG393254 TBC393254 TKY393254 TUU393254 UEQ393254 UOM393254 UYI393254 VIE393254 VSA393254 WBW393254 WLS393254 WVO393254 G458790 JC458790 SY458790 ACU458790 AMQ458790 AWM458790 BGI458790 BQE458790 CAA458790 CJW458790 CTS458790 DDO458790 DNK458790 DXG458790 EHC458790 EQY458790 FAU458790 FKQ458790 FUM458790 GEI458790 GOE458790 GYA458790 HHW458790 HRS458790 IBO458790 ILK458790 IVG458790 JFC458790 JOY458790 JYU458790 KIQ458790 KSM458790 LCI458790 LME458790 LWA458790 MFW458790 MPS458790 MZO458790 NJK458790 NTG458790 ODC458790 OMY458790 OWU458790 PGQ458790 PQM458790 QAI458790 QKE458790 QUA458790 RDW458790 RNS458790 RXO458790 SHK458790 SRG458790 TBC458790 TKY458790 TUU458790 UEQ458790 UOM458790 UYI458790 VIE458790 VSA458790 WBW458790 WLS458790 WVO458790 G524326 JC524326 SY524326 ACU524326 AMQ524326 AWM524326 BGI524326 BQE524326 CAA524326 CJW524326 CTS524326 DDO524326 DNK524326 DXG524326 EHC524326 EQY524326 FAU524326 FKQ524326 FUM524326 GEI524326 GOE524326 GYA524326 HHW524326 HRS524326 IBO524326 ILK524326 IVG524326 JFC524326 JOY524326 JYU524326 KIQ524326 KSM524326 LCI524326 LME524326 LWA524326 MFW524326 MPS524326 MZO524326 NJK524326 NTG524326 ODC524326 OMY524326 OWU524326 PGQ524326 PQM524326 QAI524326 QKE524326 QUA524326 RDW524326 RNS524326 RXO524326 SHK524326 SRG524326 TBC524326 TKY524326 TUU524326 UEQ524326 UOM524326 UYI524326 VIE524326 VSA524326 WBW524326 WLS524326 WVO524326 G589862 JC589862 SY589862 ACU589862 AMQ589862 AWM589862 BGI589862 BQE589862 CAA589862 CJW589862 CTS589862 DDO589862 DNK589862 DXG589862 EHC589862 EQY589862 FAU589862 FKQ589862 FUM589862 GEI589862 GOE589862 GYA589862 HHW589862 HRS589862 IBO589862 ILK589862 IVG589862 JFC589862 JOY589862 JYU589862 KIQ589862 KSM589862 LCI589862 LME589862 LWA589862 MFW589862 MPS589862 MZO589862 NJK589862 NTG589862 ODC589862 OMY589862 OWU589862 PGQ589862 PQM589862 QAI589862 QKE589862 QUA589862 RDW589862 RNS589862 RXO589862 SHK589862 SRG589862 TBC589862 TKY589862 TUU589862 UEQ589862 UOM589862 UYI589862 VIE589862 VSA589862 WBW589862 WLS589862 WVO589862 G655398 JC655398 SY655398 ACU655398 AMQ655398 AWM655398 BGI655398 BQE655398 CAA655398 CJW655398 CTS655398 DDO655398 DNK655398 DXG655398 EHC655398 EQY655398 FAU655398 FKQ655398 FUM655398 GEI655398 GOE655398 GYA655398 HHW655398 HRS655398 IBO655398 ILK655398 IVG655398 JFC655398 JOY655398 JYU655398 KIQ655398 KSM655398 LCI655398 LME655398 LWA655398 MFW655398 MPS655398 MZO655398 NJK655398 NTG655398 ODC655398 OMY655398 OWU655398 PGQ655398 PQM655398 QAI655398 QKE655398 QUA655398 RDW655398 RNS655398 RXO655398 SHK655398 SRG655398 TBC655398 TKY655398 TUU655398 UEQ655398 UOM655398 UYI655398 VIE655398 VSA655398 WBW655398 WLS655398 WVO655398 G720934 JC720934 SY720934 ACU720934 AMQ720934 AWM720934 BGI720934 BQE720934 CAA720934 CJW720934 CTS720934 DDO720934 DNK720934 DXG720934 EHC720934 EQY720934 FAU720934 FKQ720934 FUM720934 GEI720934 GOE720934 GYA720934 HHW720934 HRS720934 IBO720934 ILK720934 IVG720934 JFC720934 JOY720934 JYU720934 KIQ720934 KSM720934 LCI720934 LME720934 LWA720934 MFW720934 MPS720934 MZO720934 NJK720934 NTG720934 ODC720934 OMY720934 OWU720934 PGQ720934 PQM720934 QAI720934 QKE720934 QUA720934 RDW720934 RNS720934 RXO720934 SHK720934 SRG720934 TBC720934 TKY720934 TUU720934 UEQ720934 UOM720934 UYI720934 VIE720934 VSA720934 WBW720934 WLS720934 WVO720934 G786470 JC786470 SY786470 ACU786470 AMQ786470 AWM786470 BGI786470 BQE786470 CAA786470 CJW786470 CTS786470 DDO786470 DNK786470 DXG786470 EHC786470 EQY786470 FAU786470 FKQ786470 FUM786470 GEI786470 GOE786470 GYA786470 HHW786470 HRS786470 IBO786470 ILK786470 IVG786470 JFC786470 JOY786470 JYU786470 KIQ786470 KSM786470 LCI786470 LME786470 LWA786470 MFW786470 MPS786470 MZO786470 NJK786470 NTG786470 ODC786470 OMY786470 OWU786470 PGQ786470 PQM786470 QAI786470 QKE786470 QUA786470 RDW786470 RNS786470 RXO786470 SHK786470 SRG786470 TBC786470 TKY786470 TUU786470 UEQ786470 UOM786470 UYI786470 VIE786470 VSA786470 WBW786470 WLS786470 WVO786470 G852006 JC852006 SY852006 ACU852006 AMQ852006 AWM852006 BGI852006 BQE852006 CAA852006 CJW852006 CTS852006 DDO852006 DNK852006 DXG852006 EHC852006 EQY852006 FAU852006 FKQ852006 FUM852006 GEI852006 GOE852006 GYA852006 HHW852006 HRS852006 IBO852006 ILK852006 IVG852006 JFC852006 JOY852006 JYU852006 KIQ852006 KSM852006 LCI852006 LME852006 LWA852006 MFW852006 MPS852006 MZO852006 NJK852006 NTG852006 ODC852006 OMY852006 OWU852006 PGQ852006 PQM852006 QAI852006 QKE852006 QUA852006 RDW852006 RNS852006 RXO852006 SHK852006 SRG852006 TBC852006 TKY852006 TUU852006 UEQ852006 UOM852006 UYI852006 VIE852006 VSA852006 WBW852006 WLS852006 WVO852006 G917542 JC917542 SY917542 ACU917542 AMQ917542 AWM917542 BGI917542 BQE917542 CAA917542 CJW917542 CTS917542 DDO917542 DNK917542 DXG917542 EHC917542 EQY917542 FAU917542 FKQ917542 FUM917542 GEI917542 GOE917542 GYA917542 HHW917542 HRS917542 IBO917542 ILK917542 IVG917542 JFC917542 JOY917542 JYU917542 KIQ917542 KSM917542 LCI917542 LME917542 LWA917542 MFW917542 MPS917542 MZO917542 NJK917542 NTG917542 ODC917542 OMY917542 OWU917542 PGQ917542 PQM917542 QAI917542 QKE917542 QUA917542 RDW917542 RNS917542 RXO917542 SHK917542 SRG917542 TBC917542 TKY917542 TUU917542 UEQ917542 UOM917542 UYI917542 VIE917542 VSA917542 WBW917542 WLS917542 WVO917542 G983078 JC983078 SY983078 ACU983078 AMQ983078 AWM983078 BGI983078 BQE983078 CAA983078 CJW983078 CTS983078 DDO983078 DNK983078 DXG983078 EHC983078 EQY983078 FAU983078 FKQ983078 FUM983078 GEI983078 GOE983078 GYA983078 HHW983078 HRS983078 IBO983078 ILK983078 IVG983078 JFC983078 JOY983078 JYU983078 KIQ983078 KSM983078 LCI983078 LME983078 LWA983078 MFW983078 MPS983078 MZO983078 NJK983078 NTG983078" xr:uid="{00000000-0002-0000-0A00-000004000000}">
      <formula1>0</formula1>
      <formula2>D38-E38-F38</formula2>
    </dataValidation>
    <dataValidation type="whole" allowBlank="1" showInputMessage="1" showErrorMessage="1" errorTitle="Input error" error="The amount entered should be rounded to the nearest dollar and should not exceed the remaining ESSER II fund balance (column D minus columns E and F)." sqref="OMY983078 OWU983078 PGQ983078 PQM983078 QAI983078 QKE983078 QUA983078 RDW983078 RNS983078 RXO983078 SHK983078 SRG983078 TBC983078 TKY983078 TUU983078 UEQ983078 UOM983078 UYI983078 VIE983078 VSA983078 WBW983078 WLS983078 WVO983078" xr:uid="{00000000-0002-0000-0A00-000005000000}">
      <formula1>0</formula1>
      <formula2>IZ38-JA38-JB38</formula2>
    </dataValidation>
    <dataValidation type="whole" allowBlank="1" showInputMessage="1" showErrorMessage="1" errorTitle="Input error" error="The amount entered should be rounded to the nearest dollar and should not exceed the remaining ESG Fund balance (column D minus columns E and F)." sqref="JC41 SY41 ACU41 AMQ41 AWM41 BGI41 BQE41 CAA41 CJW41 CTS41 DDO41 DNK41 DXG41 EHC41 EQY41 FAU41 FKQ41 FUM41 GEI41 GOE41 GYA41 HHW41 HRS41 IBO41 ILK41 IVG41 JFC41 JOY41 JYU41 KIQ41 KSM41 LCI41 LME41 LWA41 MFW41 MPS41 MZO41 NJK41 NTG41 ODC41 OMY41 OWU41 PGQ41 PQM41 QAI41 QKE41 QUA41 RDW41 RNS41 RXO41 SHK41 SRG41 TBC41 TKY41 TUU41 UEQ41 UOM41 UYI41 VIE41 VSA41 WBW41 WLS41 WVO41 G65577 JC65577 SY65577 ACU65577 AMQ65577 AWM65577 BGI65577 BQE65577 CAA65577 CJW65577 CTS65577 DDO65577 DNK65577 DXG65577 EHC65577 EQY65577 FAU65577 FKQ65577 FUM65577 GEI65577 GOE65577 GYA65577 HHW65577 HRS65577 IBO65577 ILK65577 IVG65577 JFC65577 JOY65577 JYU65577 KIQ65577 KSM65577 LCI65577 LME65577 LWA65577 MFW65577 MPS65577 MZO65577 NJK65577 NTG65577 ODC65577 OMY65577 OWU65577 PGQ65577 PQM65577 QAI65577 QKE65577 QUA65577 RDW65577 RNS65577 RXO65577 SHK65577 SRG65577 TBC65577 TKY65577 TUU65577 UEQ65577 UOM65577 UYI65577 VIE65577 VSA65577 WBW65577 WLS65577 WVO65577 G131113 JC131113 SY131113 ACU131113 AMQ131113 AWM131113 BGI131113 BQE131113 CAA131113 CJW131113 CTS131113 DDO131113 DNK131113 DXG131113 EHC131113 EQY131113 FAU131113 FKQ131113 FUM131113 GEI131113 GOE131113 GYA131113 HHW131113 HRS131113 IBO131113 ILK131113 IVG131113 JFC131113 JOY131113 JYU131113 KIQ131113 KSM131113 LCI131113 LME131113 LWA131113 MFW131113 MPS131113 MZO131113 NJK131113 NTG131113 ODC131113 OMY131113 OWU131113 PGQ131113 PQM131113 QAI131113 QKE131113 QUA131113 RDW131113 RNS131113 RXO131113 SHK131113 SRG131113 TBC131113 TKY131113 TUU131113 UEQ131113 UOM131113 UYI131113 VIE131113 VSA131113 WBW131113 WLS131113 WVO131113 G196649 JC196649 SY196649 ACU196649 AMQ196649 AWM196649 BGI196649 BQE196649 CAA196649 CJW196649 CTS196649 DDO196649 DNK196649 DXG196649 EHC196649 EQY196649 FAU196649 FKQ196649 FUM196649 GEI196649 GOE196649 GYA196649 HHW196649 HRS196649 IBO196649 ILK196649 IVG196649 JFC196649 JOY196649 JYU196649 KIQ196649 KSM196649 LCI196649 LME196649 LWA196649 MFW196649 MPS196649 MZO196649 NJK196649 NTG196649 ODC196649 OMY196649 OWU196649 PGQ196649 PQM196649 QAI196649 QKE196649 QUA196649 RDW196649 RNS196649 RXO196649 SHK196649 SRG196649 TBC196649 TKY196649 TUU196649 UEQ196649 UOM196649 UYI196649 VIE196649 VSA196649 WBW196649 WLS196649 WVO196649 G262185 JC262185 SY262185 ACU262185 AMQ262185 AWM262185 BGI262185 BQE262185 CAA262185 CJW262185 CTS262185 DDO262185 DNK262185 DXG262185 EHC262185 EQY262185 FAU262185 FKQ262185 FUM262185 GEI262185 GOE262185 GYA262185 HHW262185 HRS262185 IBO262185 ILK262185 IVG262185 JFC262185 JOY262185 JYU262185 KIQ262185 KSM262185 LCI262185 LME262185 LWA262185 MFW262185 MPS262185 MZO262185 NJK262185 NTG262185 ODC262185 OMY262185 OWU262185 PGQ262185 PQM262185 QAI262185 QKE262185 QUA262185 RDW262185 RNS262185 RXO262185 SHK262185 SRG262185 TBC262185 TKY262185 TUU262185 UEQ262185 UOM262185 UYI262185 VIE262185 VSA262185 WBW262185 WLS262185 WVO262185 G327721 JC327721 SY327721 ACU327721 AMQ327721 AWM327721 BGI327721 BQE327721 CAA327721 CJW327721 CTS327721 DDO327721 DNK327721 DXG327721 EHC327721 EQY327721 FAU327721 FKQ327721 FUM327721 GEI327721 GOE327721 GYA327721 HHW327721 HRS327721 IBO327721 ILK327721 IVG327721 JFC327721 JOY327721 JYU327721 KIQ327721 KSM327721 LCI327721 LME327721 LWA327721 MFW327721 MPS327721 MZO327721 NJK327721 NTG327721 ODC327721 OMY327721 OWU327721 PGQ327721 PQM327721 QAI327721 QKE327721 QUA327721 RDW327721 RNS327721 RXO327721 SHK327721 SRG327721 TBC327721 TKY327721 TUU327721 UEQ327721 UOM327721 UYI327721 VIE327721 VSA327721 WBW327721 WLS327721 WVO327721 G393257 JC393257 SY393257 ACU393257 AMQ393257 AWM393257 BGI393257 BQE393257 CAA393257 CJW393257 CTS393257 DDO393257 DNK393257 DXG393257 EHC393257 EQY393257 FAU393257 FKQ393257 FUM393257 GEI393257 GOE393257 GYA393257 HHW393257 HRS393257 IBO393257 ILK393257 IVG393257 JFC393257 JOY393257 JYU393257 KIQ393257 KSM393257 LCI393257 LME393257 LWA393257 MFW393257 MPS393257 MZO393257 NJK393257 NTG393257 ODC393257 OMY393257 OWU393257 PGQ393257 PQM393257 QAI393257 QKE393257 QUA393257 RDW393257 RNS393257 RXO393257 SHK393257 SRG393257 TBC393257 TKY393257 TUU393257 UEQ393257 UOM393257 UYI393257 VIE393257 VSA393257 WBW393257 WLS393257 WVO393257 G458793 JC458793 SY458793 ACU458793 AMQ458793 AWM458793 BGI458793 BQE458793 CAA458793 CJW458793 CTS458793 DDO458793 DNK458793 DXG458793 EHC458793 EQY458793 FAU458793 FKQ458793 FUM458793 GEI458793 GOE458793 GYA458793 HHW458793 HRS458793 IBO458793 ILK458793 IVG458793 JFC458793 JOY458793 JYU458793 KIQ458793 KSM458793 LCI458793 LME458793 LWA458793 MFW458793 MPS458793 MZO458793 NJK458793 NTG458793 ODC458793 OMY458793 OWU458793 PGQ458793 PQM458793 QAI458793 QKE458793 QUA458793 RDW458793 RNS458793 RXO458793 SHK458793 SRG458793 TBC458793 TKY458793 TUU458793 UEQ458793 UOM458793 UYI458793 VIE458793 VSA458793 WBW458793 WLS458793 WVO458793 G524329 JC524329 SY524329 ACU524329 AMQ524329 AWM524329 BGI524329 BQE524329 CAA524329 CJW524329 CTS524329 DDO524329 DNK524329 DXG524329 EHC524329 EQY524329 FAU524329 FKQ524329 FUM524329 GEI524329 GOE524329 GYA524329 HHW524329 HRS524329 IBO524329 ILK524329 IVG524329 JFC524329 JOY524329 JYU524329 KIQ524329 KSM524329 LCI524329 LME524329 LWA524329 MFW524329 MPS524329 MZO524329 NJK524329 NTG524329 ODC524329 OMY524329 OWU524329 PGQ524329 PQM524329 QAI524329 QKE524329 QUA524329 RDW524329 RNS524329 RXO524329 SHK524329 SRG524329 TBC524329 TKY524329 TUU524329 UEQ524329 UOM524329 UYI524329 VIE524329 VSA524329 WBW524329 WLS524329 WVO524329 G589865 JC589865 SY589865 ACU589865 AMQ589865 AWM589865 BGI589865 BQE589865 CAA589865 CJW589865 CTS589865 DDO589865 DNK589865 DXG589865 EHC589865 EQY589865 FAU589865 FKQ589865 FUM589865 GEI589865 GOE589865 GYA589865 HHW589865 HRS589865 IBO589865 ILK589865 IVG589865 JFC589865 JOY589865 JYU589865 KIQ589865 KSM589865 LCI589865 LME589865 LWA589865 MFW589865 MPS589865 MZO589865 NJK589865 NTG589865 ODC589865 OMY589865 OWU589865 PGQ589865 PQM589865 QAI589865 QKE589865 QUA589865 RDW589865 RNS589865 RXO589865 SHK589865 SRG589865 TBC589865 TKY589865 TUU589865 UEQ589865 UOM589865 UYI589865 VIE589865 VSA589865 WBW589865 WLS589865 WVO589865 G655401 JC655401 SY655401 ACU655401 AMQ655401 AWM655401 BGI655401 BQE655401 CAA655401 CJW655401 CTS655401 DDO655401 DNK655401 DXG655401 EHC655401 EQY655401 FAU655401 FKQ655401 FUM655401 GEI655401 GOE655401 GYA655401 HHW655401 HRS655401 IBO655401 ILK655401 IVG655401 JFC655401 JOY655401 JYU655401 KIQ655401 KSM655401 LCI655401 LME655401 LWA655401 MFW655401 MPS655401 MZO655401 NJK655401 NTG655401 ODC655401 OMY655401 OWU655401 PGQ655401 PQM655401 QAI655401 QKE655401 QUA655401 RDW655401 RNS655401 RXO655401 SHK655401 SRG655401 TBC655401 TKY655401 TUU655401 UEQ655401 UOM655401 UYI655401 VIE655401 VSA655401 WBW655401 WLS655401 WVO655401 G720937 JC720937 SY720937 ACU720937 AMQ720937 AWM720937 BGI720937 BQE720937 CAA720937 CJW720937 CTS720937 DDO720937 DNK720937 DXG720937 EHC720937 EQY720937 FAU720937 FKQ720937 FUM720937 GEI720937 GOE720937 GYA720937 HHW720937 HRS720937 IBO720937 ILK720937 IVG720937 JFC720937 JOY720937 JYU720937 KIQ720937 KSM720937 LCI720937 LME720937 LWA720937 MFW720937 MPS720937 MZO720937 NJK720937 NTG720937 ODC720937 OMY720937 OWU720937 PGQ720937 PQM720937 QAI720937 QKE720937 QUA720937 RDW720937 RNS720937 RXO720937 SHK720937 SRG720937 TBC720937 TKY720937 TUU720937 UEQ720937 UOM720937 UYI720937 VIE720937 VSA720937 WBW720937 WLS720937 WVO720937 G786473 JC786473 SY786473 ACU786473 AMQ786473 AWM786473 BGI786473 BQE786473 CAA786473 CJW786473 CTS786473 DDO786473 DNK786473 DXG786473 EHC786473 EQY786473 FAU786473 FKQ786473 FUM786473 GEI786473 GOE786473 GYA786473 HHW786473 HRS786473 IBO786473 ILK786473 IVG786473 JFC786473 JOY786473 JYU786473 KIQ786473 KSM786473 LCI786473 LME786473 LWA786473 MFW786473 MPS786473 MZO786473 NJK786473 NTG786473 ODC786473 OMY786473 OWU786473 PGQ786473 PQM786473 QAI786473 QKE786473 QUA786473 RDW786473 RNS786473 RXO786473 SHK786473 SRG786473 TBC786473 TKY786473 TUU786473 UEQ786473 UOM786473 UYI786473 VIE786473 VSA786473 WBW786473 WLS786473 WVO786473 G852009 JC852009 SY852009 ACU852009 AMQ852009 AWM852009 BGI852009 BQE852009 CAA852009 CJW852009 CTS852009 DDO852009 DNK852009 DXG852009 EHC852009 EQY852009 FAU852009 FKQ852009 FUM852009 GEI852009 GOE852009 GYA852009 HHW852009 HRS852009 IBO852009 ILK852009 IVG852009 JFC852009 JOY852009 JYU852009 KIQ852009 KSM852009 LCI852009 LME852009 LWA852009 MFW852009 MPS852009 MZO852009 NJK852009 NTG852009 ODC852009 OMY852009 OWU852009 PGQ852009 PQM852009 QAI852009 QKE852009 QUA852009 RDW852009 RNS852009 RXO852009 SHK852009 SRG852009 TBC852009 TKY852009 TUU852009 UEQ852009 UOM852009 UYI852009 VIE852009 VSA852009 WBW852009 WLS852009 WVO852009 G917545 JC917545 SY917545 ACU917545 AMQ917545 AWM917545 BGI917545 BQE917545 CAA917545 CJW917545 CTS917545 DDO917545 DNK917545 DXG917545 EHC917545 EQY917545 FAU917545 FKQ917545 FUM917545 GEI917545 GOE917545 GYA917545 HHW917545 HRS917545 IBO917545 ILK917545 IVG917545 JFC917545 JOY917545 JYU917545 KIQ917545 KSM917545 LCI917545 LME917545 LWA917545 MFW917545 MPS917545 MZO917545 NJK917545 NTG917545 ODC917545 OMY917545 OWU917545 PGQ917545 PQM917545 QAI917545 QKE917545 QUA917545 RDW917545 RNS917545 RXO917545 SHK917545 SRG917545 TBC917545 TKY917545 TUU917545 UEQ917545 UOM917545 UYI917545 VIE917545 VSA917545 WBW917545 WLS917545 WVO917545 G983081 JC983081 SY983081 ACU983081 AMQ983081 AWM983081 BGI983081 BQE983081 CAA983081 CJW983081 CTS983081 DDO983081 DNK983081 DXG983081 EHC983081 EQY983081 FAU983081 FKQ983081 FUM983081 GEI983081 GOE983081 GYA983081 HHW983081 HRS983081 IBO983081 ILK983081 IVG983081 JFC983081 JOY983081 JYU983081 KIQ983081 KSM983081 LCI983081 LME983081 LWA983081 MFW983081 MPS983081 MZO983081 NJK983081 NTG983081" xr:uid="{00000000-0002-0000-0A00-000006000000}">
      <formula1>0</formula1>
      <formula2>D41-E41-F41</formula2>
    </dataValidation>
    <dataValidation type="whole" allowBlank="1" showInputMessage="1" showErrorMessage="1" errorTitle="Input error" error="The amount entered should be rounded to the nearest dollar and should not exceed the remaining ESG Fund balance (column D minus columns E and F)." sqref="OMY983081 OWU983081 PGQ983081 PQM983081 QAI983081 QKE983081 QUA983081 RDW983081 RNS983081 RXO983081 SHK983081 SRG983081 TBC983081 TKY983081 TUU983081 UEQ983081 UOM983081 UYI983081 VIE983081 VSA983081 WBW983081 WLS983081 WVO983081" xr:uid="{00000000-0002-0000-0A00-000007000000}">
      <formula1>0</formula1>
      <formula2>IZ41-JA41-JB41</formula2>
    </dataValidation>
    <dataValidation type="whole" allowBlank="1" showInputMessage="1" showErrorMessage="1" errorTitle="Input error" error="The amount entered should be rounded to the nearest dollar and should not exceed the remaining GEER fund balance (column D minus columns E and F)." sqref="JD40 SZ40 ACV40 AMR40 AWN40 BGJ40 BQF40 CAB40 CJX40 CTT40 DDP40 DNL40 DXH40 EHD40 EQZ40 FAV40 FKR40 FUN40 GEJ40 GOF40 GYB40 HHX40 HRT40 IBP40 ILL40 IVH40 JFD40 JOZ40 JYV40 KIR40 KSN40 LCJ40 LMF40 LWB40 MFX40 MPT40 MZP40 NJL40 NTH40 ODD40 OMZ40 OWV40 PGR40 PQN40 QAJ40 QKF40 QUB40 RDX40 RNT40 RXP40 SHL40 SRH40 TBD40 TKZ40 TUV40 UER40 UON40 UYJ40 VIF40 VSB40 WBX40 WLT40 WVP40 G65576 JC65576 SY65576 ACU65576 AMQ65576 AWM65576 BGI65576 BQE65576 CAA65576 CJW65576 CTS65576 DDO65576 DNK65576 DXG65576 EHC65576 EQY65576 FAU65576 FKQ65576 FUM65576 GEI65576 GOE65576 GYA65576 HHW65576 HRS65576 IBO65576 ILK65576 IVG65576 JFC65576 JOY65576 JYU65576 KIQ65576 KSM65576 LCI65576 LME65576 LWA65576 MFW65576 MPS65576 MZO65576 NJK65576 NTG65576 ODC65576 OMY65576 OWU65576 PGQ65576 PQM65576 QAI65576 QKE65576 QUA65576 RDW65576 RNS65576 RXO65576 SHK65576 SRG65576 TBC65576 TKY65576 TUU65576 UEQ65576 UOM65576 UYI65576 VIE65576 VSA65576 WBW65576 WLS65576 WVO65576 G131112 JC131112 SY131112 ACU131112 AMQ131112 AWM131112 BGI131112 BQE131112 CAA131112 CJW131112 CTS131112 DDO131112 DNK131112 DXG131112 EHC131112 EQY131112 FAU131112 FKQ131112 FUM131112 GEI131112 GOE131112 GYA131112 HHW131112 HRS131112 IBO131112 ILK131112 IVG131112 JFC131112 JOY131112 JYU131112 KIQ131112 KSM131112 LCI131112 LME131112 LWA131112 MFW131112 MPS131112 MZO131112 NJK131112 NTG131112 ODC131112 OMY131112 OWU131112 PGQ131112 PQM131112 QAI131112 QKE131112 QUA131112 RDW131112 RNS131112 RXO131112 SHK131112 SRG131112 TBC131112 TKY131112 TUU131112 UEQ131112 UOM131112 UYI131112 VIE131112 VSA131112 WBW131112 WLS131112 WVO131112 G196648 JC196648 SY196648 ACU196648 AMQ196648 AWM196648 BGI196648 BQE196648 CAA196648 CJW196648 CTS196648 DDO196648 DNK196648 DXG196648 EHC196648 EQY196648 FAU196648 FKQ196648 FUM196648 GEI196648 GOE196648 GYA196648 HHW196648 HRS196648 IBO196648 ILK196648 IVG196648 JFC196648 JOY196648 JYU196648 KIQ196648 KSM196648 LCI196648 LME196648 LWA196648 MFW196648 MPS196648 MZO196648 NJK196648 NTG196648 ODC196648 OMY196648 OWU196648 PGQ196648 PQM196648 QAI196648 QKE196648 QUA196648 RDW196648 RNS196648 RXO196648 SHK196648 SRG196648 TBC196648 TKY196648 TUU196648 UEQ196648 UOM196648 UYI196648 VIE196648 VSA196648 WBW196648 WLS196648 WVO196648 G262184 JC262184 SY262184 ACU262184 AMQ262184 AWM262184 BGI262184 BQE262184 CAA262184 CJW262184 CTS262184 DDO262184 DNK262184 DXG262184 EHC262184 EQY262184 FAU262184 FKQ262184 FUM262184 GEI262184 GOE262184 GYA262184 HHW262184 HRS262184 IBO262184 ILK262184 IVG262184 JFC262184 JOY262184 JYU262184 KIQ262184 KSM262184 LCI262184 LME262184 LWA262184 MFW262184 MPS262184 MZO262184 NJK262184 NTG262184 ODC262184 OMY262184 OWU262184 PGQ262184 PQM262184 QAI262184 QKE262184 QUA262184 RDW262184 RNS262184 RXO262184 SHK262184 SRG262184 TBC262184 TKY262184 TUU262184 UEQ262184 UOM262184 UYI262184 VIE262184 VSA262184 WBW262184 WLS262184 WVO262184 G327720 JC327720 SY327720 ACU327720 AMQ327720 AWM327720 BGI327720 BQE327720 CAA327720 CJW327720 CTS327720 DDO327720 DNK327720 DXG327720 EHC327720 EQY327720 FAU327720 FKQ327720 FUM327720 GEI327720 GOE327720 GYA327720 HHW327720 HRS327720 IBO327720 ILK327720 IVG327720 JFC327720 JOY327720 JYU327720 KIQ327720 KSM327720 LCI327720 LME327720 LWA327720 MFW327720 MPS327720 MZO327720 NJK327720 NTG327720 ODC327720 OMY327720 OWU327720 PGQ327720 PQM327720 QAI327720 QKE327720 QUA327720 RDW327720 RNS327720 RXO327720 SHK327720 SRG327720 TBC327720 TKY327720 TUU327720 UEQ327720 UOM327720 UYI327720 VIE327720 VSA327720 WBW327720 WLS327720 WVO327720 G393256 JC393256 SY393256 ACU393256 AMQ393256 AWM393256 BGI393256 BQE393256 CAA393256 CJW393256 CTS393256 DDO393256 DNK393256 DXG393256 EHC393256 EQY393256 FAU393256 FKQ393256 FUM393256 GEI393256 GOE393256 GYA393256 HHW393256 HRS393256 IBO393256 ILK393256 IVG393256 JFC393256 JOY393256 JYU393256 KIQ393256 KSM393256 LCI393256 LME393256 LWA393256 MFW393256 MPS393256 MZO393256 NJK393256 NTG393256 ODC393256 OMY393256 OWU393256 PGQ393256 PQM393256 QAI393256 QKE393256 QUA393256 RDW393256 RNS393256 RXO393256 SHK393256 SRG393256 TBC393256 TKY393256 TUU393256 UEQ393256 UOM393256 UYI393256 VIE393256 VSA393256 WBW393256 WLS393256 WVO393256 G458792 JC458792 SY458792 ACU458792 AMQ458792 AWM458792 BGI458792 BQE458792 CAA458792 CJW458792 CTS458792 DDO458792 DNK458792 DXG458792 EHC458792 EQY458792 FAU458792 FKQ458792 FUM458792 GEI458792 GOE458792 GYA458792 HHW458792 HRS458792 IBO458792 ILK458792 IVG458792 JFC458792 JOY458792 JYU458792 KIQ458792 KSM458792 LCI458792 LME458792 LWA458792 MFW458792 MPS458792 MZO458792 NJK458792 NTG458792 ODC458792 OMY458792 OWU458792 PGQ458792 PQM458792 QAI458792 QKE458792 QUA458792 RDW458792 RNS458792 RXO458792 SHK458792 SRG458792 TBC458792 TKY458792 TUU458792 UEQ458792 UOM458792 UYI458792 VIE458792 VSA458792 WBW458792 WLS458792 WVO458792 G524328 JC524328 SY524328 ACU524328 AMQ524328 AWM524328 BGI524328 BQE524328 CAA524328 CJW524328 CTS524328 DDO524328 DNK524328 DXG524328 EHC524328 EQY524328 FAU524328 FKQ524328 FUM524328 GEI524328 GOE524328 GYA524328 HHW524328 HRS524328 IBO524328 ILK524328 IVG524328 JFC524328 JOY524328 JYU524328 KIQ524328 KSM524328 LCI524328 LME524328 LWA524328 MFW524328 MPS524328 MZO524328 NJK524328 NTG524328 ODC524328 OMY524328 OWU524328 PGQ524328 PQM524328 QAI524328 QKE524328 QUA524328 RDW524328 RNS524328 RXO524328 SHK524328 SRG524328 TBC524328 TKY524328 TUU524328 UEQ524328 UOM524328 UYI524328 VIE524328 VSA524328 WBW524328 WLS524328 WVO524328 G589864 JC589864 SY589864 ACU589864 AMQ589864 AWM589864 BGI589864 BQE589864 CAA589864 CJW589864 CTS589864 DDO589864 DNK589864 DXG589864 EHC589864 EQY589864 FAU589864 FKQ589864 FUM589864 GEI589864 GOE589864 GYA589864 HHW589864 HRS589864 IBO589864 ILK589864 IVG589864 JFC589864 JOY589864 JYU589864 KIQ589864 KSM589864 LCI589864 LME589864 LWA589864 MFW589864 MPS589864 MZO589864 NJK589864 NTG589864 ODC589864 OMY589864 OWU589864 PGQ589864 PQM589864 QAI589864 QKE589864 QUA589864 RDW589864 RNS589864 RXO589864 SHK589864 SRG589864 TBC589864 TKY589864 TUU589864 UEQ589864 UOM589864 UYI589864 VIE589864 VSA589864 WBW589864 WLS589864 WVO589864 G655400 JC655400 SY655400 ACU655400 AMQ655400 AWM655400 BGI655400 BQE655400 CAA655400 CJW655400 CTS655400 DDO655400 DNK655400 DXG655400 EHC655400 EQY655400 FAU655400 FKQ655400 FUM655400 GEI655400 GOE655400 GYA655400 HHW655400 HRS655400 IBO655400 ILK655400 IVG655400 JFC655400 JOY655400 JYU655400 KIQ655400 KSM655400 LCI655400 LME655400 LWA655400 MFW655400 MPS655400 MZO655400 NJK655400 NTG655400 ODC655400 OMY655400 OWU655400 PGQ655400 PQM655400 QAI655400 QKE655400 QUA655400 RDW655400 RNS655400 RXO655400 SHK655400 SRG655400 TBC655400 TKY655400 TUU655400 UEQ655400 UOM655400 UYI655400 VIE655400 VSA655400 WBW655400 WLS655400 WVO655400 G720936 JC720936 SY720936 ACU720936 AMQ720936 AWM720936 BGI720936 BQE720936 CAA720936 CJW720936 CTS720936 DDO720936 DNK720936 DXG720936 EHC720936 EQY720936 FAU720936 FKQ720936 FUM720936 GEI720936 GOE720936 GYA720936 HHW720936 HRS720936 IBO720936 ILK720936 IVG720936 JFC720936 JOY720936 JYU720936 KIQ720936 KSM720936 LCI720936 LME720936 LWA720936 MFW720936 MPS720936 MZO720936 NJK720936 NTG720936 ODC720936 OMY720936 OWU720936 PGQ720936 PQM720936 QAI720936 QKE720936 QUA720936 RDW720936 RNS720936 RXO720936 SHK720936 SRG720936 TBC720936 TKY720936 TUU720936 UEQ720936 UOM720936 UYI720936 VIE720936 VSA720936 WBW720936 WLS720936 WVO720936 G786472 JC786472 SY786472 ACU786472 AMQ786472 AWM786472 BGI786472 BQE786472 CAA786472 CJW786472 CTS786472 DDO786472 DNK786472 DXG786472 EHC786472 EQY786472 FAU786472 FKQ786472 FUM786472 GEI786472 GOE786472 GYA786472 HHW786472 HRS786472 IBO786472 ILK786472 IVG786472 JFC786472 JOY786472 JYU786472 KIQ786472 KSM786472 LCI786472 LME786472 LWA786472 MFW786472 MPS786472 MZO786472 NJK786472 NTG786472 ODC786472 OMY786472 OWU786472 PGQ786472 PQM786472 QAI786472 QKE786472 QUA786472 RDW786472 RNS786472 RXO786472 SHK786472 SRG786472 TBC786472 TKY786472 TUU786472 UEQ786472 UOM786472 UYI786472 VIE786472 VSA786472 WBW786472 WLS786472 WVO786472 G852008 JC852008 SY852008 ACU852008 AMQ852008 AWM852008 BGI852008 BQE852008 CAA852008 CJW852008 CTS852008 DDO852008 DNK852008 DXG852008 EHC852008 EQY852008 FAU852008 FKQ852008 FUM852008 GEI852008 GOE852008 GYA852008 HHW852008 HRS852008 IBO852008 ILK852008 IVG852008 JFC852008 JOY852008 JYU852008 KIQ852008 KSM852008 LCI852008 LME852008 LWA852008 MFW852008 MPS852008 MZO852008 NJK852008 NTG852008 ODC852008 OMY852008 OWU852008 PGQ852008 PQM852008 QAI852008 QKE852008 QUA852008 RDW852008 RNS852008 RXO852008 SHK852008 SRG852008 TBC852008 TKY852008 TUU852008 UEQ852008 UOM852008 UYI852008 VIE852008 VSA852008 WBW852008 WLS852008 WVO852008 G917544 JC917544 SY917544 ACU917544 AMQ917544 AWM917544 BGI917544 BQE917544 CAA917544 CJW917544 CTS917544 DDO917544 DNK917544 DXG917544 EHC917544 EQY917544 FAU917544 FKQ917544 FUM917544 GEI917544 GOE917544 GYA917544 HHW917544 HRS917544 IBO917544 ILK917544 IVG917544 JFC917544 JOY917544 JYU917544 KIQ917544 KSM917544 LCI917544 LME917544 LWA917544 MFW917544 MPS917544 MZO917544 NJK917544 NTG917544 ODC917544 OMY917544 OWU917544 PGQ917544 PQM917544 QAI917544 QKE917544 QUA917544 RDW917544 RNS917544 RXO917544 SHK917544 SRG917544 TBC917544 TKY917544 TUU917544 UEQ917544 UOM917544 UYI917544 VIE917544 VSA917544 WBW917544 WLS917544 WVO917544 G983080 JC983080 SY983080 ACU983080 AMQ983080 AWM983080 BGI983080 BQE983080 CAA983080 CJW983080 CTS983080 DDO983080 DNK983080 DXG983080 EHC983080 EQY983080 FAU983080 FKQ983080 FUM983080 GEI983080 GOE983080 GYA983080 HHW983080 HRS983080 IBO983080 ILK983080 IVG983080 JFC983080 JOY983080 JYU983080 KIQ983080 KSM983080 LCI983080 LME983080 LWA983080 MFW983080 MPS983080 MZO983080 NJK983080 NTG983080" xr:uid="{00000000-0002-0000-0A00-000008000000}">
      <formula1>0</formula1>
      <formula2>D40-E40-F40</formula2>
    </dataValidation>
    <dataValidation type="whole" allowBlank="1" showInputMessage="1" showErrorMessage="1" errorTitle="Input error" error="The amount entered should be rounded to the nearest dollar and should not exceed the remaining GEER fund balance (column D minus columns E and F)." sqref="OMY983080 OWU983080 PGQ983080 PQM983080 QAI983080 QKE983080 QUA983080 RDW983080 RNS983080 RXO983080 SHK983080 SRG983080 TBC983080 TKY983080 TUU983080 UEQ983080 UOM983080 UYI983080 VIE983080 VSA983080 WBW983080 WLS983080 WVO983080" xr:uid="{00000000-0002-0000-0A00-000009000000}">
      <formula1>0</formula1>
      <formula2>IZ40-JA40-JB40</formula2>
    </dataValidation>
    <dataValidation type="whole" allowBlank="1" showInputMessage="1" showErrorMessage="1" errorTitle="Input error" error="The amount entered should be rounded to the nearest dollar and should not exceed the remaining ESSER III fund balance (column D minus columns E and F)." sqref="JD39 SZ39 ACV39 AMR39 AWN39 BGJ39 BQF39 CAB39 CJX39 CTT39 DDP39 DNL39 DXH39 EHD39 EQZ39 FAV39 FKR39 FUN39 GEJ39 GOF39 GYB39 HHX39 HRT39 IBP39 ILL39 IVH39 JFD39 JOZ39 JYV39 KIR39 KSN39 LCJ39 LMF39 LWB39 MFX39 MPT39 MZP39 NJL39 NTH39 ODD39 OMZ39 OWV39 PGR39 PQN39 QAJ39 QKF39 QUB39 RDX39 RNT39 RXP39 SHL39 SRH39 TBD39 TKZ39 TUV39 UER39 UON39 UYJ39 VIF39 VSB39 WBX39 WLT39 WVP39 G65575 JC65575 SY65575 ACU65575 AMQ65575 AWM65575 BGI65575 BQE65575 CAA65575 CJW65575 CTS65575 DDO65575 DNK65575 DXG65575 EHC65575 EQY65575 FAU65575 FKQ65575 FUM65575 GEI65575 GOE65575 GYA65575 HHW65575 HRS65575 IBO65575 ILK65575 IVG65575 JFC65575 JOY65575 JYU65575 KIQ65575 KSM65575 LCI65575 LME65575 LWA65575 MFW65575 MPS65575 MZO65575 NJK65575 NTG65575 ODC65575 OMY65575 OWU65575 PGQ65575 PQM65575 QAI65575 QKE65575 QUA65575 RDW65575 RNS65575 RXO65575 SHK65575 SRG65575 TBC65575 TKY65575 TUU65575 UEQ65575 UOM65575 UYI65575 VIE65575 VSA65575 WBW65575 WLS65575 WVO65575 G131111 JC131111 SY131111 ACU131111 AMQ131111 AWM131111 BGI131111 BQE131111 CAA131111 CJW131111 CTS131111 DDO131111 DNK131111 DXG131111 EHC131111 EQY131111 FAU131111 FKQ131111 FUM131111 GEI131111 GOE131111 GYA131111 HHW131111 HRS131111 IBO131111 ILK131111 IVG131111 JFC131111 JOY131111 JYU131111 KIQ131111 KSM131111 LCI131111 LME131111 LWA131111 MFW131111 MPS131111 MZO131111 NJK131111 NTG131111 ODC131111 OMY131111 OWU131111 PGQ131111 PQM131111 QAI131111 QKE131111 QUA131111 RDW131111 RNS131111 RXO131111 SHK131111 SRG131111 TBC131111 TKY131111 TUU131111 UEQ131111 UOM131111 UYI131111 VIE131111 VSA131111 WBW131111 WLS131111 WVO131111 G196647 JC196647 SY196647 ACU196647 AMQ196647 AWM196647 BGI196647 BQE196647 CAA196647 CJW196647 CTS196647 DDO196647 DNK196647 DXG196647 EHC196647 EQY196647 FAU196647 FKQ196647 FUM196647 GEI196647 GOE196647 GYA196647 HHW196647 HRS196647 IBO196647 ILK196647 IVG196647 JFC196647 JOY196647 JYU196647 KIQ196647 KSM196647 LCI196647 LME196647 LWA196647 MFW196647 MPS196647 MZO196647 NJK196647 NTG196647 ODC196647 OMY196647 OWU196647 PGQ196647 PQM196647 QAI196647 QKE196647 QUA196647 RDW196647 RNS196647 RXO196647 SHK196647 SRG196647 TBC196647 TKY196647 TUU196647 UEQ196647 UOM196647 UYI196647 VIE196647 VSA196647 WBW196647 WLS196647 WVO196647 G262183 JC262183 SY262183 ACU262183 AMQ262183 AWM262183 BGI262183 BQE262183 CAA262183 CJW262183 CTS262183 DDO262183 DNK262183 DXG262183 EHC262183 EQY262183 FAU262183 FKQ262183 FUM262183 GEI262183 GOE262183 GYA262183 HHW262183 HRS262183 IBO262183 ILK262183 IVG262183 JFC262183 JOY262183 JYU262183 KIQ262183 KSM262183 LCI262183 LME262183 LWA262183 MFW262183 MPS262183 MZO262183 NJK262183 NTG262183 ODC262183 OMY262183 OWU262183 PGQ262183 PQM262183 QAI262183 QKE262183 QUA262183 RDW262183 RNS262183 RXO262183 SHK262183 SRG262183 TBC262183 TKY262183 TUU262183 UEQ262183 UOM262183 UYI262183 VIE262183 VSA262183 WBW262183 WLS262183 WVO262183 G327719 JC327719 SY327719 ACU327719 AMQ327719 AWM327719 BGI327719 BQE327719 CAA327719 CJW327719 CTS327719 DDO327719 DNK327719 DXG327719 EHC327719 EQY327719 FAU327719 FKQ327719 FUM327719 GEI327719 GOE327719 GYA327719 HHW327719 HRS327719 IBO327719 ILK327719 IVG327719 JFC327719 JOY327719 JYU327719 KIQ327719 KSM327719 LCI327719 LME327719 LWA327719 MFW327719 MPS327719 MZO327719 NJK327719 NTG327719 ODC327719 OMY327719 OWU327719 PGQ327719 PQM327719 QAI327719 QKE327719 QUA327719 RDW327719 RNS327719 RXO327719 SHK327719 SRG327719 TBC327719 TKY327719 TUU327719 UEQ327719 UOM327719 UYI327719 VIE327719 VSA327719 WBW327719 WLS327719 WVO327719 G393255 JC393255 SY393255 ACU393255 AMQ393255 AWM393255 BGI393255 BQE393255 CAA393255 CJW393255 CTS393255 DDO393255 DNK393255 DXG393255 EHC393255 EQY393255 FAU393255 FKQ393255 FUM393255 GEI393255 GOE393255 GYA393255 HHW393255 HRS393255 IBO393255 ILK393255 IVG393255 JFC393255 JOY393255 JYU393255 KIQ393255 KSM393255 LCI393255 LME393255 LWA393255 MFW393255 MPS393255 MZO393255 NJK393255 NTG393255 ODC393255 OMY393255 OWU393255 PGQ393255 PQM393255 QAI393255 QKE393255 QUA393255 RDW393255 RNS393255 RXO393255 SHK393255 SRG393255 TBC393255 TKY393255 TUU393255 UEQ393255 UOM393255 UYI393255 VIE393255 VSA393255 WBW393255 WLS393255 WVO393255 G458791 JC458791 SY458791 ACU458791 AMQ458791 AWM458791 BGI458791 BQE458791 CAA458791 CJW458791 CTS458791 DDO458791 DNK458791 DXG458791 EHC458791 EQY458791 FAU458791 FKQ458791 FUM458791 GEI458791 GOE458791 GYA458791 HHW458791 HRS458791 IBO458791 ILK458791 IVG458791 JFC458791 JOY458791 JYU458791 KIQ458791 KSM458791 LCI458791 LME458791 LWA458791 MFW458791 MPS458791 MZO458791 NJK458791 NTG458791 ODC458791 OMY458791 OWU458791 PGQ458791 PQM458791 QAI458791 QKE458791 QUA458791 RDW458791 RNS458791 RXO458791 SHK458791 SRG458791 TBC458791 TKY458791 TUU458791 UEQ458791 UOM458791 UYI458791 VIE458791 VSA458791 WBW458791 WLS458791 WVO458791 G524327 JC524327 SY524327 ACU524327 AMQ524327 AWM524327 BGI524327 BQE524327 CAA524327 CJW524327 CTS524327 DDO524327 DNK524327 DXG524327 EHC524327 EQY524327 FAU524327 FKQ524327 FUM524327 GEI524327 GOE524327 GYA524327 HHW524327 HRS524327 IBO524327 ILK524327 IVG524327 JFC524327 JOY524327 JYU524327 KIQ524327 KSM524327 LCI524327 LME524327 LWA524327 MFW524327 MPS524327 MZO524327 NJK524327 NTG524327 ODC524327 OMY524327 OWU524327 PGQ524327 PQM524327 QAI524327 QKE524327 QUA524327 RDW524327 RNS524327 RXO524327 SHK524327 SRG524327 TBC524327 TKY524327 TUU524327 UEQ524327 UOM524327 UYI524327 VIE524327 VSA524327 WBW524327 WLS524327 WVO524327 G589863 JC589863 SY589863 ACU589863 AMQ589863 AWM589863 BGI589863 BQE589863 CAA589863 CJW589863 CTS589863 DDO589863 DNK589863 DXG589863 EHC589863 EQY589863 FAU589863 FKQ589863 FUM589863 GEI589863 GOE589863 GYA589863 HHW589863 HRS589863 IBO589863 ILK589863 IVG589863 JFC589863 JOY589863 JYU589863 KIQ589863 KSM589863 LCI589863 LME589863 LWA589863 MFW589863 MPS589863 MZO589863 NJK589863 NTG589863 ODC589863 OMY589863 OWU589863 PGQ589863 PQM589863 QAI589863 QKE589863 QUA589863 RDW589863 RNS589863 RXO589863 SHK589863 SRG589863 TBC589863 TKY589863 TUU589863 UEQ589863 UOM589863 UYI589863 VIE589863 VSA589863 WBW589863 WLS589863 WVO589863 G655399 JC655399 SY655399 ACU655399 AMQ655399 AWM655399 BGI655399 BQE655399 CAA655399 CJW655399 CTS655399 DDO655399 DNK655399 DXG655399 EHC655399 EQY655399 FAU655399 FKQ655399 FUM655399 GEI655399 GOE655399 GYA655399 HHW655399 HRS655399 IBO655399 ILK655399 IVG655399 JFC655399 JOY655399 JYU655399 KIQ655399 KSM655399 LCI655399 LME655399 LWA655399 MFW655399 MPS655399 MZO655399 NJK655399 NTG655399 ODC655399 OMY655399 OWU655399 PGQ655399 PQM655399 QAI655399 QKE655399 QUA655399 RDW655399 RNS655399 RXO655399 SHK655399 SRG655399 TBC655399 TKY655399 TUU655399 UEQ655399 UOM655399 UYI655399 VIE655399 VSA655399 WBW655399 WLS655399 WVO655399 G720935 JC720935 SY720935 ACU720935 AMQ720935 AWM720935 BGI720935 BQE720935 CAA720935 CJW720935 CTS720935 DDO720935 DNK720935 DXG720935 EHC720935 EQY720935 FAU720935 FKQ720935 FUM720935 GEI720935 GOE720935 GYA720935 HHW720935 HRS720935 IBO720935 ILK720935 IVG720935 JFC720935 JOY720935 JYU720935 KIQ720935 KSM720935 LCI720935 LME720935 LWA720935 MFW720935 MPS720935 MZO720935 NJK720935 NTG720935 ODC720935 OMY720935 OWU720935 PGQ720935 PQM720935 QAI720935 QKE720935 QUA720935 RDW720935 RNS720935 RXO720935 SHK720935 SRG720935 TBC720935 TKY720935 TUU720935 UEQ720935 UOM720935 UYI720935 VIE720935 VSA720935 WBW720935 WLS720935 WVO720935 G786471 JC786471 SY786471 ACU786471 AMQ786471 AWM786471 BGI786471 BQE786471 CAA786471 CJW786471 CTS786471 DDO786471 DNK786471 DXG786471 EHC786471 EQY786471 FAU786471 FKQ786471 FUM786471 GEI786471 GOE786471 GYA786471 HHW786471 HRS786471 IBO786471 ILK786471 IVG786471 JFC786471 JOY786471 JYU786471 KIQ786471 KSM786471 LCI786471 LME786471 LWA786471 MFW786471 MPS786471 MZO786471 NJK786471 NTG786471 ODC786471 OMY786471 OWU786471 PGQ786471 PQM786471 QAI786471 QKE786471 QUA786471 RDW786471 RNS786471 RXO786471 SHK786471 SRG786471 TBC786471 TKY786471 TUU786471 UEQ786471 UOM786471 UYI786471 VIE786471 VSA786471 WBW786471 WLS786471 WVO786471 G852007 JC852007 SY852007 ACU852007 AMQ852007 AWM852007 BGI852007 BQE852007 CAA852007 CJW852007 CTS852007 DDO852007 DNK852007 DXG852007 EHC852007 EQY852007 FAU852007 FKQ852007 FUM852007 GEI852007 GOE852007 GYA852007 HHW852007 HRS852007 IBO852007 ILK852007 IVG852007 JFC852007 JOY852007 JYU852007 KIQ852007 KSM852007 LCI852007 LME852007 LWA852007 MFW852007 MPS852007 MZO852007 NJK852007 NTG852007 ODC852007 OMY852007 OWU852007 PGQ852007 PQM852007 QAI852007 QKE852007 QUA852007 RDW852007 RNS852007 RXO852007 SHK852007 SRG852007 TBC852007 TKY852007 TUU852007 UEQ852007 UOM852007 UYI852007 VIE852007 VSA852007 WBW852007 WLS852007 WVO852007 G917543 JC917543 SY917543 ACU917543 AMQ917543 AWM917543 BGI917543 BQE917543 CAA917543 CJW917543 CTS917543 DDO917543 DNK917543 DXG917543 EHC917543 EQY917543 FAU917543 FKQ917543 FUM917543 GEI917543 GOE917543 GYA917543 HHW917543 HRS917543 IBO917543 ILK917543 IVG917543 JFC917543 JOY917543 JYU917543 KIQ917543 KSM917543 LCI917543 LME917543 LWA917543 MFW917543 MPS917543 MZO917543 NJK917543 NTG917543 ODC917543 OMY917543 OWU917543 PGQ917543 PQM917543 QAI917543 QKE917543 QUA917543 RDW917543 RNS917543 RXO917543 SHK917543 SRG917543 TBC917543 TKY917543 TUU917543 UEQ917543 UOM917543 UYI917543 VIE917543 VSA917543 WBW917543 WLS917543 WVO917543 G983079 JC983079 SY983079 ACU983079 AMQ983079 AWM983079 BGI983079 BQE983079 CAA983079 CJW983079 CTS983079 DDO983079 DNK983079 DXG983079 EHC983079 EQY983079 FAU983079 FKQ983079 FUM983079 GEI983079 GOE983079 GYA983079 HHW983079 HRS983079 IBO983079 ILK983079 IVG983079 JFC983079 JOY983079 JYU983079 KIQ983079 KSM983079 LCI983079 LME983079 LWA983079 MFW983079 MPS983079 MZO983079 NJK983079 NTG983079" xr:uid="{00000000-0002-0000-0A00-00000A000000}">
      <formula1>0</formula1>
      <formula2>D39-E39-F39</formula2>
    </dataValidation>
    <dataValidation type="whole" allowBlank="1" showInputMessage="1" showErrorMessage="1" errorTitle="Input error" error="The amount entered should be rounded to the nearest dollar and should not exceed the remaining ESSER III fund balance (column D minus columns E and F)." sqref="OMY983079 OWU983079 PGQ983079 PQM983079 QAI983079 QKE983079 QUA983079 RDW983079 RNS983079 RXO983079 SHK983079 SRG983079 TBC983079 TKY983079 TUU983079 UEQ983079 UOM983079 UYI983079 VIE983079 VSA983079 WBW983079 WLS983079 WVO983079" xr:uid="{00000000-0002-0000-0A00-00000B000000}">
      <formula1>0</formula1>
      <formula2>IZ39-JA39-JB39</formula2>
    </dataValidation>
    <dataValidation type="whole" allowBlank="1" showInputMessage="1" showErrorMessage="1" errorTitle="Input error" error="The amount entered should be rounded to the nearest dollar and should not exceed the remaining ESSER III fund balance (column D minus column E)." sqref="JC39 SY39 ACU39 AMQ39 AWM39 BGI39 BQE39 CAA39 CJW39 CTS39 DDO39 DNK39 DXG39 EHC39 EQY39 FAU39 FKQ39 FUM39 GEI39 GOE39 GYA39 HHW39 HRS39 IBO39 ILK39 IVG39 JFC39 JOY39 JYU39 KIQ39 KSM39 LCI39 LME39 LWA39 MFW39 MPS39 MZO39 NJK39 NTG39 ODC39 OMY39 OWU39 PGQ39 PQM39 QAI39 QKE39 QUA39 RDW39 RNS39 RXO39 SHK39 SRG39 TBC39 TKY39 TUU39 UEQ39 UOM39 UYI39 VIE39 VSA39 WBW39 WLS39 WVO39 F65575 JB65575 SX65575 ACT65575 AMP65575 AWL65575 BGH65575 BQD65575 BZZ65575 CJV65575 CTR65575 DDN65575 DNJ65575 DXF65575 EHB65575 EQX65575 FAT65575 FKP65575 FUL65575 GEH65575 GOD65575 GXZ65575 HHV65575 HRR65575 IBN65575 ILJ65575 IVF65575 JFB65575 JOX65575 JYT65575 KIP65575 KSL65575 LCH65575 LMD65575 LVZ65575 MFV65575 MPR65575 MZN65575 NJJ65575 NTF65575 ODB65575 OMX65575 OWT65575 PGP65575 PQL65575 QAH65575 QKD65575 QTZ65575 RDV65575 RNR65575 RXN65575 SHJ65575 SRF65575 TBB65575 TKX65575 TUT65575 UEP65575 UOL65575 UYH65575 VID65575 VRZ65575 WBV65575 WLR65575 WVN65575 F131111 JB131111 SX131111 ACT131111 AMP131111 AWL131111 BGH131111 BQD131111 BZZ131111 CJV131111 CTR131111 DDN131111 DNJ131111 DXF131111 EHB131111 EQX131111 FAT131111 FKP131111 FUL131111 GEH131111 GOD131111 GXZ131111 HHV131111 HRR131111 IBN131111 ILJ131111 IVF131111 JFB131111 JOX131111 JYT131111 KIP131111 KSL131111 LCH131111 LMD131111 LVZ131111 MFV131111 MPR131111 MZN131111 NJJ131111 NTF131111 ODB131111 OMX131111 OWT131111 PGP131111 PQL131111 QAH131111 QKD131111 QTZ131111 RDV131111 RNR131111 RXN131111 SHJ131111 SRF131111 TBB131111 TKX131111 TUT131111 UEP131111 UOL131111 UYH131111 VID131111 VRZ131111 WBV131111 WLR131111 WVN131111 F196647 JB196647 SX196647 ACT196647 AMP196647 AWL196647 BGH196647 BQD196647 BZZ196647 CJV196647 CTR196647 DDN196647 DNJ196647 DXF196647 EHB196647 EQX196647 FAT196647 FKP196647 FUL196647 GEH196647 GOD196647 GXZ196647 HHV196647 HRR196647 IBN196647 ILJ196647 IVF196647 JFB196647 JOX196647 JYT196647 KIP196647 KSL196647 LCH196647 LMD196647 LVZ196647 MFV196647 MPR196647 MZN196647 NJJ196647 NTF196647 ODB196647 OMX196647 OWT196647 PGP196647 PQL196647 QAH196647 QKD196647 QTZ196647 RDV196647 RNR196647 RXN196647 SHJ196647 SRF196647 TBB196647 TKX196647 TUT196647 UEP196647 UOL196647 UYH196647 VID196647 VRZ196647 WBV196647 WLR196647 WVN196647 F262183 JB262183 SX262183 ACT262183 AMP262183 AWL262183 BGH262183 BQD262183 BZZ262183 CJV262183 CTR262183 DDN262183 DNJ262183 DXF262183 EHB262183 EQX262183 FAT262183 FKP262183 FUL262183 GEH262183 GOD262183 GXZ262183 HHV262183 HRR262183 IBN262183 ILJ262183 IVF262183 JFB262183 JOX262183 JYT262183 KIP262183 KSL262183 LCH262183 LMD262183 LVZ262183 MFV262183 MPR262183 MZN262183 NJJ262183 NTF262183 ODB262183 OMX262183 OWT262183 PGP262183 PQL262183 QAH262183 QKD262183 QTZ262183 RDV262183 RNR262183 RXN262183 SHJ262183 SRF262183 TBB262183 TKX262183 TUT262183 UEP262183 UOL262183 UYH262183 VID262183 VRZ262183 WBV262183 WLR262183 WVN262183 F327719 JB327719 SX327719 ACT327719 AMP327719 AWL327719 BGH327719 BQD327719 BZZ327719 CJV327719 CTR327719 DDN327719 DNJ327719 DXF327719 EHB327719 EQX327719 FAT327719 FKP327719 FUL327719 GEH327719 GOD327719 GXZ327719 HHV327719 HRR327719 IBN327719 ILJ327719 IVF327719 JFB327719 JOX327719 JYT327719 KIP327719 KSL327719 LCH327719 LMD327719 LVZ327719 MFV327719 MPR327719 MZN327719 NJJ327719 NTF327719 ODB327719 OMX327719 OWT327719 PGP327719 PQL327719 QAH327719 QKD327719 QTZ327719 RDV327719 RNR327719 RXN327719 SHJ327719 SRF327719 TBB327719 TKX327719 TUT327719 UEP327719 UOL327719 UYH327719 VID327719 VRZ327719 WBV327719 WLR327719 WVN327719 F393255 JB393255 SX393255 ACT393255 AMP393255 AWL393255 BGH393255 BQD393255 BZZ393255 CJV393255 CTR393255 DDN393255 DNJ393255 DXF393255 EHB393255 EQX393255 FAT393255 FKP393255 FUL393255 GEH393255 GOD393255 GXZ393255 HHV393255 HRR393255 IBN393255 ILJ393255 IVF393255 JFB393255 JOX393255 JYT393255 KIP393255 KSL393255 LCH393255 LMD393255 LVZ393255 MFV393255 MPR393255 MZN393255 NJJ393255 NTF393255 ODB393255 OMX393255 OWT393255 PGP393255 PQL393255 QAH393255 QKD393255 QTZ393255 RDV393255 RNR393255 RXN393255 SHJ393255 SRF393255 TBB393255 TKX393255 TUT393255 UEP393255 UOL393255 UYH393255 VID393255 VRZ393255 WBV393255 WLR393255 WVN393255 F458791 JB458791 SX458791 ACT458791 AMP458791 AWL458791 BGH458791 BQD458791 BZZ458791 CJV458791 CTR458791 DDN458791 DNJ458791 DXF458791 EHB458791 EQX458791 FAT458791 FKP458791 FUL458791 GEH458791 GOD458791 GXZ458791 HHV458791 HRR458791 IBN458791 ILJ458791 IVF458791 JFB458791 JOX458791 JYT458791 KIP458791 KSL458791 LCH458791 LMD458791 LVZ458791 MFV458791 MPR458791 MZN458791 NJJ458791 NTF458791 ODB458791 OMX458791 OWT458791 PGP458791 PQL458791 QAH458791 QKD458791 QTZ458791 RDV458791 RNR458791 RXN458791 SHJ458791 SRF458791 TBB458791 TKX458791 TUT458791 UEP458791 UOL458791 UYH458791 VID458791 VRZ458791 WBV458791 WLR458791 WVN458791 F524327 JB524327 SX524327 ACT524327 AMP524327 AWL524327 BGH524327 BQD524327 BZZ524327 CJV524327 CTR524327 DDN524327 DNJ524327 DXF524327 EHB524327 EQX524327 FAT524327 FKP524327 FUL524327 GEH524327 GOD524327 GXZ524327 HHV524327 HRR524327 IBN524327 ILJ524327 IVF524327 JFB524327 JOX524327 JYT524327 KIP524327 KSL524327 LCH524327 LMD524327 LVZ524327 MFV524327 MPR524327 MZN524327 NJJ524327 NTF524327 ODB524327 OMX524327 OWT524327 PGP524327 PQL524327 QAH524327 QKD524327 QTZ524327 RDV524327 RNR524327 RXN524327 SHJ524327 SRF524327 TBB524327 TKX524327 TUT524327 UEP524327 UOL524327 UYH524327 VID524327 VRZ524327 WBV524327 WLR524327 WVN524327 F589863 JB589863 SX589863 ACT589863 AMP589863 AWL589863 BGH589863 BQD589863 BZZ589863 CJV589863 CTR589863 DDN589863 DNJ589863 DXF589863 EHB589863 EQX589863 FAT589863 FKP589863 FUL589863 GEH589863 GOD589863 GXZ589863 HHV589863 HRR589863 IBN589863 ILJ589863 IVF589863 JFB589863 JOX589863 JYT589863 KIP589863 KSL589863 LCH589863 LMD589863 LVZ589863 MFV589863 MPR589863 MZN589863 NJJ589863 NTF589863 ODB589863 OMX589863 OWT589863 PGP589863 PQL589863 QAH589863 QKD589863 QTZ589863 RDV589863 RNR589863 RXN589863 SHJ589863 SRF589863 TBB589863 TKX589863 TUT589863 UEP589863 UOL589863 UYH589863 VID589863 VRZ589863 WBV589863 WLR589863 WVN589863 F655399 JB655399 SX655399 ACT655399 AMP655399 AWL655399 BGH655399 BQD655399 BZZ655399 CJV655399 CTR655399 DDN655399 DNJ655399 DXF655399 EHB655399 EQX655399 FAT655399 FKP655399 FUL655399 GEH655399 GOD655399 GXZ655399 HHV655399 HRR655399 IBN655399 ILJ655399 IVF655399 JFB655399 JOX655399 JYT655399 KIP655399 KSL655399 LCH655399 LMD655399 LVZ655399 MFV655399 MPR655399 MZN655399 NJJ655399 NTF655399 ODB655399 OMX655399 OWT655399 PGP655399 PQL655399 QAH655399 QKD655399 QTZ655399 RDV655399 RNR655399 RXN655399 SHJ655399 SRF655399 TBB655399 TKX655399 TUT655399 UEP655399 UOL655399 UYH655399 VID655399 VRZ655399 WBV655399 WLR655399 WVN655399 F720935 JB720935 SX720935 ACT720935 AMP720935 AWL720935 BGH720935 BQD720935 BZZ720935 CJV720935 CTR720935 DDN720935 DNJ720935 DXF720935 EHB720935 EQX720935 FAT720935 FKP720935 FUL720935 GEH720935 GOD720935 GXZ720935 HHV720935 HRR720935 IBN720935 ILJ720935 IVF720935 JFB720935 JOX720935 JYT720935 KIP720935 KSL720935 LCH720935 LMD720935 LVZ720935 MFV720935 MPR720935 MZN720935 NJJ720935 NTF720935 ODB720935 OMX720935 OWT720935 PGP720935 PQL720935 QAH720935 QKD720935 QTZ720935 RDV720935 RNR720935 RXN720935 SHJ720935 SRF720935 TBB720935 TKX720935 TUT720935 UEP720935 UOL720935 UYH720935 VID720935 VRZ720935 WBV720935 WLR720935 WVN720935 F786471 JB786471 SX786471 ACT786471 AMP786471 AWL786471 BGH786471 BQD786471 BZZ786471 CJV786471 CTR786471 DDN786471 DNJ786471 DXF786471 EHB786471 EQX786471 FAT786471 FKP786471 FUL786471 GEH786471 GOD786471 GXZ786471 HHV786471 HRR786471 IBN786471 ILJ786471 IVF786471 JFB786471 JOX786471 JYT786471 KIP786471 KSL786471 LCH786471 LMD786471 LVZ786471 MFV786471 MPR786471 MZN786471 NJJ786471 NTF786471 ODB786471 OMX786471 OWT786471 PGP786471 PQL786471 QAH786471 QKD786471 QTZ786471 RDV786471 RNR786471 RXN786471 SHJ786471 SRF786471 TBB786471 TKX786471 TUT786471 UEP786471 UOL786471 UYH786471 VID786471 VRZ786471 WBV786471 WLR786471 WVN786471 F852007 JB852007 SX852007 ACT852007 AMP852007 AWL852007 BGH852007 BQD852007 BZZ852007 CJV852007 CTR852007 DDN852007 DNJ852007 DXF852007 EHB852007 EQX852007 FAT852007 FKP852007 FUL852007 GEH852007 GOD852007 GXZ852007 HHV852007 HRR852007 IBN852007 ILJ852007 IVF852007 JFB852007 JOX852007 JYT852007 KIP852007 KSL852007 LCH852007 LMD852007 LVZ852007 MFV852007 MPR852007 MZN852007 NJJ852007 NTF852007 ODB852007 OMX852007 OWT852007 PGP852007 PQL852007 QAH852007 QKD852007 QTZ852007 RDV852007 RNR852007 RXN852007 SHJ852007 SRF852007 TBB852007 TKX852007 TUT852007 UEP852007 UOL852007 UYH852007 VID852007 VRZ852007 WBV852007 WLR852007 WVN852007 F917543 JB917543 SX917543 ACT917543 AMP917543 AWL917543 BGH917543 BQD917543 BZZ917543 CJV917543 CTR917543 DDN917543 DNJ917543 DXF917543 EHB917543 EQX917543 FAT917543 FKP917543 FUL917543 GEH917543 GOD917543 GXZ917543 HHV917543 HRR917543 IBN917543 ILJ917543 IVF917543 JFB917543 JOX917543 JYT917543 KIP917543 KSL917543 LCH917543 LMD917543 LVZ917543 MFV917543 MPR917543 MZN917543 NJJ917543 NTF917543 ODB917543 OMX917543 OWT917543 PGP917543 PQL917543 QAH917543 QKD917543 QTZ917543 RDV917543 RNR917543 RXN917543 SHJ917543 SRF917543 TBB917543 TKX917543 TUT917543 UEP917543 UOL917543 UYH917543 VID917543 VRZ917543 WBV917543 WLR917543 WVN917543 F983079 JB983079 SX983079 ACT983079 AMP983079 AWL983079 BGH983079 BQD983079 BZZ983079 CJV983079 CTR983079 DDN983079 DNJ983079 DXF983079 EHB983079 EQX983079 FAT983079 FKP983079 FUL983079 GEH983079 GOD983079 GXZ983079 HHV983079 HRR983079 IBN983079 ILJ983079 IVF983079 JFB983079 JOX983079 JYT983079 KIP983079 KSL983079 LCH983079 LMD983079 LVZ983079 MFV983079 MPR983079 MZN983079 NJJ983079 NTF983079 ODB983079 OMX983079 OWT983079 PGP983079 PQL983079 QAH983079 QKD983079 QTZ983079 RDV983079 RNR983079 RXN983079 SHJ983079 SRF983079 TBB983079 TKX983079 TUT983079 UEP983079 UOL983079 UYH983079 VID983079 VRZ983079 WBV983079 WLR983079 WVN983079" xr:uid="{00000000-0002-0000-0A00-00000C000000}">
      <formula1>0</formula1>
      <formula2>D39-E39</formula2>
    </dataValidation>
    <dataValidation type="whole" allowBlank="1" showInputMessage="1" showErrorMessage="1" errorTitle="Input error" error="The amount entered should be rounded to the nearest dollar and should not exceed the remaining GEER fund balance (column D minus column E)." sqref="JC40 SY40 ACU40 AMQ40 AWM40 BGI40 BQE40 CAA40 CJW40 CTS40 DDO40 DNK40 DXG40 EHC40 EQY40 FAU40 FKQ40 FUM40 GEI40 GOE40 GYA40 HHW40 HRS40 IBO40 ILK40 IVG40 JFC40 JOY40 JYU40 KIQ40 KSM40 LCI40 LME40 LWA40 MFW40 MPS40 MZO40 NJK40 NTG40 ODC40 OMY40 OWU40 PGQ40 PQM40 QAI40 QKE40 QUA40 RDW40 RNS40 RXO40 SHK40 SRG40 TBC40 TKY40 TUU40 UEQ40 UOM40 UYI40 VIE40 VSA40 WBW40 WLS40 WVO40 F65576 JB65576 SX65576 ACT65576 AMP65576 AWL65576 BGH65576 BQD65576 BZZ65576 CJV65576 CTR65576 DDN65576 DNJ65576 DXF65576 EHB65576 EQX65576 FAT65576 FKP65576 FUL65576 GEH65576 GOD65576 GXZ65576 HHV65576 HRR65576 IBN65576 ILJ65576 IVF65576 JFB65576 JOX65576 JYT65576 KIP65576 KSL65576 LCH65576 LMD65576 LVZ65576 MFV65576 MPR65576 MZN65576 NJJ65576 NTF65576 ODB65576 OMX65576 OWT65576 PGP65576 PQL65576 QAH65576 QKD65576 QTZ65576 RDV65576 RNR65576 RXN65576 SHJ65576 SRF65576 TBB65576 TKX65576 TUT65576 UEP65576 UOL65576 UYH65576 VID65576 VRZ65576 WBV65576 WLR65576 WVN65576 F131112 JB131112 SX131112 ACT131112 AMP131112 AWL131112 BGH131112 BQD131112 BZZ131112 CJV131112 CTR131112 DDN131112 DNJ131112 DXF131112 EHB131112 EQX131112 FAT131112 FKP131112 FUL131112 GEH131112 GOD131112 GXZ131112 HHV131112 HRR131112 IBN131112 ILJ131112 IVF131112 JFB131112 JOX131112 JYT131112 KIP131112 KSL131112 LCH131112 LMD131112 LVZ131112 MFV131112 MPR131112 MZN131112 NJJ131112 NTF131112 ODB131112 OMX131112 OWT131112 PGP131112 PQL131112 QAH131112 QKD131112 QTZ131112 RDV131112 RNR131112 RXN131112 SHJ131112 SRF131112 TBB131112 TKX131112 TUT131112 UEP131112 UOL131112 UYH131112 VID131112 VRZ131112 WBV131112 WLR131112 WVN131112 F196648 JB196648 SX196648 ACT196648 AMP196648 AWL196648 BGH196648 BQD196648 BZZ196648 CJV196648 CTR196648 DDN196648 DNJ196648 DXF196648 EHB196648 EQX196648 FAT196648 FKP196648 FUL196648 GEH196648 GOD196648 GXZ196648 HHV196648 HRR196648 IBN196648 ILJ196648 IVF196648 JFB196648 JOX196648 JYT196648 KIP196648 KSL196648 LCH196648 LMD196648 LVZ196648 MFV196648 MPR196648 MZN196648 NJJ196648 NTF196648 ODB196648 OMX196648 OWT196648 PGP196648 PQL196648 QAH196648 QKD196648 QTZ196648 RDV196648 RNR196648 RXN196648 SHJ196648 SRF196648 TBB196648 TKX196648 TUT196648 UEP196648 UOL196648 UYH196648 VID196648 VRZ196648 WBV196648 WLR196648 WVN196648 F262184 JB262184 SX262184 ACT262184 AMP262184 AWL262184 BGH262184 BQD262184 BZZ262184 CJV262184 CTR262184 DDN262184 DNJ262184 DXF262184 EHB262184 EQX262184 FAT262184 FKP262184 FUL262184 GEH262184 GOD262184 GXZ262184 HHV262184 HRR262184 IBN262184 ILJ262184 IVF262184 JFB262184 JOX262184 JYT262184 KIP262184 KSL262184 LCH262184 LMD262184 LVZ262184 MFV262184 MPR262184 MZN262184 NJJ262184 NTF262184 ODB262184 OMX262184 OWT262184 PGP262184 PQL262184 QAH262184 QKD262184 QTZ262184 RDV262184 RNR262184 RXN262184 SHJ262184 SRF262184 TBB262184 TKX262184 TUT262184 UEP262184 UOL262184 UYH262184 VID262184 VRZ262184 WBV262184 WLR262184 WVN262184 F327720 JB327720 SX327720 ACT327720 AMP327720 AWL327720 BGH327720 BQD327720 BZZ327720 CJV327720 CTR327720 DDN327720 DNJ327720 DXF327720 EHB327720 EQX327720 FAT327720 FKP327720 FUL327720 GEH327720 GOD327720 GXZ327720 HHV327720 HRR327720 IBN327720 ILJ327720 IVF327720 JFB327720 JOX327720 JYT327720 KIP327720 KSL327720 LCH327720 LMD327720 LVZ327720 MFV327720 MPR327720 MZN327720 NJJ327720 NTF327720 ODB327720 OMX327720 OWT327720 PGP327720 PQL327720 QAH327720 QKD327720 QTZ327720 RDV327720 RNR327720 RXN327720 SHJ327720 SRF327720 TBB327720 TKX327720 TUT327720 UEP327720 UOL327720 UYH327720 VID327720 VRZ327720 WBV327720 WLR327720 WVN327720 F393256 JB393256 SX393256 ACT393256 AMP393256 AWL393256 BGH393256 BQD393256 BZZ393256 CJV393256 CTR393256 DDN393256 DNJ393256 DXF393256 EHB393256 EQX393256 FAT393256 FKP393256 FUL393256 GEH393256 GOD393256 GXZ393256 HHV393256 HRR393256 IBN393256 ILJ393256 IVF393256 JFB393256 JOX393256 JYT393256 KIP393256 KSL393256 LCH393256 LMD393256 LVZ393256 MFV393256 MPR393256 MZN393256 NJJ393256 NTF393256 ODB393256 OMX393256 OWT393256 PGP393256 PQL393256 QAH393256 QKD393256 QTZ393256 RDV393256 RNR393256 RXN393256 SHJ393256 SRF393256 TBB393256 TKX393256 TUT393256 UEP393256 UOL393256 UYH393256 VID393256 VRZ393256 WBV393256 WLR393256 WVN393256 F458792 JB458792 SX458792 ACT458792 AMP458792 AWL458792 BGH458792 BQD458792 BZZ458792 CJV458792 CTR458792 DDN458792 DNJ458792 DXF458792 EHB458792 EQX458792 FAT458792 FKP458792 FUL458792 GEH458792 GOD458792 GXZ458792 HHV458792 HRR458792 IBN458792 ILJ458792 IVF458792 JFB458792 JOX458792 JYT458792 KIP458792 KSL458792 LCH458792 LMD458792 LVZ458792 MFV458792 MPR458792 MZN458792 NJJ458792 NTF458792 ODB458792 OMX458792 OWT458792 PGP458792 PQL458792 QAH458792 QKD458792 QTZ458792 RDV458792 RNR458792 RXN458792 SHJ458792 SRF458792 TBB458792 TKX458792 TUT458792 UEP458792 UOL458792 UYH458792 VID458792 VRZ458792 WBV458792 WLR458792 WVN458792 F524328 JB524328 SX524328 ACT524328 AMP524328 AWL524328 BGH524328 BQD524328 BZZ524328 CJV524328 CTR524328 DDN524328 DNJ524328 DXF524328 EHB524328 EQX524328 FAT524328 FKP524328 FUL524328 GEH524328 GOD524328 GXZ524328 HHV524328 HRR524328 IBN524328 ILJ524328 IVF524328 JFB524328 JOX524328 JYT524328 KIP524328 KSL524328 LCH524328 LMD524328 LVZ524328 MFV524328 MPR524328 MZN524328 NJJ524328 NTF524328 ODB524328 OMX524328 OWT524328 PGP524328 PQL524328 QAH524328 QKD524328 QTZ524328 RDV524328 RNR524328 RXN524328 SHJ524328 SRF524328 TBB524328 TKX524328 TUT524328 UEP524328 UOL524328 UYH524328 VID524328 VRZ524328 WBV524328 WLR524328 WVN524328 F589864 JB589864 SX589864 ACT589864 AMP589864 AWL589864 BGH589864 BQD589864 BZZ589864 CJV589864 CTR589864 DDN589864 DNJ589864 DXF589864 EHB589864 EQX589864 FAT589864 FKP589864 FUL589864 GEH589864 GOD589864 GXZ589864 HHV589864 HRR589864 IBN589864 ILJ589864 IVF589864 JFB589864 JOX589864 JYT589864 KIP589864 KSL589864 LCH589864 LMD589864 LVZ589864 MFV589864 MPR589864 MZN589864 NJJ589864 NTF589864 ODB589864 OMX589864 OWT589864 PGP589864 PQL589864 QAH589864 QKD589864 QTZ589864 RDV589864 RNR589864 RXN589864 SHJ589864 SRF589864 TBB589864 TKX589864 TUT589864 UEP589864 UOL589864 UYH589864 VID589864 VRZ589864 WBV589864 WLR589864 WVN589864 F655400 JB655400 SX655400 ACT655400 AMP655400 AWL655400 BGH655400 BQD655400 BZZ655400 CJV655400 CTR655400 DDN655400 DNJ655400 DXF655400 EHB655400 EQX655400 FAT655400 FKP655400 FUL655400 GEH655400 GOD655400 GXZ655400 HHV655400 HRR655400 IBN655400 ILJ655400 IVF655400 JFB655400 JOX655400 JYT655400 KIP655400 KSL655400 LCH655400 LMD655400 LVZ655400 MFV655400 MPR655400 MZN655400 NJJ655400 NTF655400 ODB655400 OMX655400 OWT655400 PGP655400 PQL655400 QAH655400 QKD655400 QTZ655400 RDV655400 RNR655400 RXN655400 SHJ655400 SRF655400 TBB655400 TKX655400 TUT655400 UEP655400 UOL655400 UYH655400 VID655400 VRZ655400 WBV655400 WLR655400 WVN655400 F720936 JB720936 SX720936 ACT720936 AMP720936 AWL720936 BGH720936 BQD720936 BZZ720936 CJV720936 CTR720936 DDN720936 DNJ720936 DXF720936 EHB720936 EQX720936 FAT720936 FKP720936 FUL720936 GEH720936 GOD720936 GXZ720936 HHV720936 HRR720936 IBN720936 ILJ720936 IVF720936 JFB720936 JOX720936 JYT720936 KIP720936 KSL720936 LCH720936 LMD720936 LVZ720936 MFV720936 MPR720936 MZN720936 NJJ720936 NTF720936 ODB720936 OMX720936 OWT720936 PGP720936 PQL720936 QAH720936 QKD720936 QTZ720936 RDV720936 RNR720936 RXN720936 SHJ720936 SRF720936 TBB720936 TKX720936 TUT720936 UEP720936 UOL720936 UYH720936 VID720936 VRZ720936 WBV720936 WLR720936 WVN720936 F786472 JB786472 SX786472 ACT786472 AMP786472 AWL786472 BGH786472 BQD786472 BZZ786472 CJV786472 CTR786472 DDN786472 DNJ786472 DXF786472 EHB786472 EQX786472 FAT786472 FKP786472 FUL786472 GEH786472 GOD786472 GXZ786472 HHV786472 HRR786472 IBN786472 ILJ786472 IVF786472 JFB786472 JOX786472 JYT786472 KIP786472 KSL786472 LCH786472 LMD786472 LVZ786472 MFV786472 MPR786472 MZN786472 NJJ786472 NTF786472 ODB786472 OMX786472 OWT786472 PGP786472 PQL786472 QAH786472 QKD786472 QTZ786472 RDV786472 RNR786472 RXN786472 SHJ786472 SRF786472 TBB786472 TKX786472 TUT786472 UEP786472 UOL786472 UYH786472 VID786472 VRZ786472 WBV786472 WLR786472 WVN786472 F852008 JB852008 SX852008 ACT852008 AMP852008 AWL852008 BGH852008 BQD852008 BZZ852008 CJV852008 CTR852008 DDN852008 DNJ852008 DXF852008 EHB852008 EQX852008 FAT852008 FKP852008 FUL852008 GEH852008 GOD852008 GXZ852008 HHV852008 HRR852008 IBN852008 ILJ852008 IVF852008 JFB852008 JOX852008 JYT852008 KIP852008 KSL852008 LCH852008 LMD852008 LVZ852008 MFV852008 MPR852008 MZN852008 NJJ852008 NTF852008 ODB852008 OMX852008 OWT852008 PGP852008 PQL852008 QAH852008 QKD852008 QTZ852008 RDV852008 RNR852008 RXN852008 SHJ852008 SRF852008 TBB852008 TKX852008 TUT852008 UEP852008 UOL852008 UYH852008 VID852008 VRZ852008 WBV852008 WLR852008 WVN852008 F917544 JB917544 SX917544 ACT917544 AMP917544 AWL917544 BGH917544 BQD917544 BZZ917544 CJV917544 CTR917544 DDN917544 DNJ917544 DXF917544 EHB917544 EQX917544 FAT917544 FKP917544 FUL917544 GEH917544 GOD917544 GXZ917544 HHV917544 HRR917544 IBN917544 ILJ917544 IVF917544 JFB917544 JOX917544 JYT917544 KIP917544 KSL917544 LCH917544 LMD917544 LVZ917544 MFV917544 MPR917544 MZN917544 NJJ917544 NTF917544 ODB917544 OMX917544 OWT917544 PGP917544 PQL917544 QAH917544 QKD917544 QTZ917544 RDV917544 RNR917544 RXN917544 SHJ917544 SRF917544 TBB917544 TKX917544 TUT917544 UEP917544 UOL917544 UYH917544 VID917544 VRZ917544 WBV917544 WLR917544 WVN917544 F983080 JB983080 SX983080 ACT983080 AMP983080 AWL983080 BGH983080 BQD983080 BZZ983080 CJV983080 CTR983080 DDN983080 DNJ983080 DXF983080 EHB983080 EQX983080 FAT983080 FKP983080 FUL983080 GEH983080 GOD983080 GXZ983080 HHV983080 HRR983080 IBN983080 ILJ983080 IVF983080 JFB983080 JOX983080 JYT983080 KIP983080 KSL983080 LCH983080 LMD983080 LVZ983080 MFV983080 MPR983080 MZN983080 NJJ983080 NTF983080 ODB983080 OMX983080 OWT983080 PGP983080 PQL983080 QAH983080 QKD983080 QTZ983080 RDV983080 RNR983080 RXN983080 SHJ983080 SRF983080 TBB983080 TKX983080 TUT983080 UEP983080 UOL983080 UYH983080 VID983080 VRZ983080 WBV983080 WLR983080 WVN983080" xr:uid="{00000000-0002-0000-0A00-00000D000000}">
      <formula1>0</formula1>
      <formula2>D40-E40</formula2>
    </dataValidation>
    <dataValidation type="whole" allowBlank="1" showInputMessage="1" showErrorMessage="1" errorTitle="Input error" error="The amount entered should be rounded to the nearest dollar and should not exceed the remaining ESG Fund balance (column D minus column E)." sqref="JB41 SX41 ACT41 AMP41 AWL41 BGH41 BQD41 BZZ41 CJV41 CTR41 DDN41 DNJ41 DXF41 EHB41 EQX41 FAT41 FKP41 FUL41 GEH41 GOD41 GXZ41 HHV41 HRR41 IBN41 ILJ41 IVF41 JFB41 JOX41 JYT41 KIP41 KSL41 LCH41 LMD41 LVZ41 MFV41 MPR41 MZN41 NJJ41 NTF41 ODB41 OMX41 OWT41 PGP41 PQL41 QAH41 QKD41 QTZ41 RDV41 RNR41 RXN41 SHJ41 SRF41 TBB41 TKX41 TUT41 UEP41 UOL41 UYH41 VID41 VRZ41 WBV41 WLR41 WVN41 F65577 JB65577 SX65577 ACT65577 AMP65577 AWL65577 BGH65577 BQD65577 BZZ65577 CJV65577 CTR65577 DDN65577 DNJ65577 DXF65577 EHB65577 EQX65577 FAT65577 FKP65577 FUL65577 GEH65577 GOD65577 GXZ65577 HHV65577 HRR65577 IBN65577 ILJ65577 IVF65577 JFB65577 JOX65577 JYT65577 KIP65577 KSL65577 LCH65577 LMD65577 LVZ65577 MFV65577 MPR65577 MZN65577 NJJ65577 NTF65577 ODB65577 OMX65577 OWT65577 PGP65577 PQL65577 QAH65577 QKD65577 QTZ65577 RDV65577 RNR65577 RXN65577 SHJ65577 SRF65577 TBB65577 TKX65577 TUT65577 UEP65577 UOL65577 UYH65577 VID65577 VRZ65577 WBV65577 WLR65577 WVN65577 F131113 JB131113 SX131113 ACT131113 AMP131113 AWL131113 BGH131113 BQD131113 BZZ131113 CJV131113 CTR131113 DDN131113 DNJ131113 DXF131113 EHB131113 EQX131113 FAT131113 FKP131113 FUL131113 GEH131113 GOD131113 GXZ131113 HHV131113 HRR131113 IBN131113 ILJ131113 IVF131113 JFB131113 JOX131113 JYT131113 KIP131113 KSL131113 LCH131113 LMD131113 LVZ131113 MFV131113 MPR131113 MZN131113 NJJ131113 NTF131113 ODB131113 OMX131113 OWT131113 PGP131113 PQL131113 QAH131113 QKD131113 QTZ131113 RDV131113 RNR131113 RXN131113 SHJ131113 SRF131113 TBB131113 TKX131113 TUT131113 UEP131113 UOL131113 UYH131113 VID131113 VRZ131113 WBV131113 WLR131113 WVN131113 F196649 JB196649 SX196649 ACT196649 AMP196649 AWL196649 BGH196649 BQD196649 BZZ196649 CJV196649 CTR196649 DDN196649 DNJ196649 DXF196649 EHB196649 EQX196649 FAT196649 FKP196649 FUL196649 GEH196649 GOD196649 GXZ196649 HHV196649 HRR196649 IBN196649 ILJ196649 IVF196649 JFB196649 JOX196649 JYT196649 KIP196649 KSL196649 LCH196649 LMD196649 LVZ196649 MFV196649 MPR196649 MZN196649 NJJ196649 NTF196649 ODB196649 OMX196649 OWT196649 PGP196649 PQL196649 QAH196649 QKD196649 QTZ196649 RDV196649 RNR196649 RXN196649 SHJ196649 SRF196649 TBB196649 TKX196649 TUT196649 UEP196649 UOL196649 UYH196649 VID196649 VRZ196649 WBV196649 WLR196649 WVN196649 F262185 JB262185 SX262185 ACT262185 AMP262185 AWL262185 BGH262185 BQD262185 BZZ262185 CJV262185 CTR262185 DDN262185 DNJ262185 DXF262185 EHB262185 EQX262185 FAT262185 FKP262185 FUL262185 GEH262185 GOD262185 GXZ262185 HHV262185 HRR262185 IBN262185 ILJ262185 IVF262185 JFB262185 JOX262185 JYT262185 KIP262185 KSL262185 LCH262185 LMD262185 LVZ262185 MFV262185 MPR262185 MZN262185 NJJ262185 NTF262185 ODB262185 OMX262185 OWT262185 PGP262185 PQL262185 QAH262185 QKD262185 QTZ262185 RDV262185 RNR262185 RXN262185 SHJ262185 SRF262185 TBB262185 TKX262185 TUT262185 UEP262185 UOL262185 UYH262185 VID262185 VRZ262185 WBV262185 WLR262185 WVN262185 F327721 JB327721 SX327721 ACT327721 AMP327721 AWL327721 BGH327721 BQD327721 BZZ327721 CJV327721 CTR327721 DDN327721 DNJ327721 DXF327721 EHB327721 EQX327721 FAT327721 FKP327721 FUL327721 GEH327721 GOD327721 GXZ327721 HHV327721 HRR327721 IBN327721 ILJ327721 IVF327721 JFB327721 JOX327721 JYT327721 KIP327721 KSL327721 LCH327721 LMD327721 LVZ327721 MFV327721 MPR327721 MZN327721 NJJ327721 NTF327721 ODB327721 OMX327721 OWT327721 PGP327721 PQL327721 QAH327721 QKD327721 QTZ327721 RDV327721 RNR327721 RXN327721 SHJ327721 SRF327721 TBB327721 TKX327721 TUT327721 UEP327721 UOL327721 UYH327721 VID327721 VRZ327721 WBV327721 WLR327721 WVN327721 F393257 JB393257 SX393257 ACT393257 AMP393257 AWL393257 BGH393257 BQD393257 BZZ393257 CJV393257 CTR393257 DDN393257 DNJ393257 DXF393257 EHB393257 EQX393257 FAT393257 FKP393257 FUL393257 GEH393257 GOD393257 GXZ393257 HHV393257 HRR393257 IBN393257 ILJ393257 IVF393257 JFB393257 JOX393257 JYT393257 KIP393257 KSL393257 LCH393257 LMD393257 LVZ393257 MFV393257 MPR393257 MZN393257 NJJ393257 NTF393257 ODB393257 OMX393257 OWT393257 PGP393257 PQL393257 QAH393257 QKD393257 QTZ393257 RDV393257 RNR393257 RXN393257 SHJ393257 SRF393257 TBB393257 TKX393257 TUT393257 UEP393257 UOL393257 UYH393257 VID393257 VRZ393257 WBV393257 WLR393257 WVN393257 F458793 JB458793 SX458793 ACT458793 AMP458793 AWL458793 BGH458793 BQD458793 BZZ458793 CJV458793 CTR458793 DDN458793 DNJ458793 DXF458793 EHB458793 EQX458793 FAT458793 FKP458793 FUL458793 GEH458793 GOD458793 GXZ458793 HHV458793 HRR458793 IBN458793 ILJ458793 IVF458793 JFB458793 JOX458793 JYT458793 KIP458793 KSL458793 LCH458793 LMD458793 LVZ458793 MFV458793 MPR458793 MZN458793 NJJ458793 NTF458793 ODB458793 OMX458793 OWT458793 PGP458793 PQL458793 QAH458793 QKD458793 QTZ458793 RDV458793 RNR458793 RXN458793 SHJ458793 SRF458793 TBB458793 TKX458793 TUT458793 UEP458793 UOL458793 UYH458793 VID458793 VRZ458793 WBV458793 WLR458793 WVN458793 F524329 JB524329 SX524329 ACT524329 AMP524329 AWL524329 BGH524329 BQD524329 BZZ524329 CJV524329 CTR524329 DDN524329 DNJ524329 DXF524329 EHB524329 EQX524329 FAT524329 FKP524329 FUL524329 GEH524329 GOD524329 GXZ524329 HHV524329 HRR524329 IBN524329 ILJ524329 IVF524329 JFB524329 JOX524329 JYT524329 KIP524329 KSL524329 LCH524329 LMD524329 LVZ524329 MFV524329 MPR524329 MZN524329 NJJ524329 NTF524329 ODB524329 OMX524329 OWT524329 PGP524329 PQL524329 QAH524329 QKD524329 QTZ524329 RDV524329 RNR524329 RXN524329 SHJ524329 SRF524329 TBB524329 TKX524329 TUT524329 UEP524329 UOL524329 UYH524329 VID524329 VRZ524329 WBV524329 WLR524329 WVN524329 F589865 JB589865 SX589865 ACT589865 AMP589865 AWL589865 BGH589865 BQD589865 BZZ589865 CJV589865 CTR589865 DDN589865 DNJ589865 DXF589865 EHB589865 EQX589865 FAT589865 FKP589865 FUL589865 GEH589865 GOD589865 GXZ589865 HHV589865 HRR589865 IBN589865 ILJ589865 IVF589865 JFB589865 JOX589865 JYT589865 KIP589865 KSL589865 LCH589865 LMD589865 LVZ589865 MFV589865 MPR589865 MZN589865 NJJ589865 NTF589865 ODB589865 OMX589865 OWT589865 PGP589865 PQL589865 QAH589865 QKD589865 QTZ589865 RDV589865 RNR589865 RXN589865 SHJ589865 SRF589865 TBB589865 TKX589865 TUT589865 UEP589865 UOL589865 UYH589865 VID589865 VRZ589865 WBV589865 WLR589865 WVN589865 F655401 JB655401 SX655401 ACT655401 AMP655401 AWL655401 BGH655401 BQD655401 BZZ655401 CJV655401 CTR655401 DDN655401 DNJ655401 DXF655401 EHB655401 EQX655401 FAT655401 FKP655401 FUL655401 GEH655401 GOD655401 GXZ655401 HHV655401 HRR655401 IBN655401 ILJ655401 IVF655401 JFB655401 JOX655401 JYT655401 KIP655401 KSL655401 LCH655401 LMD655401 LVZ655401 MFV655401 MPR655401 MZN655401 NJJ655401 NTF655401 ODB655401 OMX655401 OWT655401 PGP655401 PQL655401 QAH655401 QKD655401 QTZ655401 RDV655401 RNR655401 RXN655401 SHJ655401 SRF655401 TBB655401 TKX655401 TUT655401 UEP655401 UOL655401 UYH655401 VID655401 VRZ655401 WBV655401 WLR655401 WVN655401 F720937 JB720937 SX720937 ACT720937 AMP720937 AWL720937 BGH720937 BQD720937 BZZ720937 CJV720937 CTR720937 DDN720937 DNJ720937 DXF720937 EHB720937 EQX720937 FAT720937 FKP720937 FUL720937 GEH720937 GOD720937 GXZ720937 HHV720937 HRR720937 IBN720937 ILJ720937 IVF720937 JFB720937 JOX720937 JYT720937 KIP720937 KSL720937 LCH720937 LMD720937 LVZ720937 MFV720937 MPR720937 MZN720937 NJJ720937 NTF720937 ODB720937 OMX720937 OWT720937 PGP720937 PQL720937 QAH720937 QKD720937 QTZ720937 RDV720937 RNR720937 RXN720937 SHJ720937 SRF720937 TBB720937 TKX720937 TUT720937 UEP720937 UOL720937 UYH720937 VID720937 VRZ720937 WBV720937 WLR720937 WVN720937 F786473 JB786473 SX786473 ACT786473 AMP786473 AWL786473 BGH786473 BQD786473 BZZ786473 CJV786473 CTR786473 DDN786473 DNJ786473 DXF786473 EHB786473 EQX786473 FAT786473 FKP786473 FUL786473 GEH786473 GOD786473 GXZ786473 HHV786473 HRR786473 IBN786473 ILJ786473 IVF786473 JFB786473 JOX786473 JYT786473 KIP786473 KSL786473 LCH786473 LMD786473 LVZ786473 MFV786473 MPR786473 MZN786473 NJJ786473 NTF786473 ODB786473 OMX786473 OWT786473 PGP786473 PQL786473 QAH786473 QKD786473 QTZ786473 RDV786473 RNR786473 RXN786473 SHJ786473 SRF786473 TBB786473 TKX786473 TUT786473 UEP786473 UOL786473 UYH786473 VID786473 VRZ786473 WBV786473 WLR786473 WVN786473 F852009 JB852009 SX852009 ACT852009 AMP852009 AWL852009 BGH852009 BQD852009 BZZ852009 CJV852009 CTR852009 DDN852009 DNJ852009 DXF852009 EHB852009 EQX852009 FAT852009 FKP852009 FUL852009 GEH852009 GOD852009 GXZ852009 HHV852009 HRR852009 IBN852009 ILJ852009 IVF852009 JFB852009 JOX852009 JYT852009 KIP852009 KSL852009 LCH852009 LMD852009 LVZ852009 MFV852009 MPR852009 MZN852009 NJJ852009 NTF852009 ODB852009 OMX852009 OWT852009 PGP852009 PQL852009 QAH852009 QKD852009 QTZ852009 RDV852009 RNR852009 RXN852009 SHJ852009 SRF852009 TBB852009 TKX852009 TUT852009 UEP852009 UOL852009 UYH852009 VID852009 VRZ852009 WBV852009 WLR852009 WVN852009 F917545 JB917545 SX917545 ACT917545 AMP917545 AWL917545 BGH917545 BQD917545 BZZ917545 CJV917545 CTR917545 DDN917545 DNJ917545 DXF917545 EHB917545 EQX917545 FAT917545 FKP917545 FUL917545 GEH917545 GOD917545 GXZ917545 HHV917545 HRR917545 IBN917545 ILJ917545 IVF917545 JFB917545 JOX917545 JYT917545 KIP917545 KSL917545 LCH917545 LMD917545 LVZ917545 MFV917545 MPR917545 MZN917545 NJJ917545 NTF917545 ODB917545 OMX917545 OWT917545 PGP917545 PQL917545 QAH917545 QKD917545 QTZ917545 RDV917545 RNR917545 RXN917545 SHJ917545 SRF917545 TBB917545 TKX917545 TUT917545 UEP917545 UOL917545 UYH917545 VID917545 VRZ917545 WBV917545 WLR917545 WVN917545 F983081 JB983081 SX983081 ACT983081 AMP983081 AWL983081 BGH983081 BQD983081 BZZ983081 CJV983081 CTR983081 DDN983081 DNJ983081 DXF983081 EHB983081 EQX983081 FAT983081 FKP983081 FUL983081 GEH983081 GOD983081 GXZ983081 HHV983081 HRR983081 IBN983081 ILJ983081 IVF983081 JFB983081 JOX983081 JYT983081 KIP983081 KSL983081 LCH983081 LMD983081 LVZ983081 MFV983081 MPR983081 MZN983081 NJJ983081 NTF983081 ODB983081 OMX983081 OWT983081 PGP983081 PQL983081 QAH983081 QKD983081 QTZ983081 RDV983081 RNR983081 RXN983081 SHJ983081 SRF983081 TBB983081 TKX983081 TUT983081 UEP983081 UOL983081 UYH983081 VID983081 VRZ983081 WBV983081 WLR983081 WVN983081" xr:uid="{00000000-0002-0000-0A00-00000E000000}">
      <formula1>0</formula1>
      <formula2>D41-E41</formula2>
    </dataValidation>
    <dataValidation type="whole" allowBlank="1" showInputMessage="1" showErrorMessage="1" errorTitle="Input error" error="The amount entered should be rounded to the nearest dollar and should not exceed the remaining ESSER II fund balance (column D minus column E)." sqref="JC38 SY38 ACU38 AMQ38 AWM38 BGI38 BQE38 CAA38 CJW38 CTS38 DDO38 DNK38 DXG38 EHC38 EQY38 FAU38 FKQ38 FUM38 GEI38 GOE38 GYA38 HHW38 HRS38 IBO38 ILK38 IVG38 JFC38 JOY38 JYU38 KIQ38 KSM38 LCI38 LME38 LWA38 MFW38 MPS38 MZO38 NJK38 NTG38 ODC38 OMY38 OWU38 PGQ38 PQM38 QAI38 QKE38 QUA38 RDW38 RNS38 RXO38 SHK38 SRG38 TBC38 TKY38 TUU38 UEQ38 UOM38 UYI38 VIE38 VSA38 WBW38 WLS38 WVO38 F65574 JB65574 SX65574 ACT65574 AMP65574 AWL65574 BGH65574 BQD65574 BZZ65574 CJV65574 CTR65574 DDN65574 DNJ65574 DXF65574 EHB65574 EQX65574 FAT65574 FKP65574 FUL65574 GEH65574 GOD65574 GXZ65574 HHV65574 HRR65574 IBN65574 ILJ65574 IVF65574 JFB65574 JOX65574 JYT65574 KIP65574 KSL65574 LCH65574 LMD65574 LVZ65574 MFV65574 MPR65574 MZN65574 NJJ65574 NTF65574 ODB65574 OMX65574 OWT65574 PGP65574 PQL65574 QAH65574 QKD65574 QTZ65574 RDV65574 RNR65574 RXN65574 SHJ65574 SRF65574 TBB65574 TKX65574 TUT65574 UEP65574 UOL65574 UYH65574 VID65574 VRZ65574 WBV65574 WLR65574 WVN65574 F131110 JB131110 SX131110 ACT131110 AMP131110 AWL131110 BGH131110 BQD131110 BZZ131110 CJV131110 CTR131110 DDN131110 DNJ131110 DXF131110 EHB131110 EQX131110 FAT131110 FKP131110 FUL131110 GEH131110 GOD131110 GXZ131110 HHV131110 HRR131110 IBN131110 ILJ131110 IVF131110 JFB131110 JOX131110 JYT131110 KIP131110 KSL131110 LCH131110 LMD131110 LVZ131110 MFV131110 MPR131110 MZN131110 NJJ131110 NTF131110 ODB131110 OMX131110 OWT131110 PGP131110 PQL131110 QAH131110 QKD131110 QTZ131110 RDV131110 RNR131110 RXN131110 SHJ131110 SRF131110 TBB131110 TKX131110 TUT131110 UEP131110 UOL131110 UYH131110 VID131110 VRZ131110 WBV131110 WLR131110 WVN131110 F196646 JB196646 SX196646 ACT196646 AMP196646 AWL196646 BGH196646 BQD196646 BZZ196646 CJV196646 CTR196646 DDN196646 DNJ196646 DXF196646 EHB196646 EQX196646 FAT196646 FKP196646 FUL196646 GEH196646 GOD196646 GXZ196646 HHV196646 HRR196646 IBN196646 ILJ196646 IVF196646 JFB196646 JOX196646 JYT196646 KIP196646 KSL196646 LCH196646 LMD196646 LVZ196646 MFV196646 MPR196646 MZN196646 NJJ196646 NTF196646 ODB196646 OMX196646 OWT196646 PGP196646 PQL196646 QAH196646 QKD196646 QTZ196646 RDV196646 RNR196646 RXN196646 SHJ196646 SRF196646 TBB196646 TKX196646 TUT196646 UEP196646 UOL196646 UYH196646 VID196646 VRZ196646 WBV196646 WLR196646 WVN196646 F262182 JB262182 SX262182 ACT262182 AMP262182 AWL262182 BGH262182 BQD262182 BZZ262182 CJV262182 CTR262182 DDN262182 DNJ262182 DXF262182 EHB262182 EQX262182 FAT262182 FKP262182 FUL262182 GEH262182 GOD262182 GXZ262182 HHV262182 HRR262182 IBN262182 ILJ262182 IVF262182 JFB262182 JOX262182 JYT262182 KIP262182 KSL262182 LCH262182 LMD262182 LVZ262182 MFV262182 MPR262182 MZN262182 NJJ262182 NTF262182 ODB262182 OMX262182 OWT262182 PGP262182 PQL262182 QAH262182 QKD262182 QTZ262182 RDV262182 RNR262182 RXN262182 SHJ262182 SRF262182 TBB262182 TKX262182 TUT262182 UEP262182 UOL262182 UYH262182 VID262182 VRZ262182 WBV262182 WLR262182 WVN262182 F327718 JB327718 SX327718 ACT327718 AMP327718 AWL327718 BGH327718 BQD327718 BZZ327718 CJV327718 CTR327718 DDN327718 DNJ327718 DXF327718 EHB327718 EQX327718 FAT327718 FKP327718 FUL327718 GEH327718 GOD327718 GXZ327718 HHV327718 HRR327718 IBN327718 ILJ327718 IVF327718 JFB327718 JOX327718 JYT327718 KIP327718 KSL327718 LCH327718 LMD327718 LVZ327718 MFV327718 MPR327718 MZN327718 NJJ327718 NTF327718 ODB327718 OMX327718 OWT327718 PGP327718 PQL327718 QAH327718 QKD327718 QTZ327718 RDV327718 RNR327718 RXN327718 SHJ327718 SRF327718 TBB327718 TKX327718 TUT327718 UEP327718 UOL327718 UYH327718 VID327718 VRZ327718 WBV327718 WLR327718 WVN327718 F393254 JB393254 SX393254 ACT393254 AMP393254 AWL393254 BGH393254 BQD393254 BZZ393254 CJV393254 CTR393254 DDN393254 DNJ393254 DXF393254 EHB393254 EQX393254 FAT393254 FKP393254 FUL393254 GEH393254 GOD393254 GXZ393254 HHV393254 HRR393254 IBN393254 ILJ393254 IVF393254 JFB393254 JOX393254 JYT393254 KIP393254 KSL393254 LCH393254 LMD393254 LVZ393254 MFV393254 MPR393254 MZN393254 NJJ393254 NTF393254 ODB393254 OMX393254 OWT393254 PGP393254 PQL393254 QAH393254 QKD393254 QTZ393254 RDV393254 RNR393254 RXN393254 SHJ393254 SRF393254 TBB393254 TKX393254 TUT393254 UEP393254 UOL393254 UYH393254 VID393254 VRZ393254 WBV393254 WLR393254 WVN393254 F458790 JB458790 SX458790 ACT458790 AMP458790 AWL458790 BGH458790 BQD458790 BZZ458790 CJV458790 CTR458790 DDN458790 DNJ458790 DXF458790 EHB458790 EQX458790 FAT458790 FKP458790 FUL458790 GEH458790 GOD458790 GXZ458790 HHV458790 HRR458790 IBN458790 ILJ458790 IVF458790 JFB458790 JOX458790 JYT458790 KIP458790 KSL458790 LCH458790 LMD458790 LVZ458790 MFV458790 MPR458790 MZN458790 NJJ458790 NTF458790 ODB458790 OMX458790 OWT458790 PGP458790 PQL458790 QAH458790 QKD458790 QTZ458790 RDV458790 RNR458790 RXN458790 SHJ458790 SRF458790 TBB458790 TKX458790 TUT458790 UEP458790 UOL458790 UYH458790 VID458790 VRZ458790 WBV458790 WLR458790 WVN458790 F524326 JB524326 SX524326 ACT524326 AMP524326 AWL524326 BGH524326 BQD524326 BZZ524326 CJV524326 CTR524326 DDN524326 DNJ524326 DXF524326 EHB524326 EQX524326 FAT524326 FKP524326 FUL524326 GEH524326 GOD524326 GXZ524326 HHV524326 HRR524326 IBN524326 ILJ524326 IVF524326 JFB524326 JOX524326 JYT524326 KIP524326 KSL524326 LCH524326 LMD524326 LVZ524326 MFV524326 MPR524326 MZN524326 NJJ524326 NTF524326 ODB524326 OMX524326 OWT524326 PGP524326 PQL524326 QAH524326 QKD524326 QTZ524326 RDV524326 RNR524326 RXN524326 SHJ524326 SRF524326 TBB524326 TKX524326 TUT524326 UEP524326 UOL524326 UYH524326 VID524326 VRZ524326 WBV524326 WLR524326 WVN524326 F589862 JB589862 SX589862 ACT589862 AMP589862 AWL589862 BGH589862 BQD589862 BZZ589862 CJV589862 CTR589862 DDN589862 DNJ589862 DXF589862 EHB589862 EQX589862 FAT589862 FKP589862 FUL589862 GEH589862 GOD589862 GXZ589862 HHV589862 HRR589862 IBN589862 ILJ589862 IVF589862 JFB589862 JOX589862 JYT589862 KIP589862 KSL589862 LCH589862 LMD589862 LVZ589862 MFV589862 MPR589862 MZN589862 NJJ589862 NTF589862 ODB589862 OMX589862 OWT589862 PGP589862 PQL589862 QAH589862 QKD589862 QTZ589862 RDV589862 RNR589862 RXN589862 SHJ589862 SRF589862 TBB589862 TKX589862 TUT589862 UEP589862 UOL589862 UYH589862 VID589862 VRZ589862 WBV589862 WLR589862 WVN589862 F655398 JB655398 SX655398 ACT655398 AMP655398 AWL655398 BGH655398 BQD655398 BZZ655398 CJV655398 CTR655398 DDN655398 DNJ655398 DXF655398 EHB655398 EQX655398 FAT655398 FKP655398 FUL655398 GEH655398 GOD655398 GXZ655398 HHV655398 HRR655398 IBN655398 ILJ655398 IVF655398 JFB655398 JOX655398 JYT655398 KIP655398 KSL655398 LCH655398 LMD655398 LVZ655398 MFV655398 MPR655398 MZN655398 NJJ655398 NTF655398 ODB655398 OMX655398 OWT655398 PGP655398 PQL655398 QAH655398 QKD655398 QTZ655398 RDV655398 RNR655398 RXN655398 SHJ655398 SRF655398 TBB655398 TKX655398 TUT655398 UEP655398 UOL655398 UYH655398 VID655398 VRZ655398 WBV655398 WLR655398 WVN655398 F720934 JB720934 SX720934 ACT720934 AMP720934 AWL720934 BGH720934 BQD720934 BZZ720934 CJV720934 CTR720934 DDN720934 DNJ720934 DXF720934 EHB720934 EQX720934 FAT720934 FKP720934 FUL720934 GEH720934 GOD720934 GXZ720934 HHV720934 HRR720934 IBN720934 ILJ720934 IVF720934 JFB720934 JOX720934 JYT720934 KIP720934 KSL720934 LCH720934 LMD720934 LVZ720934 MFV720934 MPR720934 MZN720934 NJJ720934 NTF720934 ODB720934 OMX720934 OWT720934 PGP720934 PQL720934 QAH720934 QKD720934 QTZ720934 RDV720934 RNR720934 RXN720934 SHJ720934 SRF720934 TBB720934 TKX720934 TUT720934 UEP720934 UOL720934 UYH720934 VID720934 VRZ720934 WBV720934 WLR720934 WVN720934 F786470 JB786470 SX786470 ACT786470 AMP786470 AWL786470 BGH786470 BQD786470 BZZ786470 CJV786470 CTR786470 DDN786470 DNJ786470 DXF786470 EHB786470 EQX786470 FAT786470 FKP786470 FUL786470 GEH786470 GOD786470 GXZ786470 HHV786470 HRR786470 IBN786470 ILJ786470 IVF786470 JFB786470 JOX786470 JYT786470 KIP786470 KSL786470 LCH786470 LMD786470 LVZ786470 MFV786470 MPR786470 MZN786470 NJJ786470 NTF786470 ODB786470 OMX786470 OWT786470 PGP786470 PQL786470 QAH786470 QKD786470 QTZ786470 RDV786470 RNR786470 RXN786470 SHJ786470 SRF786470 TBB786470 TKX786470 TUT786470 UEP786470 UOL786470 UYH786470 VID786470 VRZ786470 WBV786470 WLR786470 WVN786470 F852006 JB852006 SX852006 ACT852006 AMP852006 AWL852006 BGH852006 BQD852006 BZZ852006 CJV852006 CTR852006 DDN852006 DNJ852006 DXF852006 EHB852006 EQX852006 FAT852006 FKP852006 FUL852006 GEH852006 GOD852006 GXZ852006 HHV852006 HRR852006 IBN852006 ILJ852006 IVF852006 JFB852006 JOX852006 JYT852006 KIP852006 KSL852006 LCH852006 LMD852006 LVZ852006 MFV852006 MPR852006 MZN852006 NJJ852006 NTF852006 ODB852006 OMX852006 OWT852006 PGP852006 PQL852006 QAH852006 QKD852006 QTZ852006 RDV852006 RNR852006 RXN852006 SHJ852006 SRF852006 TBB852006 TKX852006 TUT852006 UEP852006 UOL852006 UYH852006 VID852006 VRZ852006 WBV852006 WLR852006 WVN852006 F917542 JB917542 SX917542 ACT917542 AMP917542 AWL917542 BGH917542 BQD917542 BZZ917542 CJV917542 CTR917542 DDN917542 DNJ917542 DXF917542 EHB917542 EQX917542 FAT917542 FKP917542 FUL917542 GEH917542 GOD917542 GXZ917542 HHV917542 HRR917542 IBN917542 ILJ917542 IVF917542 JFB917542 JOX917542 JYT917542 KIP917542 KSL917542 LCH917542 LMD917542 LVZ917542 MFV917542 MPR917542 MZN917542 NJJ917542 NTF917542 ODB917542 OMX917542 OWT917542 PGP917542 PQL917542 QAH917542 QKD917542 QTZ917542 RDV917542 RNR917542 RXN917542 SHJ917542 SRF917542 TBB917542 TKX917542 TUT917542 UEP917542 UOL917542 UYH917542 VID917542 VRZ917542 WBV917542 WLR917542 WVN917542 F983078 JB983078 SX983078 ACT983078 AMP983078 AWL983078 BGH983078 BQD983078 BZZ983078 CJV983078 CTR983078 DDN983078 DNJ983078 DXF983078 EHB983078 EQX983078 FAT983078 FKP983078 FUL983078 GEH983078 GOD983078 GXZ983078 HHV983078 HRR983078 IBN983078 ILJ983078 IVF983078 JFB983078 JOX983078 JYT983078 KIP983078 KSL983078 LCH983078 LMD983078 LVZ983078 MFV983078 MPR983078 MZN983078 NJJ983078 NTF983078 ODB983078 OMX983078 OWT983078 PGP983078 PQL983078 QAH983078 QKD983078 QTZ983078 RDV983078 RNR983078 RXN983078 SHJ983078 SRF983078 TBB983078 TKX983078 TUT983078 UEP983078 UOL983078 UYH983078 VID983078 VRZ983078 WBV983078 WLR983078 WVN983078" xr:uid="{00000000-0002-0000-0A00-00000F000000}">
      <formula1>0</formula1>
      <formula2>D38-E38</formula2>
    </dataValidation>
    <dataValidation type="whole" allowBlank="1" showInputMessage="1" showErrorMessage="1" errorTitle="Input error" error="The amount entered should be rounded to the nearest dollar and should not exceed the remaining ESSER I fund balance (column D minus column E)." sqref="JC37 SY37 ACU37 AMQ37 AWM37 BGI37 BQE37 CAA37 CJW37 CTS37 DDO37 DNK37 DXG37 EHC37 EQY37 FAU37 FKQ37 FUM37 GEI37 GOE37 GYA37 HHW37 HRS37 IBO37 ILK37 IVG37 JFC37 JOY37 JYU37 KIQ37 KSM37 LCI37 LME37 LWA37 MFW37 MPS37 MZO37 NJK37 NTG37 ODC37 OMY37 OWU37 PGQ37 PQM37 QAI37 QKE37 QUA37 RDW37 RNS37 RXO37 SHK37 SRG37 TBC37 TKY37 TUU37 UEQ37 UOM37 UYI37 VIE37 VSA37 WBW37 WLS37 WVO37 F65573 JB65573 SX65573 ACT65573 AMP65573 AWL65573 BGH65573 BQD65573 BZZ65573 CJV65573 CTR65573 DDN65573 DNJ65573 DXF65573 EHB65573 EQX65573 FAT65573 FKP65573 FUL65573 GEH65573 GOD65573 GXZ65573 HHV65573 HRR65573 IBN65573 ILJ65573 IVF65573 JFB65573 JOX65573 JYT65573 KIP65573 KSL65573 LCH65573 LMD65573 LVZ65573 MFV65573 MPR65573 MZN65573 NJJ65573 NTF65573 ODB65573 OMX65573 OWT65573 PGP65573 PQL65573 QAH65573 QKD65573 QTZ65573 RDV65573 RNR65573 RXN65573 SHJ65573 SRF65573 TBB65573 TKX65573 TUT65573 UEP65573 UOL65573 UYH65573 VID65573 VRZ65573 WBV65573 WLR65573 WVN65573 F131109 JB131109 SX131109 ACT131109 AMP131109 AWL131109 BGH131109 BQD131109 BZZ131109 CJV131109 CTR131109 DDN131109 DNJ131109 DXF131109 EHB131109 EQX131109 FAT131109 FKP131109 FUL131109 GEH131109 GOD131109 GXZ131109 HHV131109 HRR131109 IBN131109 ILJ131109 IVF131109 JFB131109 JOX131109 JYT131109 KIP131109 KSL131109 LCH131109 LMD131109 LVZ131109 MFV131109 MPR131109 MZN131109 NJJ131109 NTF131109 ODB131109 OMX131109 OWT131109 PGP131109 PQL131109 QAH131109 QKD131109 QTZ131109 RDV131109 RNR131109 RXN131109 SHJ131109 SRF131109 TBB131109 TKX131109 TUT131109 UEP131109 UOL131109 UYH131109 VID131109 VRZ131109 WBV131109 WLR131109 WVN131109 F196645 JB196645 SX196645 ACT196645 AMP196645 AWL196645 BGH196645 BQD196645 BZZ196645 CJV196645 CTR196645 DDN196645 DNJ196645 DXF196645 EHB196645 EQX196645 FAT196645 FKP196645 FUL196645 GEH196645 GOD196645 GXZ196645 HHV196645 HRR196645 IBN196645 ILJ196645 IVF196645 JFB196645 JOX196645 JYT196645 KIP196645 KSL196645 LCH196645 LMD196645 LVZ196645 MFV196645 MPR196645 MZN196645 NJJ196645 NTF196645 ODB196645 OMX196645 OWT196645 PGP196645 PQL196645 QAH196645 QKD196645 QTZ196645 RDV196645 RNR196645 RXN196645 SHJ196645 SRF196645 TBB196645 TKX196645 TUT196645 UEP196645 UOL196645 UYH196645 VID196645 VRZ196645 WBV196645 WLR196645 WVN196645 F262181 JB262181 SX262181 ACT262181 AMP262181 AWL262181 BGH262181 BQD262181 BZZ262181 CJV262181 CTR262181 DDN262181 DNJ262181 DXF262181 EHB262181 EQX262181 FAT262181 FKP262181 FUL262181 GEH262181 GOD262181 GXZ262181 HHV262181 HRR262181 IBN262181 ILJ262181 IVF262181 JFB262181 JOX262181 JYT262181 KIP262181 KSL262181 LCH262181 LMD262181 LVZ262181 MFV262181 MPR262181 MZN262181 NJJ262181 NTF262181 ODB262181 OMX262181 OWT262181 PGP262181 PQL262181 QAH262181 QKD262181 QTZ262181 RDV262181 RNR262181 RXN262181 SHJ262181 SRF262181 TBB262181 TKX262181 TUT262181 UEP262181 UOL262181 UYH262181 VID262181 VRZ262181 WBV262181 WLR262181 WVN262181 F327717 JB327717 SX327717 ACT327717 AMP327717 AWL327717 BGH327717 BQD327717 BZZ327717 CJV327717 CTR327717 DDN327717 DNJ327717 DXF327717 EHB327717 EQX327717 FAT327717 FKP327717 FUL327717 GEH327717 GOD327717 GXZ327717 HHV327717 HRR327717 IBN327717 ILJ327717 IVF327717 JFB327717 JOX327717 JYT327717 KIP327717 KSL327717 LCH327717 LMD327717 LVZ327717 MFV327717 MPR327717 MZN327717 NJJ327717 NTF327717 ODB327717 OMX327717 OWT327717 PGP327717 PQL327717 QAH327717 QKD327717 QTZ327717 RDV327717 RNR327717 RXN327717 SHJ327717 SRF327717 TBB327717 TKX327717 TUT327717 UEP327717 UOL327717 UYH327717 VID327717 VRZ327717 WBV327717 WLR327717 WVN327717 F393253 JB393253 SX393253 ACT393253 AMP393253 AWL393253 BGH393253 BQD393253 BZZ393253 CJV393253 CTR393253 DDN393253 DNJ393253 DXF393253 EHB393253 EQX393253 FAT393253 FKP393253 FUL393253 GEH393253 GOD393253 GXZ393253 HHV393253 HRR393253 IBN393253 ILJ393253 IVF393253 JFB393253 JOX393253 JYT393253 KIP393253 KSL393253 LCH393253 LMD393253 LVZ393253 MFV393253 MPR393253 MZN393253 NJJ393253 NTF393253 ODB393253 OMX393253 OWT393253 PGP393253 PQL393253 QAH393253 QKD393253 QTZ393253 RDV393253 RNR393253 RXN393253 SHJ393253 SRF393253 TBB393253 TKX393253 TUT393253 UEP393253 UOL393253 UYH393253 VID393253 VRZ393253 WBV393253 WLR393253 WVN393253 F458789 JB458789 SX458789 ACT458789 AMP458789 AWL458789 BGH458789 BQD458789 BZZ458789 CJV458789 CTR458789 DDN458789 DNJ458789 DXF458789 EHB458789 EQX458789 FAT458789 FKP458789 FUL458789 GEH458789 GOD458789 GXZ458789 HHV458789 HRR458789 IBN458789 ILJ458789 IVF458789 JFB458789 JOX458789 JYT458789 KIP458789 KSL458789 LCH458789 LMD458789 LVZ458789 MFV458789 MPR458789 MZN458789 NJJ458789 NTF458789 ODB458789 OMX458789 OWT458789 PGP458789 PQL458789 QAH458789 QKD458789 QTZ458789 RDV458789 RNR458789 RXN458789 SHJ458789 SRF458789 TBB458789 TKX458789 TUT458789 UEP458789 UOL458789 UYH458789 VID458789 VRZ458789 WBV458789 WLR458789 WVN458789 F524325 JB524325 SX524325 ACT524325 AMP524325 AWL524325 BGH524325 BQD524325 BZZ524325 CJV524325 CTR524325 DDN524325 DNJ524325 DXF524325 EHB524325 EQX524325 FAT524325 FKP524325 FUL524325 GEH524325 GOD524325 GXZ524325 HHV524325 HRR524325 IBN524325 ILJ524325 IVF524325 JFB524325 JOX524325 JYT524325 KIP524325 KSL524325 LCH524325 LMD524325 LVZ524325 MFV524325 MPR524325 MZN524325 NJJ524325 NTF524325 ODB524325 OMX524325 OWT524325 PGP524325 PQL524325 QAH524325 QKD524325 QTZ524325 RDV524325 RNR524325 RXN524325 SHJ524325 SRF524325 TBB524325 TKX524325 TUT524325 UEP524325 UOL524325 UYH524325 VID524325 VRZ524325 WBV524325 WLR524325 WVN524325 F589861 JB589861 SX589861 ACT589861 AMP589861 AWL589861 BGH589861 BQD589861 BZZ589861 CJV589861 CTR589861 DDN589861 DNJ589861 DXF589861 EHB589861 EQX589861 FAT589861 FKP589861 FUL589861 GEH589861 GOD589861 GXZ589861 HHV589861 HRR589861 IBN589861 ILJ589861 IVF589861 JFB589861 JOX589861 JYT589861 KIP589861 KSL589861 LCH589861 LMD589861 LVZ589861 MFV589861 MPR589861 MZN589861 NJJ589861 NTF589861 ODB589861 OMX589861 OWT589861 PGP589861 PQL589861 QAH589861 QKD589861 QTZ589861 RDV589861 RNR589861 RXN589861 SHJ589861 SRF589861 TBB589861 TKX589861 TUT589861 UEP589861 UOL589861 UYH589861 VID589861 VRZ589861 WBV589861 WLR589861 WVN589861 F655397 JB655397 SX655397 ACT655397 AMP655397 AWL655397 BGH655397 BQD655397 BZZ655397 CJV655397 CTR655397 DDN655397 DNJ655397 DXF655397 EHB655397 EQX655397 FAT655397 FKP655397 FUL655397 GEH655397 GOD655397 GXZ655397 HHV655397 HRR655397 IBN655397 ILJ655397 IVF655397 JFB655397 JOX655397 JYT655397 KIP655397 KSL655397 LCH655397 LMD655397 LVZ655397 MFV655397 MPR655397 MZN655397 NJJ655397 NTF655397 ODB655397 OMX655397 OWT655397 PGP655397 PQL655397 QAH655397 QKD655397 QTZ655397 RDV655397 RNR655397 RXN655397 SHJ655397 SRF655397 TBB655397 TKX655397 TUT655397 UEP655397 UOL655397 UYH655397 VID655397 VRZ655397 WBV655397 WLR655397 WVN655397 F720933 JB720933 SX720933 ACT720933 AMP720933 AWL720933 BGH720933 BQD720933 BZZ720933 CJV720933 CTR720933 DDN720933 DNJ720933 DXF720933 EHB720933 EQX720933 FAT720933 FKP720933 FUL720933 GEH720933 GOD720933 GXZ720933 HHV720933 HRR720933 IBN720933 ILJ720933 IVF720933 JFB720933 JOX720933 JYT720933 KIP720933 KSL720933 LCH720933 LMD720933 LVZ720933 MFV720933 MPR720933 MZN720933 NJJ720933 NTF720933 ODB720933 OMX720933 OWT720933 PGP720933 PQL720933 QAH720933 QKD720933 QTZ720933 RDV720933 RNR720933 RXN720933 SHJ720933 SRF720933 TBB720933 TKX720933 TUT720933 UEP720933 UOL720933 UYH720933 VID720933 VRZ720933 WBV720933 WLR720933 WVN720933 F786469 JB786469 SX786469 ACT786469 AMP786469 AWL786469 BGH786469 BQD786469 BZZ786469 CJV786469 CTR786469 DDN786469 DNJ786469 DXF786469 EHB786469 EQX786469 FAT786469 FKP786469 FUL786469 GEH786469 GOD786469 GXZ786469 HHV786469 HRR786469 IBN786469 ILJ786469 IVF786469 JFB786469 JOX786469 JYT786469 KIP786469 KSL786469 LCH786469 LMD786469 LVZ786469 MFV786469 MPR786469 MZN786469 NJJ786469 NTF786469 ODB786469 OMX786469 OWT786469 PGP786469 PQL786469 QAH786469 QKD786469 QTZ786469 RDV786469 RNR786469 RXN786469 SHJ786469 SRF786469 TBB786469 TKX786469 TUT786469 UEP786469 UOL786469 UYH786469 VID786469 VRZ786469 WBV786469 WLR786469 WVN786469 F852005 JB852005 SX852005 ACT852005 AMP852005 AWL852005 BGH852005 BQD852005 BZZ852005 CJV852005 CTR852005 DDN852005 DNJ852005 DXF852005 EHB852005 EQX852005 FAT852005 FKP852005 FUL852005 GEH852005 GOD852005 GXZ852005 HHV852005 HRR852005 IBN852005 ILJ852005 IVF852005 JFB852005 JOX852005 JYT852005 KIP852005 KSL852005 LCH852005 LMD852005 LVZ852005 MFV852005 MPR852005 MZN852005 NJJ852005 NTF852005 ODB852005 OMX852005 OWT852005 PGP852005 PQL852005 QAH852005 QKD852005 QTZ852005 RDV852005 RNR852005 RXN852005 SHJ852005 SRF852005 TBB852005 TKX852005 TUT852005 UEP852005 UOL852005 UYH852005 VID852005 VRZ852005 WBV852005 WLR852005 WVN852005 F917541 JB917541 SX917541 ACT917541 AMP917541 AWL917541 BGH917541 BQD917541 BZZ917541 CJV917541 CTR917541 DDN917541 DNJ917541 DXF917541 EHB917541 EQX917541 FAT917541 FKP917541 FUL917541 GEH917541 GOD917541 GXZ917541 HHV917541 HRR917541 IBN917541 ILJ917541 IVF917541 JFB917541 JOX917541 JYT917541 KIP917541 KSL917541 LCH917541 LMD917541 LVZ917541 MFV917541 MPR917541 MZN917541 NJJ917541 NTF917541 ODB917541 OMX917541 OWT917541 PGP917541 PQL917541 QAH917541 QKD917541 QTZ917541 RDV917541 RNR917541 RXN917541 SHJ917541 SRF917541 TBB917541 TKX917541 TUT917541 UEP917541 UOL917541 UYH917541 VID917541 VRZ917541 WBV917541 WLR917541 WVN917541 F983077 JB983077 SX983077 ACT983077 AMP983077 AWL983077 BGH983077 BQD983077 BZZ983077 CJV983077 CTR983077 DDN983077 DNJ983077 DXF983077 EHB983077 EQX983077 FAT983077 FKP983077 FUL983077 GEH983077 GOD983077 GXZ983077 HHV983077 HRR983077 IBN983077 ILJ983077 IVF983077 JFB983077 JOX983077 JYT983077 KIP983077 KSL983077 LCH983077 LMD983077 LVZ983077 MFV983077 MPR983077 MZN983077 NJJ983077 NTF983077 ODB983077 OMX983077 OWT983077 PGP983077 PQL983077 QAH983077 QKD983077 QTZ983077 RDV983077 RNR983077 RXN983077 SHJ983077 SRF983077 TBB983077 TKX983077 TUT983077 UEP983077 UOL983077 UYH983077 VID983077 VRZ983077 WBV983077 WLR983077 WVN983077" xr:uid="{00000000-0002-0000-0A00-000010000000}">
      <formula1>0</formula1>
      <formula2>D37-E37</formula2>
    </dataValidation>
    <dataValidation type="whole" allowBlank="1" showInputMessage="1" showErrorMessage="1" errorTitle="Input error" error="The amount entered should be rounded to the nearest dollar and should not exceed the remaining Other funds balance (column D minus column E)." sqref="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F65578 JB65578 SX65578 ACT65578 AMP65578 AWL65578 BGH65578 BQD65578 BZZ65578 CJV65578 CTR65578 DDN65578 DNJ65578 DXF65578 EHB65578 EQX65578 FAT65578 FKP65578 FUL65578 GEH65578 GOD65578 GXZ65578 HHV65578 HRR65578 IBN65578 ILJ65578 IVF65578 JFB65578 JOX65578 JYT65578 KIP65578 KSL65578 LCH65578 LMD65578 LVZ65578 MFV65578 MPR65578 MZN65578 NJJ65578 NTF65578 ODB65578 OMX65578 OWT65578 PGP65578 PQL65578 QAH65578 QKD65578 QTZ65578 RDV65578 RNR65578 RXN65578 SHJ65578 SRF65578 TBB65578 TKX65578 TUT65578 UEP65578 UOL65578 UYH65578 VID65578 VRZ65578 WBV65578 WLR65578 WVN65578 F131114 JB131114 SX131114 ACT131114 AMP131114 AWL131114 BGH131114 BQD131114 BZZ131114 CJV131114 CTR131114 DDN131114 DNJ131114 DXF131114 EHB131114 EQX131114 FAT131114 FKP131114 FUL131114 GEH131114 GOD131114 GXZ131114 HHV131114 HRR131114 IBN131114 ILJ131114 IVF131114 JFB131114 JOX131114 JYT131114 KIP131114 KSL131114 LCH131114 LMD131114 LVZ131114 MFV131114 MPR131114 MZN131114 NJJ131114 NTF131114 ODB131114 OMX131114 OWT131114 PGP131114 PQL131114 QAH131114 QKD131114 QTZ131114 RDV131114 RNR131114 RXN131114 SHJ131114 SRF131114 TBB131114 TKX131114 TUT131114 UEP131114 UOL131114 UYH131114 VID131114 VRZ131114 WBV131114 WLR131114 WVN131114 F196650 JB196650 SX196650 ACT196650 AMP196650 AWL196650 BGH196650 BQD196650 BZZ196650 CJV196650 CTR196650 DDN196650 DNJ196650 DXF196650 EHB196650 EQX196650 FAT196650 FKP196650 FUL196650 GEH196650 GOD196650 GXZ196650 HHV196650 HRR196650 IBN196650 ILJ196650 IVF196650 JFB196650 JOX196650 JYT196650 KIP196650 KSL196650 LCH196650 LMD196650 LVZ196650 MFV196650 MPR196650 MZN196650 NJJ196650 NTF196650 ODB196650 OMX196650 OWT196650 PGP196650 PQL196650 QAH196650 QKD196650 QTZ196650 RDV196650 RNR196650 RXN196650 SHJ196650 SRF196650 TBB196650 TKX196650 TUT196650 UEP196650 UOL196650 UYH196650 VID196650 VRZ196650 WBV196650 WLR196650 WVN196650 F262186 JB262186 SX262186 ACT262186 AMP262186 AWL262186 BGH262186 BQD262186 BZZ262186 CJV262186 CTR262186 DDN262186 DNJ262186 DXF262186 EHB262186 EQX262186 FAT262186 FKP262186 FUL262186 GEH262186 GOD262186 GXZ262186 HHV262186 HRR262186 IBN262186 ILJ262186 IVF262186 JFB262186 JOX262186 JYT262186 KIP262186 KSL262186 LCH262186 LMD262186 LVZ262186 MFV262186 MPR262186 MZN262186 NJJ262186 NTF262186 ODB262186 OMX262186 OWT262186 PGP262186 PQL262186 QAH262186 QKD262186 QTZ262186 RDV262186 RNR262186 RXN262186 SHJ262186 SRF262186 TBB262186 TKX262186 TUT262186 UEP262186 UOL262186 UYH262186 VID262186 VRZ262186 WBV262186 WLR262186 WVN262186 F327722 JB327722 SX327722 ACT327722 AMP327722 AWL327722 BGH327722 BQD327722 BZZ327722 CJV327722 CTR327722 DDN327722 DNJ327722 DXF327722 EHB327722 EQX327722 FAT327722 FKP327722 FUL327722 GEH327722 GOD327722 GXZ327722 HHV327722 HRR327722 IBN327722 ILJ327722 IVF327722 JFB327722 JOX327722 JYT327722 KIP327722 KSL327722 LCH327722 LMD327722 LVZ327722 MFV327722 MPR327722 MZN327722 NJJ327722 NTF327722 ODB327722 OMX327722 OWT327722 PGP327722 PQL327722 QAH327722 QKD327722 QTZ327722 RDV327722 RNR327722 RXN327722 SHJ327722 SRF327722 TBB327722 TKX327722 TUT327722 UEP327722 UOL327722 UYH327722 VID327722 VRZ327722 WBV327722 WLR327722 WVN327722 F393258 JB393258 SX393258 ACT393258 AMP393258 AWL393258 BGH393258 BQD393258 BZZ393258 CJV393258 CTR393258 DDN393258 DNJ393258 DXF393258 EHB393258 EQX393258 FAT393258 FKP393258 FUL393258 GEH393258 GOD393258 GXZ393258 HHV393258 HRR393258 IBN393258 ILJ393258 IVF393258 JFB393258 JOX393258 JYT393258 KIP393258 KSL393258 LCH393258 LMD393258 LVZ393258 MFV393258 MPR393258 MZN393258 NJJ393258 NTF393258 ODB393258 OMX393258 OWT393258 PGP393258 PQL393258 QAH393258 QKD393258 QTZ393258 RDV393258 RNR393258 RXN393258 SHJ393258 SRF393258 TBB393258 TKX393258 TUT393258 UEP393258 UOL393258 UYH393258 VID393258 VRZ393258 WBV393258 WLR393258 WVN393258 F458794 JB458794 SX458794 ACT458794 AMP458794 AWL458794 BGH458794 BQD458794 BZZ458794 CJV458794 CTR458794 DDN458794 DNJ458794 DXF458794 EHB458794 EQX458794 FAT458794 FKP458794 FUL458794 GEH458794 GOD458794 GXZ458794 HHV458794 HRR458794 IBN458794 ILJ458794 IVF458794 JFB458794 JOX458794 JYT458794 KIP458794 KSL458794 LCH458794 LMD458794 LVZ458794 MFV458794 MPR458794 MZN458794 NJJ458794 NTF458794 ODB458794 OMX458794 OWT458794 PGP458794 PQL458794 QAH458794 QKD458794 QTZ458794 RDV458794 RNR458794 RXN458794 SHJ458794 SRF458794 TBB458794 TKX458794 TUT458794 UEP458794 UOL458794 UYH458794 VID458794 VRZ458794 WBV458794 WLR458794 WVN458794 F524330 JB524330 SX524330 ACT524330 AMP524330 AWL524330 BGH524330 BQD524330 BZZ524330 CJV524330 CTR524330 DDN524330 DNJ524330 DXF524330 EHB524330 EQX524330 FAT524330 FKP524330 FUL524330 GEH524330 GOD524330 GXZ524330 HHV524330 HRR524330 IBN524330 ILJ524330 IVF524330 JFB524330 JOX524330 JYT524330 KIP524330 KSL524330 LCH524330 LMD524330 LVZ524330 MFV524330 MPR524330 MZN524330 NJJ524330 NTF524330 ODB524330 OMX524330 OWT524330 PGP524330 PQL524330 QAH524330 QKD524330 QTZ524330 RDV524330 RNR524330 RXN524330 SHJ524330 SRF524330 TBB524330 TKX524330 TUT524330 UEP524330 UOL524330 UYH524330 VID524330 VRZ524330 WBV524330 WLR524330 WVN524330 F589866 JB589866 SX589866 ACT589866 AMP589866 AWL589866 BGH589866 BQD589866 BZZ589866 CJV589866 CTR589866 DDN589866 DNJ589866 DXF589866 EHB589866 EQX589866 FAT589866 FKP589866 FUL589866 GEH589866 GOD589866 GXZ589866 HHV589866 HRR589866 IBN589866 ILJ589866 IVF589866 JFB589866 JOX589866 JYT589866 KIP589866 KSL589866 LCH589866 LMD589866 LVZ589866 MFV589866 MPR589866 MZN589866 NJJ589866 NTF589866 ODB589866 OMX589866 OWT589866 PGP589866 PQL589866 QAH589866 QKD589866 QTZ589866 RDV589866 RNR589866 RXN589866 SHJ589866 SRF589866 TBB589866 TKX589866 TUT589866 UEP589866 UOL589866 UYH589866 VID589866 VRZ589866 WBV589866 WLR589866 WVN589866 F655402 JB655402 SX655402 ACT655402 AMP655402 AWL655402 BGH655402 BQD655402 BZZ655402 CJV655402 CTR655402 DDN655402 DNJ655402 DXF655402 EHB655402 EQX655402 FAT655402 FKP655402 FUL655402 GEH655402 GOD655402 GXZ655402 HHV655402 HRR655402 IBN655402 ILJ655402 IVF655402 JFB655402 JOX655402 JYT655402 KIP655402 KSL655402 LCH655402 LMD655402 LVZ655402 MFV655402 MPR655402 MZN655402 NJJ655402 NTF655402 ODB655402 OMX655402 OWT655402 PGP655402 PQL655402 QAH655402 QKD655402 QTZ655402 RDV655402 RNR655402 RXN655402 SHJ655402 SRF655402 TBB655402 TKX655402 TUT655402 UEP655402 UOL655402 UYH655402 VID655402 VRZ655402 WBV655402 WLR655402 WVN655402 F720938 JB720938 SX720938 ACT720938 AMP720938 AWL720938 BGH720938 BQD720938 BZZ720938 CJV720938 CTR720938 DDN720938 DNJ720938 DXF720938 EHB720938 EQX720938 FAT720938 FKP720938 FUL720938 GEH720938 GOD720938 GXZ720938 HHV720938 HRR720938 IBN720938 ILJ720938 IVF720938 JFB720938 JOX720938 JYT720938 KIP720938 KSL720938 LCH720938 LMD720938 LVZ720938 MFV720938 MPR720938 MZN720938 NJJ720938 NTF720938 ODB720938 OMX720938 OWT720938 PGP720938 PQL720938 QAH720938 QKD720938 QTZ720938 RDV720938 RNR720938 RXN720938 SHJ720938 SRF720938 TBB720938 TKX720938 TUT720938 UEP720938 UOL720938 UYH720938 VID720938 VRZ720938 WBV720938 WLR720938 WVN720938 F786474 JB786474 SX786474 ACT786474 AMP786474 AWL786474 BGH786474 BQD786474 BZZ786474 CJV786474 CTR786474 DDN786474 DNJ786474 DXF786474 EHB786474 EQX786474 FAT786474 FKP786474 FUL786474 GEH786474 GOD786474 GXZ786474 HHV786474 HRR786474 IBN786474 ILJ786474 IVF786474 JFB786474 JOX786474 JYT786474 KIP786474 KSL786474 LCH786474 LMD786474 LVZ786474 MFV786474 MPR786474 MZN786474 NJJ786474 NTF786474 ODB786474 OMX786474 OWT786474 PGP786474 PQL786474 QAH786474 QKD786474 QTZ786474 RDV786474 RNR786474 RXN786474 SHJ786474 SRF786474 TBB786474 TKX786474 TUT786474 UEP786474 UOL786474 UYH786474 VID786474 VRZ786474 WBV786474 WLR786474 WVN786474 F852010 JB852010 SX852010 ACT852010 AMP852010 AWL852010 BGH852010 BQD852010 BZZ852010 CJV852010 CTR852010 DDN852010 DNJ852010 DXF852010 EHB852010 EQX852010 FAT852010 FKP852010 FUL852010 GEH852010 GOD852010 GXZ852010 HHV852010 HRR852010 IBN852010 ILJ852010 IVF852010 JFB852010 JOX852010 JYT852010 KIP852010 KSL852010 LCH852010 LMD852010 LVZ852010 MFV852010 MPR852010 MZN852010 NJJ852010 NTF852010 ODB852010 OMX852010 OWT852010 PGP852010 PQL852010 QAH852010 QKD852010 QTZ852010 RDV852010 RNR852010 RXN852010 SHJ852010 SRF852010 TBB852010 TKX852010 TUT852010 UEP852010 UOL852010 UYH852010 VID852010 VRZ852010 WBV852010 WLR852010 WVN852010 F917546 JB917546 SX917546 ACT917546 AMP917546 AWL917546 BGH917546 BQD917546 BZZ917546 CJV917546 CTR917546 DDN917546 DNJ917546 DXF917546 EHB917546 EQX917546 FAT917546 FKP917546 FUL917546 GEH917546 GOD917546 GXZ917546 HHV917546 HRR917546 IBN917546 ILJ917546 IVF917546 JFB917546 JOX917546 JYT917546 KIP917546 KSL917546 LCH917546 LMD917546 LVZ917546 MFV917546 MPR917546 MZN917546 NJJ917546 NTF917546 ODB917546 OMX917546 OWT917546 PGP917546 PQL917546 QAH917546 QKD917546 QTZ917546 RDV917546 RNR917546 RXN917546 SHJ917546 SRF917546 TBB917546 TKX917546 TUT917546 UEP917546 UOL917546 UYH917546 VID917546 VRZ917546 WBV917546 WLR917546 WVN917546 F983082 JB983082 SX983082 ACT983082 AMP983082 AWL983082 BGH983082 BQD983082 BZZ983082 CJV983082 CTR983082 DDN983082 DNJ983082 DXF983082 EHB983082 EQX983082 FAT983082 FKP983082 FUL983082 GEH983082 GOD983082 GXZ983082 HHV983082 HRR983082 IBN983082 ILJ983082 IVF983082 JFB983082 JOX983082 JYT983082 KIP983082 KSL983082 LCH983082 LMD983082 LVZ983082 MFV983082 MPR983082 MZN983082 NJJ983082 NTF983082 ODB983082 OMX983082 OWT983082 PGP983082 PQL983082 QAH983082 QKD983082 QTZ983082 RDV983082 RNR983082 RXN983082 SHJ983082 SRF983082 TBB983082 TKX983082 TUT983082 UEP983082 UOL983082 UYH983082 VID983082 VRZ983082 WBV983082 WLR983082 WVN983082" xr:uid="{00000000-0002-0000-0A00-000011000000}">
      <formula1>0</formula1>
      <formula2>D42-E42</formula2>
    </dataValidation>
    <dataValidation type="whole" operator="greaterThanOrEqual" allowBlank="1" showInputMessage="1" showErrorMessage="1" errorTitle="Input error" error="The amount entered should be rounded to the nearest dollar and be greater than or equal to zero." sqref="L10:L18 JH10:JH18 TD10:TD18 ACZ10:ACZ18 AMV10:AMV18 AWR10:AWR18 BGN10:BGN18 BQJ10:BQJ18 CAF10:CAF18 CKB10:CKB18 CTX10:CTX18 DDT10:DDT18 DNP10:DNP18 DXL10:DXL18 EHH10:EHH18 ERD10:ERD18 FAZ10:FAZ18 FKV10:FKV18 FUR10:FUR18 GEN10:GEN18 GOJ10:GOJ18 GYF10:GYF18 HIB10:HIB18 HRX10:HRX18 IBT10:IBT18 ILP10:ILP18 IVL10:IVL18 JFH10:JFH18 JPD10:JPD18 JYZ10:JYZ18 KIV10:KIV18 KSR10:KSR18 LCN10:LCN18 LMJ10:LMJ18 LWF10:LWF18 MGB10:MGB18 MPX10:MPX18 MZT10:MZT18 NJP10:NJP18 NTL10:NTL18 ODH10:ODH18 OND10:OND18 OWZ10:OWZ18 PGV10:PGV18 PQR10:PQR18 QAN10:QAN18 QKJ10:QKJ18 QUF10:QUF18 REB10:REB18 RNX10:RNX18 RXT10:RXT18 SHP10:SHP18 SRL10:SRL18 TBH10:TBH18 TLD10:TLD18 TUZ10:TUZ18 UEV10:UEV18 UOR10:UOR18 UYN10:UYN18 VIJ10:VIJ18 VSF10:VSF18 WCB10:WCB18 WLX10:WLX18 WVT10:WVT18 J22 JF22 TB22 ACX22 AMT22 AWP22 BGL22 BQH22 CAD22 CJZ22 CTV22 DDR22 DNN22 DXJ22 EHF22 ERB22 FAX22 FKT22 FUP22 GEL22 GOH22 GYD22 HHZ22 HRV22 IBR22 ILN22 IVJ22 JFF22 JPB22 JYX22 KIT22 KSP22 LCL22 LMH22 LWD22 MFZ22 MPV22 MZR22 NJN22 NTJ22 ODF22 ONB22 OWX22 PGT22 PQP22 QAL22 QKH22 QUD22 RDZ22 RNV22 RXR22 SHN22 SRJ22 TBF22 TLB22 TUX22 UET22 UOP22 UYL22 VIH22 VSD22 WBZ22 WLV22 WVR22 J24:J26 JF24:JF26 TB24:TB26 ACX24:ACX26 AMT24:AMT26 AWP24:AWP26 BGL24:BGL26 BQH24:BQH26 CAD24:CAD26 CJZ24:CJZ26 CTV24:CTV26 DDR24:DDR26 DNN24:DNN26 DXJ24:DXJ26 EHF24:EHF26 ERB24:ERB26 FAX24:FAX26 FKT24:FKT26 FUP24:FUP26 GEL24:GEL26 GOH24:GOH26 GYD24:GYD26 HHZ24:HHZ26 HRV24:HRV26 IBR24:IBR26 ILN24:ILN26 IVJ24:IVJ26 JFF24:JFF26 JPB24:JPB26 JYX24:JYX26 KIT24:KIT26 KSP24:KSP26 LCL24:LCL26 LMH24:LMH26 LWD24:LWD26 MFZ24:MFZ26 MPV24:MPV26 MZR24:MZR26 NJN24:NJN26 NTJ24:NTJ26 ODF24:ODF26 ONB24:ONB26 OWX24:OWX26 PGT24:PGT26 PQP24:PQP26 QAL24:QAL26 QKH24:QKH26 QUD24:QUD26 RDZ24:RDZ26 RNV24:RNV26 RXR24:RXR26 SHN24:SHN26 SRJ24:SRJ26 TBF24:TBF26 TLB24:TLB26 TUX24:TUX26 UET24:UET26 UOP24:UOP26 UYL24:UYL26 VIH24:VIH26 VSD24:VSD26 WBZ24:WBZ26 WLV24:WLV26 WVR24:WVR26 O25:O27 JK25:JK27 TG25:TG27 ADC25:ADC27 AMY25:AMY27 AWU25:AWU27 BGQ25:BGQ27 BQM25:BQM27 CAI25:CAI27 CKE25:CKE27 CUA25:CUA27 DDW25:DDW27 DNS25:DNS27 DXO25:DXO27 EHK25:EHK27 ERG25:ERG27 FBC25:FBC27 FKY25:FKY27 FUU25:FUU27 GEQ25:GEQ27 GOM25:GOM27 GYI25:GYI27 HIE25:HIE27 HSA25:HSA27 IBW25:IBW27 ILS25:ILS27 IVO25:IVO27 JFK25:JFK27 JPG25:JPG27 JZC25:JZC27 KIY25:KIY27 KSU25:KSU27 LCQ25:LCQ27 LMM25:LMM27 LWI25:LWI27 MGE25:MGE27 MQA25:MQA27 MZW25:MZW27 NJS25:NJS27 NTO25:NTO27 ODK25:ODK27 ONG25:ONG27 OXC25:OXC27 PGY25:PGY27 PQU25:PQU27 QAQ25:QAQ27 QKM25:QKM27 QUI25:QUI27 REE25:REE27 ROA25:ROA27 RXW25:RXW27 SHS25:SHS27 SRO25:SRO27 TBK25:TBK27 TLG25:TLG27 TVC25:TVC27 UEY25:UEY27 UOU25:UOU27 UYQ25:UYQ27 VIM25:VIM27 VSI25:VSI27 WCE25:WCE27 WMA25:WMA27 WVW25:WVW27 D26:E27 IZ26:JA27 SV26:SW27 ACR26:ACS27 AMN26:AMO27 AWJ26:AWK27 BGF26:BGG27 BQB26:BQC27 BZX26:BZY27 CJT26:CJU27 CTP26:CTQ27 DDL26:DDM27 DNH26:DNI27 DXD26:DXE27 EGZ26:EHA27 EQV26:EQW27 FAR26:FAS27 FKN26:FKO27 FUJ26:FUK27 GEF26:GEG27 GOB26:GOC27 GXX26:GXY27 HHT26:HHU27 HRP26:HRQ27 IBL26:IBM27 ILH26:ILI27 IVD26:IVE27 JEZ26:JFA27 JOV26:JOW27 JYR26:JYS27 KIN26:KIO27 KSJ26:KSK27 LCF26:LCG27 LMB26:LMC27 LVX26:LVY27 MFT26:MFU27 MPP26:MPQ27 MZL26:MZM27 NJH26:NJI27 NTD26:NTE27 OCZ26:ODA27 OMV26:OMW27 OWR26:OWS27 PGN26:PGO27 PQJ26:PQK27 QAF26:QAG27 QKB26:QKC27 QTX26:QTY27 RDT26:RDU27 RNP26:RNQ27 RXL26:RXM27 SHH26:SHI27 SRD26:SRE27 TAZ26:TBA27 TKV26:TKW27 TUR26:TUS27 UEN26:UEO27 UOJ26:UOK27 UYF26:UYG27 VIB26:VIC27 VRX26:VRY27 WBT26:WBU27 WLP26:WLQ27 WVL26:WVM27 D28 IZ28 SV28 ACR28 AMN28 AWJ28 BGF28 BQB28 BZX28 CJT28 CTP28 DDL28 DNH28 DXD28 EGZ28 EQV28 FAR28 FKN28 FUJ28 GEF28 GOB28 GXX28 HHT28 HRP28 IBL28 ILH28 IVD28 JEZ28 JOV28 JYR28 KIN28 KSJ28 LCF28 LMB28 LVX28 MFT28 MPP28 MZL28 NJH28 NTD28 OCZ28 OMV28 OWR28 PGN28 PQJ28 QAF28 QKB28 QTX28 RDT28 RNP28 RXL28 SHH28 SRD28 TAZ28 TKV28 TUR28 UEN28 UOJ28 UYF28 VIB28 VRX28 WBT28 WLP28 WVL28 J32 JF32 TB32 ACX32 AMT32 AWP32 BGL32 BQH32 CAD32 CJZ32 CTV32 DDR32 DNN32 DXJ32 EHF32 ERB32 FAX32 FKT32 FUP32 GEL32 GOH32 GYD32 HHZ32 HRV32 IBR32 ILN32 IVJ32 JFF32 JPB32 JYX32 KIT32 KSP32 LCL32 LMH32 LWD32 MFZ32 MPV32 MZR32 NJN32 NTJ32 ODF32 ONB32 OWX32 PGT32 PQP32 QAL32 QKH32 QUD32 RDZ32 RNV32 RXR32 SHN32 SRJ32 TBF32 TLB32 TUX32 UET32 UOP32 UYL32 VIH32 VSD32 WBZ32 WLV32 WVR32 L65546:L65554 JH65546:JH65554 TD65546:TD65554 ACZ65546:ACZ65554 AMV65546:AMV65554 AWR65546:AWR65554 BGN65546:BGN65554 BQJ65546:BQJ65554 CAF65546:CAF65554 CKB65546:CKB65554 CTX65546:CTX65554 DDT65546:DDT65554 DNP65546:DNP65554 DXL65546:DXL65554 EHH65546:EHH65554 ERD65546:ERD65554 FAZ65546:FAZ65554 FKV65546:FKV65554 FUR65546:FUR65554 GEN65546:GEN65554 GOJ65546:GOJ65554 GYF65546:GYF65554 HIB65546:HIB65554 HRX65546:HRX65554 IBT65546:IBT65554 ILP65546:ILP65554 IVL65546:IVL65554 JFH65546:JFH65554 JPD65546:JPD65554 JYZ65546:JYZ65554 KIV65546:KIV65554 KSR65546:KSR65554 LCN65546:LCN65554 LMJ65546:LMJ65554 LWF65546:LWF65554 MGB65546:MGB65554 MPX65546:MPX65554 MZT65546:MZT65554 NJP65546:NJP65554 NTL65546:NTL65554 ODH65546:ODH65554 OND65546:OND65554 OWZ65546:OWZ65554 PGV65546:PGV65554 PQR65546:PQR65554 QAN65546:QAN65554 QKJ65546:QKJ65554 QUF65546:QUF65554 REB65546:REB65554 RNX65546:RNX65554 RXT65546:RXT65554 SHP65546:SHP65554 SRL65546:SRL65554 TBH65546:TBH65554 TLD65546:TLD65554 TUZ65546:TUZ65554 UEV65546:UEV65554 UOR65546:UOR65554 UYN65546:UYN65554 VIJ65546:VIJ65554 VSF65546:VSF65554 WCB65546:WCB65554 WLX65546:WLX65554 WVT65546:WVT65554 J65558 JF65558 TB65558 ACX65558 AMT65558 AWP65558 BGL65558 BQH65558 CAD65558 CJZ65558 CTV65558 DDR65558 DNN65558 DXJ65558 EHF65558 ERB65558 FAX65558 FKT65558 FUP65558 GEL65558 GOH65558 GYD65558 HHZ65558 HRV65558 IBR65558 ILN65558 IVJ65558 JFF65558 JPB65558 JYX65558 KIT65558 KSP65558 LCL65558 LMH65558 LWD65558 MFZ65558 MPV65558 MZR65558 NJN65558 NTJ65558 ODF65558 ONB65558 OWX65558 PGT65558 PQP65558 QAL65558 QKH65558 QUD65558 RDZ65558 RNV65558 RXR65558 SHN65558 SRJ65558 TBF65558 TLB65558 TUX65558 UET65558 UOP65558 UYL65558 VIH65558 VSD65558 WBZ65558 WLV65558 WVR65558 J65560:J65562 JF65560:JF65562 TB65560:TB65562 ACX65560:ACX65562 AMT65560:AMT65562 AWP65560:AWP65562 BGL65560:BGL65562 BQH65560:BQH65562 CAD65560:CAD65562 CJZ65560:CJZ65562 CTV65560:CTV65562 DDR65560:DDR65562 DNN65560:DNN65562 DXJ65560:DXJ65562 EHF65560:EHF65562 ERB65560:ERB65562 FAX65560:FAX65562 FKT65560:FKT65562 FUP65560:FUP65562 GEL65560:GEL65562 GOH65560:GOH65562 GYD65560:GYD65562 HHZ65560:HHZ65562 HRV65560:HRV65562 IBR65560:IBR65562 ILN65560:ILN65562 IVJ65560:IVJ65562 JFF65560:JFF65562 JPB65560:JPB65562 JYX65560:JYX65562 KIT65560:KIT65562 KSP65560:KSP65562 LCL65560:LCL65562 LMH65560:LMH65562 LWD65560:LWD65562 MFZ65560:MFZ65562 MPV65560:MPV65562 MZR65560:MZR65562 NJN65560:NJN65562 NTJ65560:NTJ65562 ODF65560:ODF65562 ONB65560:ONB65562 OWX65560:OWX65562 PGT65560:PGT65562 PQP65560:PQP65562 QAL65560:QAL65562 QKH65560:QKH65562 QUD65560:QUD65562 RDZ65560:RDZ65562 RNV65560:RNV65562 RXR65560:RXR65562 SHN65560:SHN65562 SRJ65560:SRJ65562 TBF65560:TBF65562 TLB65560:TLB65562 TUX65560:TUX65562 UET65560:UET65562 UOP65560:UOP65562 UYL65560:UYL65562 VIH65560:VIH65562 VSD65560:VSD65562 WBZ65560:WBZ65562 WLV65560:WLV65562 WVR65560:WVR65562 O65561:O65563 JK65561:JK65563 TG65561:TG65563 ADC65561:ADC65563 AMY65561:AMY65563 AWU65561:AWU65563 BGQ65561:BGQ65563 BQM65561:BQM65563 CAI65561:CAI65563 CKE65561:CKE65563 CUA65561:CUA65563 DDW65561:DDW65563 DNS65561:DNS65563 DXO65561:DXO65563 EHK65561:EHK65563 ERG65561:ERG65563 FBC65561:FBC65563 FKY65561:FKY65563 FUU65561:FUU65563 GEQ65561:GEQ65563 GOM65561:GOM65563 GYI65561:GYI65563 HIE65561:HIE65563 HSA65561:HSA65563 IBW65561:IBW65563 ILS65561:ILS65563 IVO65561:IVO65563 JFK65561:JFK65563 JPG65561:JPG65563 JZC65561:JZC65563 KIY65561:KIY65563 KSU65561:KSU65563 LCQ65561:LCQ65563 LMM65561:LMM65563 LWI65561:LWI65563 MGE65561:MGE65563 MQA65561:MQA65563 MZW65561:MZW65563 NJS65561:NJS65563 NTO65561:NTO65563 ODK65561:ODK65563 ONG65561:ONG65563 OXC65561:OXC65563 PGY65561:PGY65563 PQU65561:PQU65563 QAQ65561:QAQ65563 QKM65561:QKM65563 QUI65561:QUI65563 REE65561:REE65563 ROA65561:ROA65563 RXW65561:RXW65563 SHS65561:SHS65563 SRO65561:SRO65563 TBK65561:TBK65563 TLG65561:TLG65563 TVC65561:TVC65563 UEY65561:UEY65563 UOU65561:UOU65563 UYQ65561:UYQ65563 VIM65561:VIM65563 VSI65561:VSI65563 WCE65561:WCE65563 WMA65561:WMA65563 WVW65561:WVW65563 D65562:E65563 IZ65562:JA65563 SV65562:SW65563 ACR65562:ACS65563 AMN65562:AMO65563 AWJ65562:AWK65563 BGF65562:BGG65563 BQB65562:BQC65563 BZX65562:BZY65563 CJT65562:CJU65563 CTP65562:CTQ65563 DDL65562:DDM65563 DNH65562:DNI65563 DXD65562:DXE65563 EGZ65562:EHA65563 EQV65562:EQW65563 FAR65562:FAS65563 FKN65562:FKO65563 FUJ65562:FUK65563 GEF65562:GEG65563 GOB65562:GOC65563 GXX65562:GXY65563 HHT65562:HHU65563 HRP65562:HRQ65563 IBL65562:IBM65563 ILH65562:ILI65563 IVD65562:IVE65563 JEZ65562:JFA65563 JOV65562:JOW65563 JYR65562:JYS65563 KIN65562:KIO65563 KSJ65562:KSK65563 LCF65562:LCG65563 LMB65562:LMC65563 LVX65562:LVY65563 MFT65562:MFU65563 MPP65562:MPQ65563 MZL65562:MZM65563 NJH65562:NJI65563 NTD65562:NTE65563 OCZ65562:ODA65563 OMV65562:OMW65563 OWR65562:OWS65563 PGN65562:PGO65563 PQJ65562:PQK65563 QAF65562:QAG65563 QKB65562:QKC65563 QTX65562:QTY65563 RDT65562:RDU65563 RNP65562:RNQ65563 RXL65562:RXM65563 SHH65562:SHI65563 SRD65562:SRE65563 TAZ65562:TBA65563 TKV65562:TKW65563 TUR65562:TUS65563 UEN65562:UEO65563 UOJ65562:UOK65563 UYF65562:UYG65563 VIB65562:VIC65563 VRX65562:VRY65563 WBT65562:WBU65563 WLP65562:WLQ65563 WVL65562:WVM65563 D65564 IZ65564 SV65564 ACR65564 AMN65564 AWJ65564 BGF65564 BQB65564 BZX65564 CJT65564 CTP65564 DDL65564 DNH65564 DXD65564 EGZ65564 EQV65564 FAR65564 FKN65564 FUJ65564 GEF65564 GOB65564 GXX65564 HHT65564 HRP65564 IBL65564 ILH65564 IVD65564 JEZ65564 JOV65564 JYR65564 KIN65564 KSJ65564 LCF65564 LMB65564 LVX65564 MFT65564 MPP65564 MZL65564 NJH65564 NTD65564 OCZ65564 OMV65564 OWR65564 PGN65564 PQJ65564 QAF65564 QKB65564 QTX65564 RDT65564 RNP65564 RXL65564 SHH65564 SRD65564 TAZ65564 TKV65564 TUR65564 UEN65564 UOJ65564 UYF65564 VIB65564 VRX65564 WBT65564 WLP65564 WVL65564 J65568 JF65568 TB65568 ACX65568 AMT65568 AWP65568 BGL65568 BQH65568 CAD65568 CJZ65568 CTV65568 DDR65568 DNN65568 DXJ65568 EHF65568 ERB65568 FAX65568 FKT65568 FUP65568 GEL65568 GOH65568 GYD65568 HHZ65568 HRV65568 IBR65568 ILN65568 IVJ65568 JFF65568 JPB65568 JYX65568 KIT65568 KSP65568 LCL65568 LMH65568 LWD65568 MFZ65568 MPV65568 MZR65568 NJN65568 NTJ65568 ODF65568 ONB65568 OWX65568 PGT65568 PQP65568 QAL65568 QKH65568 QUD65568 RDZ65568 RNV65568 RXR65568 SHN65568 SRJ65568 TBF65568 TLB65568 TUX65568 UET65568 UOP65568 UYL65568 VIH65568 VSD65568 WBZ65568 WLV65568 WVR65568 L131082:L131090 JH131082:JH131090 TD131082:TD131090 ACZ131082:ACZ131090 AMV131082:AMV131090 AWR131082:AWR131090 BGN131082:BGN131090 BQJ131082:BQJ131090 CAF131082:CAF131090 CKB131082:CKB131090 CTX131082:CTX131090 DDT131082:DDT131090 DNP131082:DNP131090 DXL131082:DXL131090 EHH131082:EHH131090 ERD131082:ERD131090 FAZ131082:FAZ131090 FKV131082:FKV131090 FUR131082:FUR131090 GEN131082:GEN131090 GOJ131082:GOJ131090 GYF131082:GYF131090 HIB131082:HIB131090 HRX131082:HRX131090 IBT131082:IBT131090 ILP131082:ILP131090 IVL131082:IVL131090 JFH131082:JFH131090 JPD131082:JPD131090 JYZ131082:JYZ131090 KIV131082:KIV131090 KSR131082:KSR131090 LCN131082:LCN131090 LMJ131082:LMJ131090 LWF131082:LWF131090 MGB131082:MGB131090 MPX131082:MPX131090 MZT131082:MZT131090 NJP131082:NJP131090 NTL131082:NTL131090 ODH131082:ODH131090 OND131082:OND131090 OWZ131082:OWZ131090 PGV131082:PGV131090 PQR131082:PQR131090 QAN131082:QAN131090 QKJ131082:QKJ131090 QUF131082:QUF131090 REB131082:REB131090 RNX131082:RNX131090 RXT131082:RXT131090 SHP131082:SHP131090 SRL131082:SRL131090 TBH131082:TBH131090 TLD131082:TLD131090 TUZ131082:TUZ131090 UEV131082:UEV131090 UOR131082:UOR131090 UYN131082:UYN131090 VIJ131082:VIJ131090 VSF131082:VSF131090 WCB131082:WCB131090 WLX131082:WLX131090 WVT131082:WVT131090 J131094 JF131094 TB131094 ACX131094 AMT131094 AWP131094 BGL131094 BQH131094 CAD131094 CJZ131094 CTV131094 DDR131094 DNN131094 DXJ131094 EHF131094 ERB131094 FAX131094 FKT131094 FUP131094 GEL131094 GOH131094 GYD131094 HHZ131094 HRV131094 IBR131094 ILN131094 IVJ131094 JFF131094 JPB131094 JYX131094 KIT131094 KSP131094 LCL131094 LMH131094 LWD131094 MFZ131094 MPV131094 MZR131094 NJN131094 NTJ131094 ODF131094 ONB131094 OWX131094 PGT131094 PQP131094 QAL131094 QKH131094 QUD131094 RDZ131094 RNV131094 RXR131094 SHN131094 SRJ131094 TBF131094 TLB131094 TUX131094 UET131094 UOP131094 UYL131094 VIH131094 VSD131094 WBZ131094 WLV131094 WVR131094 J131096:J131098 JF131096:JF131098 TB131096:TB131098 ACX131096:ACX131098 AMT131096:AMT131098 AWP131096:AWP131098 BGL131096:BGL131098 BQH131096:BQH131098 CAD131096:CAD131098 CJZ131096:CJZ131098 CTV131096:CTV131098 DDR131096:DDR131098 DNN131096:DNN131098 DXJ131096:DXJ131098 EHF131096:EHF131098 ERB131096:ERB131098 FAX131096:FAX131098 FKT131096:FKT131098 FUP131096:FUP131098 GEL131096:GEL131098 GOH131096:GOH131098 GYD131096:GYD131098 HHZ131096:HHZ131098 HRV131096:HRV131098 IBR131096:IBR131098 ILN131096:ILN131098 IVJ131096:IVJ131098 JFF131096:JFF131098 JPB131096:JPB131098 JYX131096:JYX131098 KIT131096:KIT131098 KSP131096:KSP131098 LCL131096:LCL131098 LMH131096:LMH131098 LWD131096:LWD131098 MFZ131096:MFZ131098 MPV131096:MPV131098 MZR131096:MZR131098 NJN131096:NJN131098 NTJ131096:NTJ131098 ODF131096:ODF131098 ONB131096:ONB131098 OWX131096:OWX131098 PGT131096:PGT131098 PQP131096:PQP131098 QAL131096:QAL131098 QKH131096:QKH131098 QUD131096:QUD131098 RDZ131096:RDZ131098 RNV131096:RNV131098 RXR131096:RXR131098 SHN131096:SHN131098 SRJ131096:SRJ131098 TBF131096:TBF131098 TLB131096:TLB131098 TUX131096:TUX131098 UET131096:UET131098 UOP131096:UOP131098 UYL131096:UYL131098 VIH131096:VIH131098 VSD131096:VSD131098 WBZ131096:WBZ131098 WLV131096:WLV131098 WVR131096:WVR131098 O131097:O131099 JK131097:JK131099 TG131097:TG131099 ADC131097:ADC131099 AMY131097:AMY131099 AWU131097:AWU131099 BGQ131097:BGQ131099 BQM131097:BQM131099 CAI131097:CAI131099 CKE131097:CKE131099 CUA131097:CUA131099 DDW131097:DDW131099 DNS131097:DNS131099 DXO131097:DXO131099 EHK131097:EHK131099 ERG131097:ERG131099 FBC131097:FBC131099 FKY131097:FKY131099 FUU131097:FUU131099 GEQ131097:GEQ131099 GOM131097:GOM131099 GYI131097:GYI131099 HIE131097:HIE131099 HSA131097:HSA131099 IBW131097:IBW131099 ILS131097:ILS131099 IVO131097:IVO131099 JFK131097:JFK131099 JPG131097:JPG131099 JZC131097:JZC131099 KIY131097:KIY131099 KSU131097:KSU131099 LCQ131097:LCQ131099 LMM131097:LMM131099 LWI131097:LWI131099 MGE131097:MGE131099 MQA131097:MQA131099 MZW131097:MZW131099 NJS131097:NJS131099 NTO131097:NTO131099 ODK131097:ODK131099 ONG131097:ONG131099 OXC131097:OXC131099 PGY131097:PGY131099 PQU131097:PQU131099 QAQ131097:QAQ131099 QKM131097:QKM131099 QUI131097:QUI131099 REE131097:REE131099 ROA131097:ROA131099 RXW131097:RXW131099 SHS131097:SHS131099 SRO131097:SRO131099 TBK131097:TBK131099 TLG131097:TLG131099 TVC131097:TVC131099 UEY131097:UEY131099 UOU131097:UOU131099 UYQ131097:UYQ131099 VIM131097:VIM131099 VSI131097:VSI131099 WCE131097:WCE131099 WMA131097:WMA131099 WVW131097:WVW131099 D131098:E131099 IZ131098:JA131099 SV131098:SW131099 ACR131098:ACS131099 AMN131098:AMO131099 AWJ131098:AWK131099 BGF131098:BGG131099 BQB131098:BQC131099 BZX131098:BZY131099 CJT131098:CJU131099 CTP131098:CTQ131099 DDL131098:DDM131099 DNH131098:DNI131099 DXD131098:DXE131099 EGZ131098:EHA131099 EQV131098:EQW131099 FAR131098:FAS131099 FKN131098:FKO131099 FUJ131098:FUK131099 GEF131098:GEG131099 GOB131098:GOC131099 GXX131098:GXY131099 HHT131098:HHU131099 HRP131098:HRQ131099 IBL131098:IBM131099 ILH131098:ILI131099 IVD131098:IVE131099 JEZ131098:JFA131099 JOV131098:JOW131099 JYR131098:JYS131099 KIN131098:KIO131099 KSJ131098:KSK131099 LCF131098:LCG131099 LMB131098:LMC131099 LVX131098:LVY131099 MFT131098:MFU131099 MPP131098:MPQ131099 MZL131098:MZM131099 NJH131098:NJI131099 NTD131098:NTE131099 OCZ131098:ODA131099 OMV131098:OMW131099 OWR131098:OWS131099 PGN131098:PGO131099 PQJ131098:PQK131099 QAF131098:QAG131099 QKB131098:QKC131099 QTX131098:QTY131099 RDT131098:RDU131099 RNP131098:RNQ131099 RXL131098:RXM131099 SHH131098:SHI131099 SRD131098:SRE131099 TAZ131098:TBA131099 TKV131098:TKW131099 TUR131098:TUS131099 UEN131098:UEO131099 UOJ131098:UOK131099 UYF131098:UYG131099 VIB131098:VIC131099 VRX131098:VRY131099 WBT131098:WBU131099 WLP131098:WLQ131099 WVL131098:WVM131099 D131100 IZ131100 SV131100 ACR131100 AMN131100 AWJ131100 BGF131100 BQB131100 BZX131100 CJT131100 CTP131100 DDL131100 DNH131100 DXD131100 EGZ131100 EQV131100 FAR131100 FKN131100 FUJ131100 GEF131100 GOB131100 GXX131100 HHT131100 HRP131100 IBL131100 ILH131100 IVD131100 JEZ131100 JOV131100 JYR131100 KIN131100 KSJ131100 LCF131100 LMB131100 LVX131100 MFT131100 MPP131100 MZL131100 NJH131100 NTD131100 OCZ131100 OMV131100 OWR131100 PGN131100 PQJ131100 QAF131100 QKB131100 QTX131100 RDT131100 RNP131100 RXL131100 SHH131100 SRD131100 TAZ131100 TKV131100 TUR131100 UEN131100 UOJ131100 UYF131100 VIB131100 VRX131100 WBT131100 WLP131100 WVL131100 J131104 JF131104 TB131104 ACX131104 AMT131104 AWP131104 BGL131104 BQH131104 CAD131104 CJZ131104 CTV131104 DDR131104 DNN131104 DXJ131104 EHF131104 ERB131104 FAX131104 FKT131104 FUP131104 GEL131104 GOH131104 GYD131104 HHZ131104 HRV131104 IBR131104 ILN131104 IVJ131104 JFF131104 JPB131104 JYX131104 KIT131104 KSP131104 LCL131104 LMH131104 LWD131104 MFZ131104 MPV131104 MZR131104 NJN131104 NTJ131104 ODF131104 ONB131104 OWX131104 PGT131104 PQP131104 QAL131104 QKH131104 QUD131104 RDZ131104 RNV131104 RXR131104 SHN131104 SRJ131104 TBF131104 TLB131104 TUX131104 UET131104 UOP131104 UYL131104 VIH131104 VSD131104 WBZ131104 WLV131104 WVR131104 L196618:L196626 JH196618:JH196626 TD196618:TD196626 ACZ196618:ACZ196626 AMV196618:AMV196626 AWR196618:AWR196626 BGN196618:BGN196626 BQJ196618:BQJ196626 CAF196618:CAF196626 CKB196618:CKB196626 CTX196618:CTX196626 DDT196618:DDT196626 DNP196618:DNP196626 DXL196618:DXL196626 EHH196618:EHH196626 ERD196618:ERD196626 FAZ196618:FAZ196626 FKV196618:FKV196626 FUR196618:FUR196626 GEN196618:GEN196626 GOJ196618:GOJ196626 GYF196618:GYF196626 HIB196618:HIB196626 HRX196618:HRX196626 IBT196618:IBT196626 ILP196618:ILP196626 IVL196618:IVL196626 JFH196618:JFH196626 JPD196618:JPD196626 JYZ196618:JYZ196626 KIV196618:KIV196626 KSR196618:KSR196626 LCN196618:LCN196626 LMJ196618:LMJ196626 LWF196618:LWF196626 MGB196618:MGB196626 MPX196618:MPX196626 MZT196618:MZT196626 NJP196618:NJP196626 NTL196618:NTL196626 ODH196618:ODH196626 OND196618:OND196626 OWZ196618:OWZ196626 PGV196618:PGV196626 PQR196618:PQR196626 QAN196618:QAN196626 QKJ196618:QKJ196626 QUF196618:QUF196626 REB196618:REB196626 RNX196618:RNX196626 RXT196618:RXT196626 SHP196618:SHP196626 SRL196618:SRL196626 TBH196618:TBH196626 TLD196618:TLD196626 TUZ196618:TUZ196626 UEV196618:UEV196626 UOR196618:UOR196626 UYN196618:UYN196626 VIJ196618:VIJ196626 VSF196618:VSF196626 WCB196618:WCB196626 WLX196618:WLX196626 WVT196618:WVT196626 J196630 JF196630 TB196630 ACX196630 AMT196630 AWP196630 BGL196630 BQH196630 CAD196630 CJZ196630 CTV196630 DDR196630 DNN196630 DXJ196630 EHF196630 ERB196630 FAX196630 FKT196630 FUP196630 GEL196630 GOH196630 GYD196630 HHZ196630 HRV196630 IBR196630 ILN196630 IVJ196630 JFF196630 JPB196630 JYX196630 KIT196630 KSP196630 LCL196630 LMH196630 LWD196630 MFZ196630 MPV196630 MZR196630 NJN196630 NTJ196630 ODF196630 ONB196630 OWX196630 PGT196630 PQP196630 QAL196630 QKH196630 QUD196630 RDZ196630 RNV196630 RXR196630 SHN196630 SRJ196630 TBF196630 TLB196630 TUX196630 UET196630 UOP196630 UYL196630 VIH196630 VSD196630 WBZ196630 WLV196630 WVR196630 J196632:J196634 JF196632:JF196634 TB196632:TB196634 ACX196632:ACX196634 AMT196632:AMT196634 AWP196632:AWP196634 BGL196632:BGL196634 BQH196632:BQH196634 CAD196632:CAD196634 CJZ196632:CJZ196634 CTV196632:CTV196634 DDR196632:DDR196634 DNN196632:DNN196634 DXJ196632:DXJ196634 EHF196632:EHF196634 ERB196632:ERB196634 FAX196632:FAX196634 FKT196632:FKT196634 FUP196632:FUP196634 GEL196632:GEL196634 GOH196632:GOH196634 GYD196632:GYD196634 HHZ196632:HHZ196634 HRV196632:HRV196634 IBR196632:IBR196634 ILN196632:ILN196634 IVJ196632:IVJ196634 JFF196632:JFF196634 JPB196632:JPB196634 JYX196632:JYX196634 KIT196632:KIT196634 KSP196632:KSP196634 LCL196632:LCL196634 LMH196632:LMH196634 LWD196632:LWD196634 MFZ196632:MFZ196634 MPV196632:MPV196634 MZR196632:MZR196634 NJN196632:NJN196634 NTJ196632:NTJ196634 ODF196632:ODF196634 ONB196632:ONB196634 OWX196632:OWX196634 PGT196632:PGT196634 PQP196632:PQP196634 QAL196632:QAL196634 QKH196632:QKH196634 QUD196632:QUD196634 RDZ196632:RDZ196634 RNV196632:RNV196634 RXR196632:RXR196634 SHN196632:SHN196634 SRJ196632:SRJ196634 TBF196632:TBF196634 TLB196632:TLB196634 TUX196632:TUX196634 UET196632:UET196634 UOP196632:UOP196634 UYL196632:UYL196634 VIH196632:VIH196634 VSD196632:VSD196634 WBZ196632:WBZ196634 WLV196632:WLV196634 WVR196632:WVR196634 O196633:O196635 JK196633:JK196635 TG196633:TG196635 ADC196633:ADC196635 AMY196633:AMY196635 AWU196633:AWU196635 BGQ196633:BGQ196635 BQM196633:BQM196635 CAI196633:CAI196635 CKE196633:CKE196635 CUA196633:CUA196635 DDW196633:DDW196635 DNS196633:DNS196635 DXO196633:DXO196635 EHK196633:EHK196635 ERG196633:ERG196635 FBC196633:FBC196635 FKY196633:FKY196635 FUU196633:FUU196635 GEQ196633:GEQ196635 GOM196633:GOM196635 GYI196633:GYI196635 HIE196633:HIE196635 HSA196633:HSA196635 IBW196633:IBW196635 ILS196633:ILS196635 IVO196633:IVO196635 JFK196633:JFK196635 JPG196633:JPG196635 JZC196633:JZC196635 KIY196633:KIY196635 KSU196633:KSU196635 LCQ196633:LCQ196635 LMM196633:LMM196635 LWI196633:LWI196635 MGE196633:MGE196635 MQA196633:MQA196635 MZW196633:MZW196635 NJS196633:NJS196635 NTO196633:NTO196635 ODK196633:ODK196635 ONG196633:ONG196635 OXC196633:OXC196635 PGY196633:PGY196635 PQU196633:PQU196635 QAQ196633:QAQ196635 QKM196633:QKM196635 QUI196633:QUI196635 REE196633:REE196635 ROA196633:ROA196635 RXW196633:RXW196635 SHS196633:SHS196635 SRO196633:SRO196635 TBK196633:TBK196635 TLG196633:TLG196635 TVC196633:TVC196635 UEY196633:UEY196635 UOU196633:UOU196635 UYQ196633:UYQ196635 VIM196633:VIM196635 VSI196633:VSI196635 WCE196633:WCE196635 WMA196633:WMA196635 WVW196633:WVW196635 D196634:E196635 IZ196634:JA196635 SV196634:SW196635 ACR196634:ACS196635 AMN196634:AMO196635 AWJ196634:AWK196635 BGF196634:BGG196635 BQB196634:BQC196635 BZX196634:BZY196635 CJT196634:CJU196635 CTP196634:CTQ196635 DDL196634:DDM196635 DNH196634:DNI196635 DXD196634:DXE196635 EGZ196634:EHA196635 EQV196634:EQW196635 FAR196634:FAS196635 FKN196634:FKO196635 FUJ196634:FUK196635 GEF196634:GEG196635 GOB196634:GOC196635 GXX196634:GXY196635 HHT196634:HHU196635 HRP196634:HRQ196635 IBL196634:IBM196635 ILH196634:ILI196635 IVD196634:IVE196635 JEZ196634:JFA196635 JOV196634:JOW196635 JYR196634:JYS196635 KIN196634:KIO196635 KSJ196634:KSK196635 LCF196634:LCG196635 LMB196634:LMC196635 LVX196634:LVY196635 MFT196634:MFU196635 MPP196634:MPQ196635 MZL196634:MZM196635 NJH196634:NJI196635 NTD196634:NTE196635 OCZ196634:ODA196635 OMV196634:OMW196635 OWR196634:OWS196635 PGN196634:PGO196635 PQJ196634:PQK196635 QAF196634:QAG196635 QKB196634:QKC196635 QTX196634:QTY196635 RDT196634:RDU196635 RNP196634:RNQ196635 RXL196634:RXM196635 SHH196634:SHI196635 SRD196634:SRE196635 TAZ196634:TBA196635 TKV196634:TKW196635 TUR196634:TUS196635 UEN196634:UEO196635 UOJ196634:UOK196635 UYF196634:UYG196635 VIB196634:VIC196635 VRX196634:VRY196635 WBT196634:WBU196635 WLP196634:WLQ196635 WVL196634:WVM196635 D196636 IZ196636 SV196636 ACR196636 AMN196636 AWJ196636 BGF196636 BQB196636 BZX196636 CJT196636 CTP196636 DDL196636 DNH196636 DXD196636 EGZ196636 EQV196636 FAR196636 FKN196636 FUJ196636 GEF196636 GOB196636 GXX196636 HHT196636 HRP196636 IBL196636 ILH196636 IVD196636 JEZ196636 JOV196636 JYR196636 KIN196636 KSJ196636 LCF196636 LMB196636 LVX196636 MFT196636 MPP196636 MZL196636 NJH196636 NTD196636 OCZ196636 OMV196636 OWR196636 PGN196636 PQJ196636 QAF196636 QKB196636 QTX196636 RDT196636 RNP196636 RXL196636 SHH196636 SRD196636 TAZ196636 TKV196636 TUR196636 UEN196636 UOJ196636 UYF196636 VIB196636 VRX196636 WBT196636 WLP196636 WVL196636 J196640 JF196640 TB196640 ACX196640 AMT196640 AWP196640 BGL196640 BQH196640 CAD196640 CJZ196640 CTV196640 DDR196640 DNN196640 DXJ196640 EHF196640 ERB196640 FAX196640 FKT196640 FUP196640 GEL196640 GOH196640 GYD196640 HHZ196640 HRV196640 IBR196640 ILN196640 IVJ196640 JFF196640 JPB196640 JYX196640 KIT196640 KSP196640 LCL196640 LMH196640 LWD196640 MFZ196640 MPV196640 MZR196640 NJN196640 NTJ196640 ODF196640 ONB196640 OWX196640 PGT196640 PQP196640 QAL196640 QKH196640 QUD196640 RDZ196640 RNV196640 RXR196640 SHN196640 SRJ196640 TBF196640 TLB196640 TUX196640 UET196640 UOP196640 UYL196640 VIH196640 VSD196640 WBZ196640 WLV196640 WVR196640 L262154:L262162 JH262154:JH262162 TD262154:TD262162 ACZ262154:ACZ262162 AMV262154:AMV262162 AWR262154:AWR262162 BGN262154:BGN262162 BQJ262154:BQJ262162 CAF262154:CAF262162 CKB262154:CKB262162 CTX262154:CTX262162 DDT262154:DDT262162 DNP262154:DNP262162 DXL262154:DXL262162 EHH262154:EHH262162 ERD262154:ERD262162 FAZ262154:FAZ262162 FKV262154:FKV262162 FUR262154:FUR262162 GEN262154:GEN262162 GOJ262154:GOJ262162 GYF262154:GYF262162 HIB262154:HIB262162 HRX262154:HRX262162 IBT262154:IBT262162 ILP262154:ILP262162 IVL262154:IVL262162 JFH262154:JFH262162 JPD262154:JPD262162 JYZ262154:JYZ262162 KIV262154:KIV262162 KSR262154:KSR262162 LCN262154:LCN262162 LMJ262154:LMJ262162 LWF262154:LWF262162 MGB262154:MGB262162 MPX262154:MPX262162 MZT262154:MZT262162 NJP262154:NJP262162 NTL262154:NTL262162 ODH262154:ODH262162 OND262154:OND262162 OWZ262154:OWZ262162 PGV262154:PGV262162 PQR262154:PQR262162 QAN262154:QAN262162 QKJ262154:QKJ262162 QUF262154:QUF262162 REB262154:REB262162 RNX262154:RNX262162 RXT262154:RXT262162 SHP262154:SHP262162 SRL262154:SRL262162 TBH262154:TBH262162 TLD262154:TLD262162 TUZ262154:TUZ262162 UEV262154:UEV262162 UOR262154:UOR262162 UYN262154:UYN262162 VIJ262154:VIJ262162 VSF262154:VSF262162 WCB262154:WCB262162 WLX262154:WLX262162 WVT262154:WVT262162 J262166 JF262166 TB262166 ACX262166 AMT262166 AWP262166 BGL262166 BQH262166 CAD262166 CJZ262166 CTV262166 DDR262166 DNN262166 DXJ262166 EHF262166 ERB262166 FAX262166 FKT262166 FUP262166 GEL262166 GOH262166 GYD262166 HHZ262166 HRV262166 IBR262166 ILN262166 IVJ262166 JFF262166 JPB262166 JYX262166 KIT262166 KSP262166 LCL262166 LMH262166 LWD262166 MFZ262166 MPV262166 MZR262166 NJN262166 NTJ262166 ODF262166 ONB262166 OWX262166 PGT262166 PQP262166 QAL262166 QKH262166 QUD262166 RDZ262166 RNV262166 RXR262166 SHN262166 SRJ262166 TBF262166 TLB262166 TUX262166 UET262166 UOP262166 UYL262166 VIH262166 VSD262166 WBZ262166 WLV262166 WVR262166 J262168:J262170 JF262168:JF262170 TB262168:TB262170 ACX262168:ACX262170 AMT262168:AMT262170 AWP262168:AWP262170 BGL262168:BGL262170 BQH262168:BQH262170 CAD262168:CAD262170 CJZ262168:CJZ262170 CTV262168:CTV262170 DDR262168:DDR262170 DNN262168:DNN262170 DXJ262168:DXJ262170 EHF262168:EHF262170 ERB262168:ERB262170 FAX262168:FAX262170 FKT262168:FKT262170 FUP262168:FUP262170 GEL262168:GEL262170 GOH262168:GOH262170 GYD262168:GYD262170 HHZ262168:HHZ262170 HRV262168:HRV262170 IBR262168:IBR262170 ILN262168:ILN262170 IVJ262168:IVJ262170 JFF262168:JFF262170 JPB262168:JPB262170 JYX262168:JYX262170 KIT262168:KIT262170 KSP262168:KSP262170 LCL262168:LCL262170 LMH262168:LMH262170 LWD262168:LWD262170 MFZ262168:MFZ262170 MPV262168:MPV262170 MZR262168:MZR262170 NJN262168:NJN262170 NTJ262168:NTJ262170 ODF262168:ODF262170 ONB262168:ONB262170 OWX262168:OWX262170 PGT262168:PGT262170 PQP262168:PQP262170 QAL262168:QAL262170 QKH262168:QKH262170 QUD262168:QUD262170 RDZ262168:RDZ262170 RNV262168:RNV262170 RXR262168:RXR262170 SHN262168:SHN262170 SRJ262168:SRJ262170 TBF262168:TBF262170 TLB262168:TLB262170 TUX262168:TUX262170 UET262168:UET262170 UOP262168:UOP262170 UYL262168:UYL262170 VIH262168:VIH262170 VSD262168:VSD262170 WBZ262168:WBZ262170 WLV262168:WLV262170 WVR262168:WVR262170 O262169:O262171 JK262169:JK262171 TG262169:TG262171 ADC262169:ADC262171 AMY262169:AMY262171 AWU262169:AWU262171 BGQ262169:BGQ262171 BQM262169:BQM262171 CAI262169:CAI262171 CKE262169:CKE262171 CUA262169:CUA262171 DDW262169:DDW262171 DNS262169:DNS262171 DXO262169:DXO262171 EHK262169:EHK262171 ERG262169:ERG262171 FBC262169:FBC262171 FKY262169:FKY262171 FUU262169:FUU262171 GEQ262169:GEQ262171 GOM262169:GOM262171 GYI262169:GYI262171 HIE262169:HIE262171 HSA262169:HSA262171 IBW262169:IBW262171 ILS262169:ILS262171 IVO262169:IVO262171 JFK262169:JFK262171 JPG262169:JPG262171 JZC262169:JZC262171 KIY262169:KIY262171 KSU262169:KSU262171 LCQ262169:LCQ262171 LMM262169:LMM262171 LWI262169:LWI262171 MGE262169:MGE262171 MQA262169:MQA262171 MZW262169:MZW262171 NJS262169:NJS262171 NTO262169:NTO262171 ODK262169:ODK262171 ONG262169:ONG262171 OXC262169:OXC262171 PGY262169:PGY262171 PQU262169:PQU262171 QAQ262169:QAQ262171 QKM262169:QKM262171 QUI262169:QUI262171 REE262169:REE262171 ROA262169:ROA262171 RXW262169:RXW262171 SHS262169:SHS262171 SRO262169:SRO262171 TBK262169:TBK262171 TLG262169:TLG262171 TVC262169:TVC262171 UEY262169:UEY262171 UOU262169:UOU262171 UYQ262169:UYQ262171 VIM262169:VIM262171 VSI262169:VSI262171 WCE262169:WCE262171 WMA262169:WMA262171 WVW262169:WVW262171 D262170:E262171 IZ262170:JA262171 SV262170:SW262171 ACR262170:ACS262171 AMN262170:AMO262171 AWJ262170:AWK262171 BGF262170:BGG262171 BQB262170:BQC262171 BZX262170:BZY262171 CJT262170:CJU262171 CTP262170:CTQ262171 DDL262170:DDM262171 DNH262170:DNI262171 DXD262170:DXE262171 EGZ262170:EHA262171 EQV262170:EQW262171 FAR262170:FAS262171 FKN262170:FKO262171 FUJ262170:FUK262171 GEF262170:GEG262171 GOB262170:GOC262171 GXX262170:GXY262171 HHT262170:HHU262171 HRP262170:HRQ262171 IBL262170:IBM262171 ILH262170:ILI262171 IVD262170:IVE262171 JEZ262170:JFA262171 JOV262170:JOW262171 JYR262170:JYS262171 KIN262170:KIO262171 KSJ262170:KSK262171 LCF262170:LCG262171 LMB262170:LMC262171 LVX262170:LVY262171 MFT262170:MFU262171 MPP262170:MPQ262171 MZL262170:MZM262171 NJH262170:NJI262171 NTD262170:NTE262171 OCZ262170:ODA262171 OMV262170:OMW262171 OWR262170:OWS262171 PGN262170:PGO262171 PQJ262170:PQK262171 QAF262170:QAG262171 QKB262170:QKC262171 QTX262170:QTY262171 RDT262170:RDU262171 RNP262170:RNQ262171 RXL262170:RXM262171 SHH262170:SHI262171 SRD262170:SRE262171 TAZ262170:TBA262171 TKV262170:TKW262171 TUR262170:TUS262171 UEN262170:UEO262171 UOJ262170:UOK262171 UYF262170:UYG262171 VIB262170:VIC262171 VRX262170:VRY262171 WBT262170:WBU262171 WLP262170:WLQ262171 WVL262170:WVM262171 D262172 IZ262172 SV262172 ACR262172 AMN262172 AWJ262172 BGF262172 BQB262172 BZX262172 CJT262172 CTP262172 DDL262172 DNH262172 DXD262172 EGZ262172 EQV262172 FAR262172 FKN262172 FUJ262172 GEF262172 GOB262172 GXX262172 HHT262172 HRP262172 IBL262172 ILH262172 IVD262172 JEZ262172 JOV262172 JYR262172 KIN262172 KSJ262172 LCF262172 LMB262172 LVX262172 MFT262172 MPP262172 MZL262172 NJH262172 NTD262172 OCZ262172 OMV262172 OWR262172 PGN262172 PQJ262172 QAF262172 QKB262172 QTX262172 RDT262172 RNP262172 RXL262172 SHH262172 SRD262172 TAZ262172 TKV262172 TUR262172 UEN262172 UOJ262172 UYF262172 VIB262172 VRX262172 WBT262172 WLP262172 WVL262172 J262176 JF262176 TB262176 ACX262176 AMT262176 AWP262176 BGL262176 BQH262176 CAD262176 CJZ262176 CTV262176 DDR262176 DNN262176 DXJ262176 EHF262176 ERB262176 FAX262176 FKT262176 FUP262176 GEL262176 GOH262176 GYD262176 HHZ262176 HRV262176 IBR262176 ILN262176 IVJ262176 JFF262176 JPB262176 JYX262176 KIT262176 KSP262176 LCL262176 LMH262176 LWD262176 MFZ262176 MPV262176 MZR262176 NJN262176 NTJ262176 ODF262176 ONB262176 OWX262176 PGT262176 PQP262176 QAL262176 QKH262176 QUD262176 RDZ262176 RNV262176 RXR262176 SHN262176 SRJ262176 TBF262176 TLB262176 TUX262176 UET262176 UOP262176 UYL262176 VIH262176 VSD262176 WBZ262176 WLV262176 WVR262176 L327690:L327698 JH327690:JH327698 TD327690:TD327698 ACZ327690:ACZ327698 AMV327690:AMV327698 AWR327690:AWR327698 BGN327690:BGN327698 BQJ327690:BQJ327698 CAF327690:CAF327698 CKB327690:CKB327698 CTX327690:CTX327698 DDT327690:DDT327698 DNP327690:DNP327698 DXL327690:DXL327698 EHH327690:EHH327698 ERD327690:ERD327698 FAZ327690:FAZ327698 FKV327690:FKV327698 FUR327690:FUR327698 GEN327690:GEN327698 GOJ327690:GOJ327698 GYF327690:GYF327698 HIB327690:HIB327698 HRX327690:HRX327698 IBT327690:IBT327698 ILP327690:ILP327698 IVL327690:IVL327698 JFH327690:JFH327698 JPD327690:JPD327698 JYZ327690:JYZ327698 KIV327690:KIV327698 KSR327690:KSR327698 LCN327690:LCN327698 LMJ327690:LMJ327698 LWF327690:LWF327698 MGB327690:MGB327698 MPX327690:MPX327698 MZT327690:MZT327698 NJP327690:NJP327698 NTL327690:NTL327698 ODH327690:ODH327698 OND327690:OND327698 OWZ327690:OWZ327698 PGV327690:PGV327698 PQR327690:PQR327698 QAN327690:QAN327698 QKJ327690:QKJ327698 QUF327690:QUF327698 REB327690:REB327698 RNX327690:RNX327698 RXT327690:RXT327698 SHP327690:SHP327698 SRL327690:SRL327698 TBH327690:TBH327698 TLD327690:TLD327698 TUZ327690:TUZ327698 UEV327690:UEV327698 UOR327690:UOR327698 UYN327690:UYN327698 VIJ327690:VIJ327698 VSF327690:VSF327698 WCB327690:WCB327698 WLX327690:WLX327698 WVT327690:WVT327698 J327702 JF327702 TB327702 ACX327702 AMT327702 AWP327702 BGL327702 BQH327702 CAD327702 CJZ327702 CTV327702 DDR327702 DNN327702 DXJ327702 EHF327702 ERB327702 FAX327702 FKT327702 FUP327702 GEL327702 GOH327702 GYD327702 HHZ327702 HRV327702 IBR327702 ILN327702 IVJ327702 JFF327702 JPB327702 JYX327702 KIT327702 KSP327702 LCL327702 LMH327702 LWD327702 MFZ327702 MPV327702 MZR327702 NJN327702 NTJ327702 ODF327702 ONB327702 OWX327702 PGT327702 PQP327702 QAL327702 QKH327702 QUD327702 RDZ327702 RNV327702 RXR327702 SHN327702 SRJ327702 TBF327702 TLB327702 TUX327702 UET327702 UOP327702 UYL327702 VIH327702 VSD327702 WBZ327702 WLV327702 WVR327702 J327704:J327706 JF327704:JF327706 TB327704:TB327706 ACX327704:ACX327706 AMT327704:AMT327706 AWP327704:AWP327706 BGL327704:BGL327706 BQH327704:BQH327706 CAD327704:CAD327706 CJZ327704:CJZ327706 CTV327704:CTV327706 DDR327704:DDR327706 DNN327704:DNN327706 DXJ327704:DXJ327706 EHF327704:EHF327706 ERB327704:ERB327706 FAX327704:FAX327706 FKT327704:FKT327706 FUP327704:FUP327706 GEL327704:GEL327706 GOH327704:GOH327706 GYD327704:GYD327706 HHZ327704:HHZ327706 HRV327704:HRV327706 IBR327704:IBR327706 ILN327704:ILN327706 IVJ327704:IVJ327706 JFF327704:JFF327706 JPB327704:JPB327706 JYX327704:JYX327706 KIT327704:KIT327706 KSP327704:KSP327706 LCL327704:LCL327706 LMH327704:LMH327706 LWD327704:LWD327706 MFZ327704:MFZ327706 MPV327704:MPV327706 MZR327704:MZR327706 NJN327704:NJN327706 NTJ327704:NTJ327706 ODF327704:ODF327706 ONB327704:ONB327706 OWX327704:OWX327706 PGT327704:PGT327706 PQP327704:PQP327706 QAL327704:QAL327706 QKH327704:QKH327706 QUD327704:QUD327706 RDZ327704:RDZ327706 RNV327704:RNV327706 RXR327704:RXR327706 SHN327704:SHN327706 SRJ327704:SRJ327706 TBF327704:TBF327706 TLB327704:TLB327706 TUX327704:TUX327706 UET327704:UET327706 UOP327704:UOP327706 UYL327704:UYL327706 VIH327704:VIH327706 VSD327704:VSD327706 WBZ327704:WBZ327706 WLV327704:WLV327706 WVR327704:WVR327706 O327705:O327707 JK327705:JK327707 TG327705:TG327707 ADC327705:ADC327707 AMY327705:AMY327707 AWU327705:AWU327707 BGQ327705:BGQ327707 BQM327705:BQM327707 CAI327705:CAI327707 CKE327705:CKE327707 CUA327705:CUA327707 DDW327705:DDW327707 DNS327705:DNS327707 DXO327705:DXO327707 EHK327705:EHK327707 ERG327705:ERG327707 FBC327705:FBC327707 FKY327705:FKY327707 FUU327705:FUU327707 GEQ327705:GEQ327707 GOM327705:GOM327707 GYI327705:GYI327707 HIE327705:HIE327707 HSA327705:HSA327707 IBW327705:IBW327707 ILS327705:ILS327707 IVO327705:IVO327707 JFK327705:JFK327707 JPG327705:JPG327707 JZC327705:JZC327707 KIY327705:KIY327707 KSU327705:KSU327707 LCQ327705:LCQ327707 LMM327705:LMM327707 LWI327705:LWI327707 MGE327705:MGE327707 MQA327705:MQA327707 MZW327705:MZW327707 NJS327705:NJS327707 NTO327705:NTO327707 ODK327705:ODK327707 ONG327705:ONG327707 OXC327705:OXC327707 PGY327705:PGY327707 PQU327705:PQU327707 QAQ327705:QAQ327707 QKM327705:QKM327707 QUI327705:QUI327707 REE327705:REE327707 ROA327705:ROA327707 RXW327705:RXW327707 SHS327705:SHS327707 SRO327705:SRO327707 TBK327705:TBK327707 TLG327705:TLG327707 TVC327705:TVC327707 UEY327705:UEY327707 UOU327705:UOU327707 UYQ327705:UYQ327707 VIM327705:VIM327707 VSI327705:VSI327707 WCE327705:WCE327707 WMA327705:WMA327707 WVW327705:WVW327707 D327706:E327707 IZ327706:JA327707 SV327706:SW327707 ACR327706:ACS327707 AMN327706:AMO327707 AWJ327706:AWK327707 BGF327706:BGG327707 BQB327706:BQC327707 BZX327706:BZY327707 CJT327706:CJU327707 CTP327706:CTQ327707 DDL327706:DDM327707 DNH327706:DNI327707 DXD327706:DXE327707 EGZ327706:EHA327707 EQV327706:EQW327707 FAR327706:FAS327707 FKN327706:FKO327707 FUJ327706:FUK327707 GEF327706:GEG327707 GOB327706:GOC327707 GXX327706:GXY327707 HHT327706:HHU327707 HRP327706:HRQ327707 IBL327706:IBM327707 ILH327706:ILI327707 IVD327706:IVE327707 JEZ327706:JFA327707 JOV327706:JOW327707 JYR327706:JYS327707 KIN327706:KIO327707 KSJ327706:KSK327707 LCF327706:LCG327707 LMB327706:LMC327707 LVX327706:LVY327707 MFT327706:MFU327707 MPP327706:MPQ327707 MZL327706:MZM327707 NJH327706:NJI327707 NTD327706:NTE327707 OCZ327706:ODA327707 OMV327706:OMW327707 OWR327706:OWS327707 PGN327706:PGO327707 PQJ327706:PQK327707 QAF327706:QAG327707 QKB327706:QKC327707 QTX327706:QTY327707 RDT327706:RDU327707 RNP327706:RNQ327707 RXL327706:RXM327707 SHH327706:SHI327707 SRD327706:SRE327707 TAZ327706:TBA327707 TKV327706:TKW327707 TUR327706:TUS327707 UEN327706:UEO327707 UOJ327706:UOK327707 UYF327706:UYG327707 VIB327706:VIC327707 VRX327706:VRY327707 WBT327706:WBU327707 WLP327706:WLQ327707 WVL327706:WVM327707 D327708 IZ327708 SV327708 ACR327708 AMN327708 AWJ327708 BGF327708 BQB327708 BZX327708 CJT327708 CTP327708 DDL327708 DNH327708 DXD327708 EGZ327708 EQV327708 FAR327708 FKN327708 FUJ327708 GEF327708 GOB327708 GXX327708 HHT327708 HRP327708 IBL327708 ILH327708 IVD327708 JEZ327708 JOV327708 JYR327708 KIN327708 KSJ327708 LCF327708 LMB327708 LVX327708 MFT327708 MPP327708 MZL327708 NJH327708 NTD327708 OCZ327708 OMV327708 OWR327708 PGN327708 PQJ327708 QAF327708 QKB327708 QTX327708 RDT327708 RNP327708 RXL327708 SHH327708 SRD327708 TAZ327708 TKV327708 TUR327708 UEN327708 UOJ327708 UYF327708 VIB327708 VRX327708 WBT327708 WLP327708 WVL327708 J327712 JF327712 TB327712 ACX327712 AMT327712 AWP327712 BGL327712 BQH327712 CAD327712 CJZ327712 CTV327712 DDR327712 DNN327712 DXJ327712 EHF327712 ERB327712 FAX327712 FKT327712 FUP327712 GEL327712 GOH327712 GYD327712 HHZ327712 HRV327712 IBR327712 ILN327712 IVJ327712 JFF327712 JPB327712 JYX327712 KIT327712 KSP327712 LCL327712 LMH327712 LWD327712 MFZ327712 MPV327712 MZR327712 NJN327712 NTJ327712 ODF327712 ONB327712 OWX327712 PGT327712 PQP327712 QAL327712 QKH327712 QUD327712 RDZ327712 RNV327712 RXR327712 SHN327712 SRJ327712 TBF327712 TLB327712 TUX327712 UET327712 UOP327712 UYL327712 VIH327712 VSD327712 WBZ327712 WLV327712 WVR327712 L393226:L393234 JH393226:JH393234 TD393226:TD393234 ACZ393226:ACZ393234 AMV393226:AMV393234 AWR393226:AWR393234 BGN393226:BGN393234 BQJ393226:BQJ393234 CAF393226:CAF393234 CKB393226:CKB393234 CTX393226:CTX393234 DDT393226:DDT393234 DNP393226:DNP393234 DXL393226:DXL393234 EHH393226:EHH393234 ERD393226:ERD393234 FAZ393226:FAZ393234 FKV393226:FKV393234 FUR393226:FUR393234 GEN393226:GEN393234 GOJ393226:GOJ393234 GYF393226:GYF393234 HIB393226:HIB393234 HRX393226:HRX393234 IBT393226:IBT393234 ILP393226:ILP393234 IVL393226:IVL393234 JFH393226:JFH393234 JPD393226:JPD393234 JYZ393226:JYZ393234 KIV393226:KIV393234 KSR393226:KSR393234 LCN393226:LCN393234 LMJ393226:LMJ393234 LWF393226:LWF393234 MGB393226:MGB393234 MPX393226:MPX393234 MZT393226:MZT393234 NJP393226:NJP393234 NTL393226:NTL393234 ODH393226:ODH393234 OND393226:OND393234 OWZ393226:OWZ393234 PGV393226:PGV393234 PQR393226:PQR393234 QAN393226:QAN393234 QKJ393226:QKJ393234 QUF393226:QUF393234 REB393226:REB393234 RNX393226:RNX393234 RXT393226:RXT393234 SHP393226:SHP393234 SRL393226:SRL393234 TBH393226:TBH393234 TLD393226:TLD393234 TUZ393226:TUZ393234 UEV393226:UEV393234 UOR393226:UOR393234 UYN393226:UYN393234 VIJ393226:VIJ393234 VSF393226:VSF393234 WCB393226:WCB393234 WLX393226:WLX393234 WVT393226:WVT393234 J393238 JF393238 TB393238 ACX393238 AMT393238 AWP393238 BGL393238 BQH393238 CAD393238 CJZ393238 CTV393238 DDR393238 DNN393238 DXJ393238 EHF393238 ERB393238 FAX393238 FKT393238 FUP393238 GEL393238 GOH393238 GYD393238 HHZ393238 HRV393238 IBR393238 ILN393238 IVJ393238 JFF393238 JPB393238 JYX393238 KIT393238 KSP393238 LCL393238 LMH393238 LWD393238 MFZ393238 MPV393238 MZR393238 NJN393238 NTJ393238 ODF393238 ONB393238 OWX393238 PGT393238 PQP393238 QAL393238 QKH393238 QUD393238 RDZ393238 RNV393238 RXR393238 SHN393238 SRJ393238 TBF393238 TLB393238 TUX393238 UET393238 UOP393238 UYL393238 VIH393238 VSD393238 WBZ393238 WLV393238 WVR393238 J393240:J393242 JF393240:JF393242 TB393240:TB393242 ACX393240:ACX393242 AMT393240:AMT393242 AWP393240:AWP393242 BGL393240:BGL393242 BQH393240:BQH393242 CAD393240:CAD393242 CJZ393240:CJZ393242 CTV393240:CTV393242 DDR393240:DDR393242 DNN393240:DNN393242 DXJ393240:DXJ393242 EHF393240:EHF393242 ERB393240:ERB393242 FAX393240:FAX393242 FKT393240:FKT393242 FUP393240:FUP393242 GEL393240:GEL393242 GOH393240:GOH393242 GYD393240:GYD393242 HHZ393240:HHZ393242 HRV393240:HRV393242 IBR393240:IBR393242 ILN393240:ILN393242 IVJ393240:IVJ393242 JFF393240:JFF393242 JPB393240:JPB393242 JYX393240:JYX393242 KIT393240:KIT393242 KSP393240:KSP393242 LCL393240:LCL393242 LMH393240:LMH393242 LWD393240:LWD393242 MFZ393240:MFZ393242 MPV393240:MPV393242 MZR393240:MZR393242 NJN393240:NJN393242 NTJ393240:NTJ393242 ODF393240:ODF393242 ONB393240:ONB393242 OWX393240:OWX393242 PGT393240:PGT393242 PQP393240:PQP393242 QAL393240:QAL393242 QKH393240:QKH393242 QUD393240:QUD393242 RDZ393240:RDZ393242 RNV393240:RNV393242 RXR393240:RXR393242 SHN393240:SHN393242 SRJ393240:SRJ393242 TBF393240:TBF393242 TLB393240:TLB393242 TUX393240:TUX393242 UET393240:UET393242 UOP393240:UOP393242 UYL393240:UYL393242 VIH393240:VIH393242 VSD393240:VSD393242 WBZ393240:WBZ393242 WLV393240:WLV393242 WVR393240:WVR393242 O393241:O393243 JK393241:JK393243 TG393241:TG393243 ADC393241:ADC393243 AMY393241:AMY393243 AWU393241:AWU393243 BGQ393241:BGQ393243 BQM393241:BQM393243 CAI393241:CAI393243 CKE393241:CKE393243 CUA393241:CUA393243 DDW393241:DDW393243 DNS393241:DNS393243 DXO393241:DXO393243 EHK393241:EHK393243 ERG393241:ERG393243 FBC393241:FBC393243 FKY393241:FKY393243 FUU393241:FUU393243 GEQ393241:GEQ393243 GOM393241:GOM393243 GYI393241:GYI393243 HIE393241:HIE393243 HSA393241:HSA393243 IBW393241:IBW393243 ILS393241:ILS393243 IVO393241:IVO393243 JFK393241:JFK393243 JPG393241:JPG393243 JZC393241:JZC393243 KIY393241:KIY393243 KSU393241:KSU393243 LCQ393241:LCQ393243 LMM393241:LMM393243 LWI393241:LWI393243 MGE393241:MGE393243 MQA393241:MQA393243 MZW393241:MZW393243 NJS393241:NJS393243 NTO393241:NTO393243 ODK393241:ODK393243 ONG393241:ONG393243 OXC393241:OXC393243 PGY393241:PGY393243 PQU393241:PQU393243 QAQ393241:QAQ393243 QKM393241:QKM393243 QUI393241:QUI393243 REE393241:REE393243 ROA393241:ROA393243 RXW393241:RXW393243 SHS393241:SHS393243 SRO393241:SRO393243 TBK393241:TBK393243 TLG393241:TLG393243 TVC393241:TVC393243 UEY393241:UEY393243 UOU393241:UOU393243 UYQ393241:UYQ393243 VIM393241:VIM393243 VSI393241:VSI393243 WCE393241:WCE393243 WMA393241:WMA393243 WVW393241:WVW393243 D393242:E393243 IZ393242:JA393243 SV393242:SW393243 ACR393242:ACS393243 AMN393242:AMO393243 AWJ393242:AWK393243 BGF393242:BGG393243 BQB393242:BQC393243 BZX393242:BZY393243 CJT393242:CJU393243 CTP393242:CTQ393243 DDL393242:DDM393243 DNH393242:DNI393243 DXD393242:DXE393243 EGZ393242:EHA393243 EQV393242:EQW393243 FAR393242:FAS393243 FKN393242:FKO393243 FUJ393242:FUK393243 GEF393242:GEG393243 GOB393242:GOC393243 GXX393242:GXY393243 HHT393242:HHU393243 HRP393242:HRQ393243 IBL393242:IBM393243 ILH393242:ILI393243 IVD393242:IVE393243 JEZ393242:JFA393243 JOV393242:JOW393243 JYR393242:JYS393243 KIN393242:KIO393243 KSJ393242:KSK393243 LCF393242:LCG393243 LMB393242:LMC393243 LVX393242:LVY393243 MFT393242:MFU393243 MPP393242:MPQ393243 MZL393242:MZM393243 NJH393242:NJI393243 NTD393242:NTE393243 OCZ393242:ODA393243 OMV393242:OMW393243 OWR393242:OWS393243 PGN393242:PGO393243 PQJ393242:PQK393243 QAF393242:QAG393243 QKB393242:QKC393243 QTX393242:QTY393243 RDT393242:RDU393243 RNP393242:RNQ393243 RXL393242:RXM393243 SHH393242:SHI393243 SRD393242:SRE393243 TAZ393242:TBA393243 TKV393242:TKW393243 TUR393242:TUS393243 UEN393242:UEO393243 UOJ393242:UOK393243 UYF393242:UYG393243 VIB393242:VIC393243 VRX393242:VRY393243 WBT393242:WBU393243 WLP393242:WLQ393243 WVL393242:WVM393243 D393244 IZ393244 SV393244 ACR393244 AMN393244 AWJ393244 BGF393244 BQB393244 BZX393244 CJT393244 CTP393244 DDL393244 DNH393244 DXD393244 EGZ393244 EQV393244 FAR393244 FKN393244 FUJ393244 GEF393244 GOB393244 GXX393244 HHT393244 HRP393244 IBL393244 ILH393244 IVD393244 JEZ393244 JOV393244 JYR393244 KIN393244 KSJ393244 LCF393244 LMB393244 LVX393244 MFT393244 MPP393244 MZL393244 NJH393244 NTD393244 OCZ393244 OMV393244 OWR393244 PGN393244 PQJ393244 QAF393244 QKB393244 QTX393244 RDT393244 RNP393244 RXL393244 SHH393244 SRD393244 TAZ393244 TKV393244 TUR393244 UEN393244 UOJ393244 UYF393244 VIB393244 VRX393244 WBT393244 WLP393244 WVL393244 J393248 JF393248 TB393248 ACX393248 AMT393248 AWP393248 BGL393248 BQH393248 CAD393248 CJZ393248 CTV393248 DDR393248 DNN393248 DXJ393248 EHF393248 ERB393248 FAX393248 FKT393248 FUP393248 GEL393248 GOH393248 GYD393248 HHZ393248 HRV393248 IBR393248 ILN393248 IVJ393248 JFF393248 JPB393248 JYX393248 KIT393248 KSP393248 LCL393248 LMH393248 LWD393248 MFZ393248 MPV393248 MZR393248 NJN393248 NTJ393248 ODF393248 ONB393248 OWX393248 PGT393248 PQP393248 QAL393248 QKH393248 QUD393248 RDZ393248 RNV393248 RXR393248 SHN393248 SRJ393248 TBF393248 TLB393248 TUX393248 UET393248 UOP393248 UYL393248 VIH393248 VSD393248 WBZ393248 WLV393248 WVR393248 L458762:L458770 JH458762:JH458770 TD458762:TD458770 ACZ458762:ACZ458770 AMV458762:AMV458770 AWR458762:AWR458770 BGN458762:BGN458770 BQJ458762:BQJ458770 CAF458762:CAF458770 CKB458762:CKB458770 CTX458762:CTX458770 DDT458762:DDT458770 DNP458762:DNP458770 DXL458762:DXL458770 EHH458762:EHH458770 ERD458762:ERD458770 FAZ458762:FAZ458770 FKV458762:FKV458770 FUR458762:FUR458770 GEN458762:GEN458770 GOJ458762:GOJ458770 GYF458762:GYF458770 HIB458762:HIB458770 HRX458762:HRX458770 IBT458762:IBT458770 ILP458762:ILP458770 IVL458762:IVL458770 JFH458762:JFH458770 JPD458762:JPD458770 JYZ458762:JYZ458770 KIV458762:KIV458770 KSR458762:KSR458770 LCN458762:LCN458770 LMJ458762:LMJ458770 LWF458762:LWF458770 MGB458762:MGB458770 MPX458762:MPX458770 MZT458762:MZT458770 NJP458762:NJP458770 NTL458762:NTL458770 ODH458762:ODH458770 OND458762:OND458770 OWZ458762:OWZ458770 PGV458762:PGV458770 PQR458762:PQR458770 QAN458762:QAN458770 QKJ458762:QKJ458770 QUF458762:QUF458770 REB458762:REB458770 RNX458762:RNX458770 RXT458762:RXT458770 SHP458762:SHP458770 SRL458762:SRL458770 TBH458762:TBH458770 TLD458762:TLD458770 TUZ458762:TUZ458770 UEV458762:UEV458770 UOR458762:UOR458770 UYN458762:UYN458770 VIJ458762:VIJ458770 VSF458762:VSF458770 WCB458762:WCB458770 WLX458762:WLX458770 WVT458762:WVT458770 J458774 JF458774 TB458774 ACX458774 AMT458774 AWP458774 BGL458774 BQH458774 CAD458774 CJZ458774 CTV458774 DDR458774 DNN458774 DXJ458774 EHF458774 ERB458774 FAX458774 FKT458774 FUP458774 GEL458774 GOH458774 GYD458774 HHZ458774 HRV458774 IBR458774 ILN458774 IVJ458774 JFF458774 JPB458774 JYX458774 KIT458774 KSP458774 LCL458774 LMH458774 LWD458774 MFZ458774 MPV458774 MZR458774 NJN458774 NTJ458774 ODF458774 ONB458774 OWX458774 PGT458774 PQP458774 QAL458774 QKH458774 QUD458774 RDZ458774 RNV458774 RXR458774 SHN458774 SRJ458774 TBF458774 TLB458774 TUX458774 UET458774 UOP458774 UYL458774 VIH458774 VSD458774 WBZ458774 WLV458774 WVR458774 J458776:J458778 JF458776:JF458778 TB458776:TB458778 ACX458776:ACX458778 AMT458776:AMT458778 AWP458776:AWP458778 BGL458776:BGL458778 BQH458776:BQH458778 CAD458776:CAD458778 CJZ458776:CJZ458778 CTV458776:CTV458778 DDR458776:DDR458778 DNN458776:DNN458778 DXJ458776:DXJ458778 EHF458776:EHF458778 ERB458776:ERB458778 FAX458776:FAX458778 FKT458776:FKT458778 FUP458776:FUP458778 GEL458776:GEL458778 GOH458776:GOH458778 GYD458776:GYD458778 HHZ458776:HHZ458778 HRV458776:HRV458778 IBR458776:IBR458778 ILN458776:ILN458778 IVJ458776:IVJ458778 JFF458776:JFF458778 JPB458776:JPB458778 JYX458776:JYX458778 KIT458776:KIT458778 KSP458776:KSP458778 LCL458776:LCL458778 LMH458776:LMH458778 LWD458776:LWD458778 MFZ458776:MFZ458778 MPV458776:MPV458778 MZR458776:MZR458778 NJN458776:NJN458778 NTJ458776:NTJ458778 ODF458776:ODF458778 ONB458776:ONB458778 OWX458776:OWX458778 PGT458776:PGT458778 PQP458776:PQP458778 QAL458776:QAL458778 QKH458776:QKH458778 QUD458776:QUD458778 RDZ458776:RDZ458778 RNV458776:RNV458778 RXR458776:RXR458778 SHN458776:SHN458778 SRJ458776:SRJ458778 TBF458776:TBF458778 TLB458776:TLB458778 TUX458776:TUX458778 UET458776:UET458778 UOP458776:UOP458778 UYL458776:UYL458778 VIH458776:VIH458778 VSD458776:VSD458778 WBZ458776:WBZ458778 WLV458776:WLV458778 WVR458776:WVR458778 O458777:O458779 JK458777:JK458779 TG458777:TG458779 ADC458777:ADC458779 AMY458777:AMY458779 AWU458777:AWU458779 BGQ458777:BGQ458779 BQM458777:BQM458779 CAI458777:CAI458779 CKE458777:CKE458779 CUA458777:CUA458779 DDW458777:DDW458779 DNS458777:DNS458779 DXO458777:DXO458779 EHK458777:EHK458779 ERG458777:ERG458779 FBC458777:FBC458779 FKY458777:FKY458779 FUU458777:FUU458779 GEQ458777:GEQ458779 GOM458777:GOM458779 GYI458777:GYI458779 HIE458777:HIE458779 HSA458777:HSA458779 IBW458777:IBW458779 ILS458777:ILS458779 IVO458777:IVO458779 JFK458777:JFK458779 JPG458777:JPG458779 JZC458777:JZC458779 KIY458777:KIY458779 KSU458777:KSU458779 LCQ458777:LCQ458779 LMM458777:LMM458779 LWI458777:LWI458779 MGE458777:MGE458779 MQA458777:MQA458779 MZW458777:MZW458779 NJS458777:NJS458779 NTO458777:NTO458779 ODK458777:ODK458779 ONG458777:ONG458779 OXC458777:OXC458779 PGY458777:PGY458779 PQU458777:PQU458779 QAQ458777:QAQ458779 QKM458777:QKM458779 QUI458777:QUI458779 REE458777:REE458779 ROA458777:ROA458779 RXW458777:RXW458779 SHS458777:SHS458779 SRO458777:SRO458779 TBK458777:TBK458779 TLG458777:TLG458779 TVC458777:TVC458779 UEY458777:UEY458779 UOU458777:UOU458779 UYQ458777:UYQ458779 VIM458777:VIM458779 VSI458777:VSI458779 WCE458777:WCE458779 WMA458777:WMA458779 WVW458777:WVW458779 D458778:E458779 IZ458778:JA458779 SV458778:SW458779 ACR458778:ACS458779 AMN458778:AMO458779 AWJ458778:AWK458779 BGF458778:BGG458779 BQB458778:BQC458779 BZX458778:BZY458779 CJT458778:CJU458779 CTP458778:CTQ458779 DDL458778:DDM458779 DNH458778:DNI458779 DXD458778:DXE458779 EGZ458778:EHA458779 EQV458778:EQW458779 FAR458778:FAS458779 FKN458778:FKO458779 FUJ458778:FUK458779 GEF458778:GEG458779 GOB458778:GOC458779 GXX458778:GXY458779 HHT458778:HHU458779 HRP458778:HRQ458779 IBL458778:IBM458779 ILH458778:ILI458779 IVD458778:IVE458779 JEZ458778:JFA458779 JOV458778:JOW458779 JYR458778:JYS458779 KIN458778:KIO458779 KSJ458778:KSK458779 LCF458778:LCG458779 LMB458778:LMC458779 LVX458778:LVY458779 MFT458778:MFU458779 MPP458778:MPQ458779 MZL458778:MZM458779 NJH458778:NJI458779 NTD458778:NTE458779 OCZ458778:ODA458779 OMV458778:OMW458779 OWR458778:OWS458779 PGN458778:PGO458779 PQJ458778:PQK458779 QAF458778:QAG458779 QKB458778:QKC458779 QTX458778:QTY458779 RDT458778:RDU458779 RNP458778:RNQ458779 RXL458778:RXM458779 SHH458778:SHI458779 SRD458778:SRE458779 TAZ458778:TBA458779 TKV458778:TKW458779 TUR458778:TUS458779 UEN458778:UEO458779 UOJ458778:UOK458779 UYF458778:UYG458779 VIB458778:VIC458779 VRX458778:VRY458779 WBT458778:WBU458779 WLP458778:WLQ458779 WVL458778:WVM458779 D458780 IZ458780 SV458780 ACR458780 AMN458780 AWJ458780 BGF458780 BQB458780 BZX458780 CJT458780 CTP458780 DDL458780 DNH458780 DXD458780 EGZ458780 EQV458780 FAR458780 FKN458780 FUJ458780 GEF458780 GOB458780 GXX458780 HHT458780 HRP458780 IBL458780 ILH458780 IVD458780 JEZ458780 JOV458780 JYR458780 KIN458780 KSJ458780 LCF458780 LMB458780 LVX458780 MFT458780 MPP458780 MZL458780 NJH458780 NTD458780 OCZ458780 OMV458780 OWR458780 PGN458780 PQJ458780 QAF458780 QKB458780 QTX458780 RDT458780 RNP458780 RXL458780 SHH458780 SRD458780 TAZ458780 TKV458780 TUR458780 UEN458780 UOJ458780 UYF458780 VIB458780 VRX458780 WBT458780 WLP458780 WVL458780 J458784 JF458784 TB458784 ACX458784 AMT458784 AWP458784 BGL458784 BQH458784 CAD458784 CJZ458784 CTV458784 DDR458784 DNN458784 DXJ458784 EHF458784 ERB458784 FAX458784 FKT458784 FUP458784 GEL458784 GOH458784 GYD458784 HHZ458784 HRV458784 IBR458784 ILN458784 IVJ458784 JFF458784 JPB458784 JYX458784 KIT458784 KSP458784 LCL458784 LMH458784 LWD458784 MFZ458784 MPV458784 MZR458784 NJN458784 NTJ458784 ODF458784 ONB458784 OWX458784 PGT458784 PQP458784 QAL458784 QKH458784 QUD458784 RDZ458784 RNV458784 RXR458784 SHN458784 SRJ458784 TBF458784 TLB458784 TUX458784 UET458784 UOP458784 UYL458784 VIH458784 VSD458784 WBZ458784 WLV458784 WVR458784 L524298:L524306 JH524298:JH524306 TD524298:TD524306 ACZ524298:ACZ524306 AMV524298:AMV524306 AWR524298:AWR524306 BGN524298:BGN524306 BQJ524298:BQJ524306 CAF524298:CAF524306 CKB524298:CKB524306 CTX524298:CTX524306 DDT524298:DDT524306 DNP524298:DNP524306 DXL524298:DXL524306 EHH524298:EHH524306 ERD524298:ERD524306 FAZ524298:FAZ524306 FKV524298:FKV524306 FUR524298:FUR524306 GEN524298:GEN524306 GOJ524298:GOJ524306 GYF524298:GYF524306 HIB524298:HIB524306 HRX524298:HRX524306 IBT524298:IBT524306 ILP524298:ILP524306 IVL524298:IVL524306 JFH524298:JFH524306 JPD524298:JPD524306 JYZ524298:JYZ524306 KIV524298:KIV524306 KSR524298:KSR524306 LCN524298:LCN524306 LMJ524298:LMJ524306 LWF524298:LWF524306 MGB524298:MGB524306 MPX524298:MPX524306 MZT524298:MZT524306 NJP524298:NJP524306 NTL524298:NTL524306 ODH524298:ODH524306 OND524298:OND524306 OWZ524298:OWZ524306 PGV524298:PGV524306 PQR524298:PQR524306 QAN524298:QAN524306 QKJ524298:QKJ524306 QUF524298:QUF524306 REB524298:REB524306 RNX524298:RNX524306 RXT524298:RXT524306 SHP524298:SHP524306 SRL524298:SRL524306 TBH524298:TBH524306 TLD524298:TLD524306 TUZ524298:TUZ524306 UEV524298:UEV524306 UOR524298:UOR524306 UYN524298:UYN524306 VIJ524298:VIJ524306 VSF524298:VSF524306 WCB524298:WCB524306 WLX524298:WLX524306 WVT524298:WVT524306 J524310 JF524310 TB524310 ACX524310 AMT524310 AWP524310 BGL524310 BQH524310 CAD524310 CJZ524310 CTV524310 DDR524310 DNN524310 DXJ524310 EHF524310 ERB524310 FAX524310 FKT524310 FUP524310 GEL524310 GOH524310 GYD524310 HHZ524310 HRV524310 IBR524310 ILN524310 IVJ524310 JFF524310 JPB524310 JYX524310 KIT524310 KSP524310 LCL524310 LMH524310 LWD524310 MFZ524310 MPV524310 MZR524310 NJN524310 NTJ524310 ODF524310 ONB524310 OWX524310 PGT524310 PQP524310 QAL524310 QKH524310 QUD524310 RDZ524310 RNV524310 RXR524310 SHN524310 SRJ524310 TBF524310 TLB524310 TUX524310 UET524310 UOP524310 UYL524310 VIH524310 VSD524310 WBZ524310 WLV524310 WVR524310 J524312:J524314 JF524312:JF524314 TB524312:TB524314 ACX524312:ACX524314 AMT524312:AMT524314 AWP524312:AWP524314 BGL524312:BGL524314 BQH524312:BQH524314 CAD524312:CAD524314 CJZ524312:CJZ524314 CTV524312:CTV524314 DDR524312:DDR524314 DNN524312:DNN524314 DXJ524312:DXJ524314 EHF524312:EHF524314 ERB524312:ERB524314 FAX524312:FAX524314 FKT524312:FKT524314 FUP524312:FUP524314 GEL524312:GEL524314 GOH524312:GOH524314 GYD524312:GYD524314 HHZ524312:HHZ524314 HRV524312:HRV524314 IBR524312:IBR524314 ILN524312:ILN524314 IVJ524312:IVJ524314 JFF524312:JFF524314 JPB524312:JPB524314 JYX524312:JYX524314 KIT524312:KIT524314 KSP524312:KSP524314 LCL524312:LCL524314 LMH524312:LMH524314 LWD524312:LWD524314 MFZ524312:MFZ524314 MPV524312:MPV524314 MZR524312:MZR524314 NJN524312:NJN524314 NTJ524312:NTJ524314 ODF524312:ODF524314 ONB524312:ONB524314 OWX524312:OWX524314 PGT524312:PGT524314 PQP524312:PQP524314 QAL524312:QAL524314 QKH524312:QKH524314 QUD524312:QUD524314 RDZ524312:RDZ524314 RNV524312:RNV524314 RXR524312:RXR524314 SHN524312:SHN524314 SRJ524312:SRJ524314 TBF524312:TBF524314 TLB524312:TLB524314 TUX524312:TUX524314 UET524312:UET524314 UOP524312:UOP524314 UYL524312:UYL524314 VIH524312:VIH524314 VSD524312:VSD524314 WBZ524312:WBZ524314 WLV524312:WLV524314 WVR524312:WVR524314 O524313:O524315 JK524313:JK524315 TG524313:TG524315 ADC524313:ADC524315 AMY524313:AMY524315 AWU524313:AWU524315 BGQ524313:BGQ524315 BQM524313:BQM524315 CAI524313:CAI524315 CKE524313:CKE524315 CUA524313:CUA524315 DDW524313:DDW524315 DNS524313:DNS524315 DXO524313:DXO524315 EHK524313:EHK524315 ERG524313:ERG524315 FBC524313:FBC524315 FKY524313:FKY524315 FUU524313:FUU524315 GEQ524313:GEQ524315 GOM524313:GOM524315 GYI524313:GYI524315 HIE524313:HIE524315 HSA524313:HSA524315 IBW524313:IBW524315 ILS524313:ILS524315 IVO524313:IVO524315 JFK524313:JFK524315 JPG524313:JPG524315 JZC524313:JZC524315 KIY524313:KIY524315 KSU524313:KSU524315 LCQ524313:LCQ524315 LMM524313:LMM524315 LWI524313:LWI524315 MGE524313:MGE524315 MQA524313:MQA524315 MZW524313:MZW524315 NJS524313:NJS524315 NTO524313:NTO524315 ODK524313:ODK524315 ONG524313:ONG524315 OXC524313:OXC524315 PGY524313:PGY524315 PQU524313:PQU524315 QAQ524313:QAQ524315 QKM524313:QKM524315 QUI524313:QUI524315 REE524313:REE524315 ROA524313:ROA524315 RXW524313:RXW524315 SHS524313:SHS524315 SRO524313:SRO524315 TBK524313:TBK524315 TLG524313:TLG524315 TVC524313:TVC524315 UEY524313:UEY524315 UOU524313:UOU524315 UYQ524313:UYQ524315 VIM524313:VIM524315 VSI524313:VSI524315 WCE524313:WCE524315 WMA524313:WMA524315 WVW524313:WVW524315 D524314:E524315 IZ524314:JA524315 SV524314:SW524315 ACR524314:ACS524315 AMN524314:AMO524315 AWJ524314:AWK524315 BGF524314:BGG524315 BQB524314:BQC524315 BZX524314:BZY524315 CJT524314:CJU524315 CTP524314:CTQ524315 DDL524314:DDM524315 DNH524314:DNI524315 DXD524314:DXE524315 EGZ524314:EHA524315 EQV524314:EQW524315 FAR524314:FAS524315 FKN524314:FKO524315 FUJ524314:FUK524315 GEF524314:GEG524315 GOB524314:GOC524315 GXX524314:GXY524315 HHT524314:HHU524315 HRP524314:HRQ524315 IBL524314:IBM524315 ILH524314:ILI524315 IVD524314:IVE524315 JEZ524314:JFA524315 JOV524314:JOW524315 JYR524314:JYS524315 KIN524314:KIO524315 KSJ524314:KSK524315 LCF524314:LCG524315 LMB524314:LMC524315 LVX524314:LVY524315 MFT524314:MFU524315 MPP524314:MPQ524315 MZL524314:MZM524315 NJH524314:NJI524315 NTD524314:NTE524315 OCZ524314:ODA524315 OMV524314:OMW524315 OWR524314:OWS524315 PGN524314:PGO524315 PQJ524314:PQK524315 QAF524314:QAG524315 QKB524314:QKC524315 QTX524314:QTY524315 RDT524314:RDU524315 RNP524314:RNQ524315 RXL524314:RXM524315 SHH524314:SHI524315 SRD524314:SRE524315 TAZ524314:TBA524315 TKV524314:TKW524315 TUR524314:TUS524315 UEN524314:UEO524315 UOJ524314:UOK524315 UYF524314:UYG524315 VIB524314:VIC524315 VRX524314:VRY524315 WBT524314:WBU524315 WLP524314:WLQ524315 WVL524314:WVM524315 D524316 IZ524316 SV524316 ACR524316 AMN524316 AWJ524316 BGF524316 BQB524316 BZX524316 CJT524316 CTP524316 DDL524316 DNH524316 DXD524316 EGZ524316 EQV524316 FAR524316 FKN524316 FUJ524316 GEF524316 GOB524316 GXX524316 HHT524316 HRP524316 IBL524316 ILH524316 IVD524316 JEZ524316 JOV524316 JYR524316 KIN524316 KSJ524316 LCF524316 LMB524316 LVX524316 MFT524316 MPP524316 MZL524316 NJH524316 NTD524316 OCZ524316 OMV524316 OWR524316 PGN524316 PQJ524316 QAF524316 QKB524316 QTX524316 RDT524316 RNP524316 RXL524316 SHH524316 SRD524316 TAZ524316 TKV524316 TUR524316 UEN524316 UOJ524316 UYF524316 VIB524316 VRX524316 WBT524316 WLP524316 WVL524316 J524320 JF524320 TB524320 ACX524320 AMT524320 AWP524320 BGL524320 BQH524320 CAD524320 CJZ524320 CTV524320 DDR524320 DNN524320 DXJ524320 EHF524320 ERB524320 FAX524320 FKT524320 FUP524320 GEL524320 GOH524320 GYD524320 HHZ524320 HRV524320 IBR524320 ILN524320 IVJ524320 JFF524320 JPB524320 JYX524320 KIT524320 KSP524320 LCL524320 LMH524320 LWD524320 MFZ524320 MPV524320 MZR524320 NJN524320 NTJ524320 ODF524320 ONB524320 OWX524320 PGT524320 PQP524320 QAL524320 QKH524320 QUD524320 RDZ524320 RNV524320 RXR524320 SHN524320 SRJ524320 TBF524320 TLB524320 TUX524320 UET524320 UOP524320 UYL524320 VIH524320 VSD524320 WBZ524320 WLV524320 WVR524320 L589834:L589842 JH589834:JH589842 TD589834:TD589842 ACZ589834:ACZ589842 AMV589834:AMV589842 AWR589834:AWR589842 BGN589834:BGN589842 BQJ589834:BQJ589842 CAF589834:CAF589842 CKB589834:CKB589842 CTX589834:CTX589842 DDT589834:DDT589842 DNP589834:DNP589842 DXL589834:DXL589842 EHH589834:EHH589842 ERD589834:ERD589842 FAZ589834:FAZ589842 FKV589834:FKV589842 FUR589834:FUR589842 GEN589834:GEN589842 GOJ589834:GOJ589842 GYF589834:GYF589842 HIB589834:HIB589842 HRX589834:HRX589842 IBT589834:IBT589842 ILP589834:ILP589842 IVL589834:IVL589842 JFH589834:JFH589842 JPD589834:JPD589842 JYZ589834:JYZ589842 KIV589834:KIV589842 KSR589834:KSR589842 LCN589834:LCN589842 LMJ589834:LMJ589842 LWF589834:LWF589842 MGB589834:MGB589842 MPX589834:MPX589842 MZT589834:MZT589842 NJP589834:NJP589842 NTL589834:NTL589842 ODH589834:ODH589842 OND589834:OND589842 OWZ589834:OWZ589842 PGV589834:PGV589842 PQR589834:PQR589842 QAN589834:QAN589842 QKJ589834:QKJ589842 QUF589834:QUF589842 REB589834:REB589842 RNX589834:RNX589842 RXT589834:RXT589842 SHP589834:SHP589842 SRL589834:SRL589842 TBH589834:TBH589842 TLD589834:TLD589842 TUZ589834:TUZ589842 UEV589834:UEV589842 UOR589834:UOR589842 UYN589834:UYN589842 VIJ589834:VIJ589842 VSF589834:VSF589842 WCB589834:WCB589842 WLX589834:WLX589842 WVT589834:WVT589842 J589846 JF589846 TB589846 ACX589846 AMT589846 AWP589846 BGL589846 BQH589846 CAD589846 CJZ589846 CTV589846 DDR589846 DNN589846 DXJ589846 EHF589846 ERB589846 FAX589846 FKT589846 FUP589846 GEL589846 GOH589846 GYD589846 HHZ589846 HRV589846 IBR589846 ILN589846 IVJ589846 JFF589846 JPB589846 JYX589846 KIT589846 KSP589846 LCL589846 LMH589846 LWD589846 MFZ589846 MPV589846 MZR589846 NJN589846 NTJ589846 ODF589846 ONB589846 OWX589846 PGT589846 PQP589846 QAL589846 QKH589846 QUD589846 RDZ589846 RNV589846 RXR589846 SHN589846 SRJ589846 TBF589846 TLB589846 TUX589846 UET589846 UOP589846 UYL589846 VIH589846 VSD589846 WBZ589846 WLV589846 WVR589846 J589848:J589850 JF589848:JF589850 TB589848:TB589850 ACX589848:ACX589850 AMT589848:AMT589850 AWP589848:AWP589850 BGL589848:BGL589850 BQH589848:BQH589850 CAD589848:CAD589850 CJZ589848:CJZ589850 CTV589848:CTV589850 DDR589848:DDR589850 DNN589848:DNN589850 DXJ589848:DXJ589850 EHF589848:EHF589850 ERB589848:ERB589850 FAX589848:FAX589850 FKT589848:FKT589850 FUP589848:FUP589850 GEL589848:GEL589850 GOH589848:GOH589850 GYD589848:GYD589850 HHZ589848:HHZ589850 HRV589848:HRV589850 IBR589848:IBR589850 ILN589848:ILN589850 IVJ589848:IVJ589850 JFF589848:JFF589850 JPB589848:JPB589850 JYX589848:JYX589850 KIT589848:KIT589850 KSP589848:KSP589850 LCL589848:LCL589850 LMH589848:LMH589850 LWD589848:LWD589850 MFZ589848:MFZ589850 MPV589848:MPV589850 MZR589848:MZR589850 NJN589848:NJN589850 NTJ589848:NTJ589850 ODF589848:ODF589850 ONB589848:ONB589850 OWX589848:OWX589850 PGT589848:PGT589850 PQP589848:PQP589850 QAL589848:QAL589850 QKH589848:QKH589850 QUD589848:QUD589850 RDZ589848:RDZ589850 RNV589848:RNV589850 RXR589848:RXR589850 SHN589848:SHN589850 SRJ589848:SRJ589850 TBF589848:TBF589850 TLB589848:TLB589850 TUX589848:TUX589850 UET589848:UET589850 UOP589848:UOP589850 UYL589848:UYL589850 VIH589848:VIH589850 VSD589848:VSD589850 WBZ589848:WBZ589850 WLV589848:WLV589850 WVR589848:WVR589850 O589849:O589851 JK589849:JK589851 TG589849:TG589851 ADC589849:ADC589851 AMY589849:AMY589851 AWU589849:AWU589851 BGQ589849:BGQ589851 BQM589849:BQM589851 CAI589849:CAI589851 CKE589849:CKE589851 CUA589849:CUA589851 DDW589849:DDW589851 DNS589849:DNS589851 DXO589849:DXO589851 EHK589849:EHK589851 ERG589849:ERG589851 FBC589849:FBC589851 FKY589849:FKY589851 FUU589849:FUU589851 GEQ589849:GEQ589851 GOM589849:GOM589851 GYI589849:GYI589851 HIE589849:HIE589851 HSA589849:HSA589851 IBW589849:IBW589851 ILS589849:ILS589851 IVO589849:IVO589851 JFK589849:JFK589851 JPG589849:JPG589851 JZC589849:JZC589851 KIY589849:KIY589851 KSU589849:KSU589851 LCQ589849:LCQ589851 LMM589849:LMM589851 LWI589849:LWI589851 MGE589849:MGE589851 MQA589849:MQA589851 MZW589849:MZW589851 NJS589849:NJS589851 NTO589849:NTO589851 ODK589849:ODK589851 ONG589849:ONG589851 OXC589849:OXC589851 PGY589849:PGY589851 PQU589849:PQU589851 QAQ589849:QAQ589851 QKM589849:QKM589851 QUI589849:QUI589851 REE589849:REE589851 ROA589849:ROA589851 RXW589849:RXW589851 SHS589849:SHS589851 SRO589849:SRO589851 TBK589849:TBK589851 TLG589849:TLG589851 TVC589849:TVC589851 UEY589849:UEY589851 UOU589849:UOU589851 UYQ589849:UYQ589851 VIM589849:VIM589851 VSI589849:VSI589851 WCE589849:WCE589851 WMA589849:WMA589851 WVW589849:WVW589851 D589850:E589851 IZ589850:JA589851 SV589850:SW589851 ACR589850:ACS589851 AMN589850:AMO589851 AWJ589850:AWK589851 BGF589850:BGG589851 BQB589850:BQC589851 BZX589850:BZY589851 CJT589850:CJU589851 CTP589850:CTQ589851 DDL589850:DDM589851 DNH589850:DNI589851 DXD589850:DXE589851 EGZ589850:EHA589851 EQV589850:EQW589851 FAR589850:FAS589851 FKN589850:FKO589851 FUJ589850:FUK589851 GEF589850:GEG589851 GOB589850:GOC589851 GXX589850:GXY589851 HHT589850:HHU589851 HRP589850:HRQ589851 IBL589850:IBM589851 ILH589850:ILI589851 IVD589850:IVE589851 JEZ589850:JFA589851 JOV589850:JOW589851 JYR589850:JYS589851 KIN589850:KIO589851 KSJ589850:KSK589851 LCF589850:LCG589851 LMB589850:LMC589851 LVX589850:LVY589851 MFT589850:MFU589851 MPP589850:MPQ589851 MZL589850:MZM589851 NJH589850:NJI589851 NTD589850:NTE589851 OCZ589850:ODA589851 OMV589850:OMW589851 OWR589850:OWS589851 PGN589850:PGO589851 PQJ589850:PQK589851 QAF589850:QAG589851 QKB589850:QKC589851 QTX589850:QTY589851 RDT589850:RDU589851 RNP589850:RNQ589851 RXL589850:RXM589851 SHH589850:SHI589851 SRD589850:SRE589851 TAZ589850:TBA589851 TKV589850:TKW589851 TUR589850:TUS589851 UEN589850:UEO589851 UOJ589850:UOK589851 UYF589850:UYG589851 VIB589850:VIC589851 VRX589850:VRY589851 WBT589850:WBU589851 WLP589850:WLQ589851 WVL589850:WVM589851 D589852 IZ589852 SV589852 ACR589852 AMN589852 AWJ589852 BGF589852 BQB589852 BZX589852 CJT589852 CTP589852 DDL589852 DNH589852 DXD589852 EGZ589852 EQV589852 FAR589852 FKN589852 FUJ589852 GEF589852 GOB589852 GXX589852 HHT589852 HRP589852 IBL589852 ILH589852 IVD589852 JEZ589852 JOV589852 JYR589852 KIN589852 KSJ589852 LCF589852 LMB589852 LVX589852 MFT589852 MPP589852 MZL589852 NJH589852 NTD589852 OCZ589852 OMV589852 OWR589852 PGN589852 PQJ589852 QAF589852 QKB589852 QTX589852 RDT589852 RNP589852 RXL589852 SHH589852 SRD589852 TAZ589852 TKV589852 TUR589852 UEN589852 UOJ589852 UYF589852 VIB589852 VRX589852 WBT589852 WLP589852 WVL589852 J589856 JF589856 TB589856 ACX589856 AMT589856 AWP589856 BGL589856 BQH589856 CAD589856 CJZ589856 CTV589856 DDR589856 DNN589856 DXJ589856 EHF589856 ERB589856 FAX589856 FKT589856 FUP589856 GEL589856 GOH589856 GYD589856 HHZ589856 HRV589856 IBR589856 ILN589856 IVJ589856 JFF589856 JPB589856 JYX589856 KIT589856 KSP589856 LCL589856 LMH589856 LWD589856 MFZ589856 MPV589856 MZR589856 NJN589856 NTJ589856 ODF589856 ONB589856 OWX589856 PGT589856 PQP589856 QAL589856 QKH589856 QUD589856 RDZ589856 RNV589856 RXR589856 SHN589856 SRJ589856 TBF589856 TLB589856 TUX589856 UET589856 UOP589856 UYL589856 VIH589856 VSD589856 WBZ589856 WLV589856 WVR589856 L655370:L655378 JH655370:JH655378 TD655370:TD655378 ACZ655370:ACZ655378 AMV655370:AMV655378 AWR655370:AWR655378 BGN655370:BGN655378 BQJ655370:BQJ655378 CAF655370:CAF655378 CKB655370:CKB655378 CTX655370:CTX655378 DDT655370:DDT655378 DNP655370:DNP655378 DXL655370:DXL655378 EHH655370:EHH655378 ERD655370:ERD655378 FAZ655370:FAZ655378 FKV655370:FKV655378 FUR655370:FUR655378 GEN655370:GEN655378 GOJ655370:GOJ655378 GYF655370:GYF655378 HIB655370:HIB655378 HRX655370:HRX655378 IBT655370:IBT655378 ILP655370:ILP655378 IVL655370:IVL655378 JFH655370:JFH655378 JPD655370:JPD655378 JYZ655370:JYZ655378 KIV655370:KIV655378 KSR655370:KSR655378 LCN655370:LCN655378 LMJ655370:LMJ655378 LWF655370:LWF655378 MGB655370:MGB655378 MPX655370:MPX655378 MZT655370:MZT655378 NJP655370:NJP655378 NTL655370:NTL655378 ODH655370:ODH655378 OND655370:OND655378 OWZ655370:OWZ655378 PGV655370:PGV655378 PQR655370:PQR655378 QAN655370:QAN655378 QKJ655370:QKJ655378 QUF655370:QUF655378 REB655370:REB655378 RNX655370:RNX655378 RXT655370:RXT655378 SHP655370:SHP655378 SRL655370:SRL655378 TBH655370:TBH655378 TLD655370:TLD655378 TUZ655370:TUZ655378 UEV655370:UEV655378 UOR655370:UOR655378 UYN655370:UYN655378 VIJ655370:VIJ655378 VSF655370:VSF655378 WCB655370:WCB655378 WLX655370:WLX655378 WVT655370:WVT655378 J655382 JF655382 TB655382 ACX655382 AMT655382 AWP655382 BGL655382 BQH655382 CAD655382 CJZ655382 CTV655382 DDR655382 DNN655382 DXJ655382 EHF655382 ERB655382 FAX655382 FKT655382 FUP655382 GEL655382 GOH655382 GYD655382 HHZ655382 HRV655382 IBR655382 ILN655382 IVJ655382 JFF655382 JPB655382 JYX655382 KIT655382 KSP655382 LCL655382 LMH655382 LWD655382 MFZ655382 MPV655382 MZR655382 NJN655382 NTJ655382 ODF655382 ONB655382 OWX655382 PGT655382 PQP655382 QAL655382 QKH655382 QUD655382 RDZ655382 RNV655382 RXR655382 SHN655382 SRJ655382 TBF655382 TLB655382 TUX655382 UET655382 UOP655382 UYL655382 VIH655382 VSD655382 WBZ655382 WLV655382 WVR655382 J655384:J655386 JF655384:JF655386 TB655384:TB655386 ACX655384:ACX655386 AMT655384:AMT655386 AWP655384:AWP655386 BGL655384:BGL655386 BQH655384:BQH655386 CAD655384:CAD655386 CJZ655384:CJZ655386 CTV655384:CTV655386 DDR655384:DDR655386 DNN655384:DNN655386 DXJ655384:DXJ655386 EHF655384:EHF655386 ERB655384:ERB655386 FAX655384:FAX655386 FKT655384:FKT655386 FUP655384:FUP655386 GEL655384:GEL655386 GOH655384:GOH655386 GYD655384:GYD655386 HHZ655384:HHZ655386 HRV655384:HRV655386 IBR655384:IBR655386 ILN655384:ILN655386 IVJ655384:IVJ655386 JFF655384:JFF655386 JPB655384:JPB655386 JYX655384:JYX655386 KIT655384:KIT655386 KSP655384:KSP655386 LCL655384:LCL655386 LMH655384:LMH655386 LWD655384:LWD655386 MFZ655384:MFZ655386 MPV655384:MPV655386 MZR655384:MZR655386 NJN655384:NJN655386 NTJ655384:NTJ655386 ODF655384:ODF655386 ONB655384:ONB655386 OWX655384:OWX655386 PGT655384:PGT655386 PQP655384:PQP655386 QAL655384:QAL655386 QKH655384:QKH655386 QUD655384:QUD655386 RDZ655384:RDZ655386 RNV655384:RNV655386 RXR655384:RXR655386 SHN655384:SHN655386 SRJ655384:SRJ655386 TBF655384:TBF655386 TLB655384:TLB655386 TUX655384:TUX655386 UET655384:UET655386 UOP655384:UOP655386 UYL655384:UYL655386 VIH655384:VIH655386 VSD655384:VSD655386 WBZ655384:WBZ655386 WLV655384:WLV655386 WVR655384:WVR655386 O655385:O655387 JK655385:JK655387 TG655385:TG655387 ADC655385:ADC655387 AMY655385:AMY655387 AWU655385:AWU655387 BGQ655385:BGQ655387 BQM655385:BQM655387 CAI655385:CAI655387 CKE655385:CKE655387 CUA655385:CUA655387 DDW655385:DDW655387 DNS655385:DNS655387 DXO655385:DXO655387 EHK655385:EHK655387 ERG655385:ERG655387 FBC655385:FBC655387 FKY655385:FKY655387 FUU655385:FUU655387 GEQ655385:GEQ655387 GOM655385:GOM655387 GYI655385:GYI655387 HIE655385:HIE655387 HSA655385:HSA655387 IBW655385:IBW655387 ILS655385:ILS655387 IVO655385:IVO655387 JFK655385:JFK655387 JPG655385:JPG655387 JZC655385:JZC655387 KIY655385:KIY655387 KSU655385:KSU655387 LCQ655385:LCQ655387 LMM655385:LMM655387 LWI655385:LWI655387 MGE655385:MGE655387 MQA655385:MQA655387 MZW655385:MZW655387 NJS655385:NJS655387 NTO655385:NTO655387 ODK655385:ODK655387 ONG655385:ONG655387 OXC655385:OXC655387 PGY655385:PGY655387 PQU655385:PQU655387 QAQ655385:QAQ655387 QKM655385:QKM655387 QUI655385:QUI655387 REE655385:REE655387 ROA655385:ROA655387 RXW655385:RXW655387 SHS655385:SHS655387 SRO655385:SRO655387 TBK655385:TBK655387 TLG655385:TLG655387 TVC655385:TVC655387 UEY655385:UEY655387 UOU655385:UOU655387 UYQ655385:UYQ655387 VIM655385:VIM655387 VSI655385:VSI655387 WCE655385:WCE655387 WMA655385:WMA655387 WVW655385:WVW655387 D655386:E655387 IZ655386:JA655387 SV655386:SW655387 ACR655386:ACS655387 AMN655386:AMO655387 AWJ655386:AWK655387 BGF655386:BGG655387 BQB655386:BQC655387 BZX655386:BZY655387 CJT655386:CJU655387 CTP655386:CTQ655387 DDL655386:DDM655387 DNH655386:DNI655387 DXD655386:DXE655387 EGZ655386:EHA655387 EQV655386:EQW655387 FAR655386:FAS655387 FKN655386:FKO655387 FUJ655386:FUK655387 GEF655386:GEG655387 GOB655386:GOC655387 GXX655386:GXY655387 HHT655386:HHU655387 HRP655386:HRQ655387 IBL655386:IBM655387 ILH655386:ILI655387 IVD655386:IVE655387 JEZ655386:JFA655387 JOV655386:JOW655387 JYR655386:JYS655387 KIN655386:KIO655387 KSJ655386:KSK655387 LCF655386:LCG655387 LMB655386:LMC655387 LVX655386:LVY655387 MFT655386:MFU655387 MPP655386:MPQ655387 MZL655386:MZM655387 NJH655386:NJI655387 NTD655386:NTE655387 OCZ655386:ODA655387 OMV655386:OMW655387 OWR655386:OWS655387 PGN655386:PGO655387 PQJ655386:PQK655387 QAF655386:QAG655387 QKB655386:QKC655387 QTX655386:QTY655387 RDT655386:RDU655387 RNP655386:RNQ655387 RXL655386:RXM655387 SHH655386:SHI655387 SRD655386:SRE655387 TAZ655386:TBA655387 TKV655386:TKW655387 TUR655386:TUS655387 UEN655386:UEO655387 UOJ655386:UOK655387 UYF655386:UYG655387 VIB655386:VIC655387 VRX655386:VRY655387 WBT655386:WBU655387 WLP655386:WLQ655387 WVL655386:WVM655387 D655388 IZ655388 SV655388 ACR655388 AMN655388 AWJ655388 BGF655388 BQB655388 BZX655388 CJT655388 CTP655388 DDL655388 DNH655388 DXD655388 EGZ655388 EQV655388 FAR655388 FKN655388 FUJ655388 GEF655388 GOB655388 GXX655388 HHT655388 HRP655388 IBL655388 ILH655388 IVD655388 JEZ655388 JOV655388 JYR655388 KIN655388 KSJ655388 LCF655388 LMB655388 LVX655388 MFT655388 MPP655388 MZL655388 NJH655388 NTD655388 OCZ655388 OMV655388 OWR655388 PGN655388 PQJ655388 QAF655388 QKB655388 QTX655388 RDT655388 RNP655388 RXL655388 SHH655388 SRD655388 TAZ655388 TKV655388 TUR655388 UEN655388 UOJ655388 UYF655388 VIB655388 VRX655388 WBT655388 WLP655388 WVL655388 J655392 JF655392 TB655392 ACX655392 AMT655392 AWP655392 BGL655392 BQH655392 CAD655392 CJZ655392 CTV655392 DDR655392 DNN655392 DXJ655392 EHF655392 ERB655392 FAX655392 FKT655392 FUP655392 GEL655392 GOH655392 GYD655392 HHZ655392 HRV655392 IBR655392 ILN655392 IVJ655392 JFF655392 JPB655392 JYX655392 KIT655392 KSP655392 LCL655392 LMH655392 LWD655392 MFZ655392 MPV655392 MZR655392 NJN655392 NTJ655392 ODF655392 ONB655392 OWX655392 PGT655392 PQP655392 QAL655392 QKH655392 QUD655392 RDZ655392 RNV655392 RXR655392 SHN655392 SRJ655392 TBF655392 TLB655392 TUX655392 UET655392 UOP655392 UYL655392 VIH655392 VSD655392 WBZ655392 WLV655392 WVR655392 L720906:L720914 JH720906:JH720914 TD720906:TD720914 ACZ720906:ACZ720914 AMV720906:AMV720914 AWR720906:AWR720914 BGN720906:BGN720914 BQJ720906:BQJ720914 CAF720906:CAF720914 CKB720906:CKB720914 CTX720906:CTX720914 DDT720906:DDT720914 DNP720906:DNP720914 DXL720906:DXL720914 EHH720906:EHH720914 ERD720906:ERD720914 FAZ720906:FAZ720914 FKV720906:FKV720914 FUR720906:FUR720914 GEN720906:GEN720914 GOJ720906:GOJ720914 GYF720906:GYF720914 HIB720906:HIB720914 HRX720906:HRX720914 IBT720906:IBT720914 ILP720906:ILP720914 IVL720906:IVL720914 JFH720906:JFH720914 JPD720906:JPD720914 JYZ720906:JYZ720914 KIV720906:KIV720914 KSR720906:KSR720914 LCN720906:LCN720914 LMJ720906:LMJ720914 LWF720906:LWF720914 MGB720906:MGB720914 MPX720906:MPX720914 MZT720906:MZT720914 NJP720906:NJP720914 NTL720906:NTL720914 ODH720906:ODH720914 OND720906:OND720914 OWZ720906:OWZ720914 PGV720906:PGV720914 PQR720906:PQR720914 QAN720906:QAN720914 QKJ720906:QKJ720914 QUF720906:QUF720914 REB720906:REB720914 RNX720906:RNX720914 RXT720906:RXT720914 SHP720906:SHP720914 SRL720906:SRL720914 TBH720906:TBH720914 TLD720906:TLD720914 TUZ720906:TUZ720914 UEV720906:UEV720914 UOR720906:UOR720914 UYN720906:UYN720914 VIJ720906:VIJ720914 VSF720906:VSF720914 WCB720906:WCB720914 WLX720906:WLX720914 WVT720906:WVT720914 J720918 JF720918 TB720918 ACX720918 AMT720918 AWP720918 BGL720918 BQH720918 CAD720918 CJZ720918 CTV720918 DDR720918 DNN720918 DXJ720918 EHF720918 ERB720918 FAX720918 FKT720918 FUP720918 GEL720918 GOH720918 GYD720918 HHZ720918 HRV720918 IBR720918 ILN720918 IVJ720918 JFF720918 JPB720918 JYX720918 KIT720918 KSP720918 LCL720918 LMH720918 LWD720918 MFZ720918 MPV720918 MZR720918 NJN720918 NTJ720918 ODF720918 ONB720918 OWX720918 PGT720918 PQP720918 QAL720918 QKH720918 QUD720918 RDZ720918 RNV720918 RXR720918 SHN720918 SRJ720918 TBF720918 TLB720918 TUX720918 UET720918 UOP720918 UYL720918 VIH720918 VSD720918 WBZ720918 WLV720918 WVR720918 J720920:J720922 JF720920:JF720922 TB720920:TB720922 ACX720920:ACX720922 AMT720920:AMT720922 AWP720920:AWP720922 BGL720920:BGL720922 BQH720920:BQH720922 CAD720920:CAD720922 CJZ720920:CJZ720922 CTV720920:CTV720922 DDR720920:DDR720922 DNN720920:DNN720922 DXJ720920:DXJ720922 EHF720920:EHF720922 ERB720920:ERB720922 FAX720920:FAX720922 FKT720920:FKT720922 FUP720920:FUP720922 GEL720920:GEL720922 GOH720920:GOH720922 GYD720920:GYD720922 HHZ720920:HHZ720922 HRV720920:HRV720922 IBR720920:IBR720922 ILN720920:ILN720922 IVJ720920:IVJ720922 JFF720920:JFF720922 JPB720920:JPB720922 JYX720920:JYX720922 KIT720920:KIT720922 KSP720920:KSP720922 LCL720920:LCL720922 LMH720920:LMH720922 LWD720920:LWD720922 MFZ720920:MFZ720922 MPV720920:MPV720922 MZR720920:MZR720922 NJN720920:NJN720922 NTJ720920:NTJ720922 ODF720920:ODF720922 ONB720920:ONB720922 OWX720920:OWX720922 PGT720920:PGT720922 PQP720920:PQP720922 QAL720920:QAL720922 QKH720920:QKH720922 QUD720920:QUD720922 RDZ720920:RDZ720922 RNV720920:RNV720922 RXR720920:RXR720922 SHN720920:SHN720922 SRJ720920:SRJ720922 TBF720920:TBF720922 TLB720920:TLB720922 TUX720920:TUX720922 UET720920:UET720922 UOP720920:UOP720922 UYL720920:UYL720922 VIH720920:VIH720922 VSD720920:VSD720922 WBZ720920:WBZ720922 WLV720920:WLV720922 WVR720920:WVR720922 O720921:O720923 JK720921:JK720923 TG720921:TG720923 ADC720921:ADC720923 AMY720921:AMY720923 AWU720921:AWU720923 BGQ720921:BGQ720923 BQM720921:BQM720923 CAI720921:CAI720923 CKE720921:CKE720923 CUA720921:CUA720923 DDW720921:DDW720923 DNS720921:DNS720923 DXO720921:DXO720923 EHK720921:EHK720923 ERG720921:ERG720923 FBC720921:FBC720923 FKY720921:FKY720923 FUU720921:FUU720923 GEQ720921:GEQ720923 GOM720921:GOM720923 GYI720921:GYI720923 HIE720921:HIE720923 HSA720921:HSA720923 IBW720921:IBW720923 ILS720921:ILS720923 IVO720921:IVO720923 JFK720921:JFK720923 JPG720921:JPG720923 JZC720921:JZC720923 KIY720921:KIY720923 KSU720921:KSU720923 LCQ720921:LCQ720923 LMM720921:LMM720923 LWI720921:LWI720923 MGE720921:MGE720923 MQA720921:MQA720923 MZW720921:MZW720923 NJS720921:NJS720923 NTO720921:NTO720923 ODK720921:ODK720923 ONG720921:ONG720923 OXC720921:OXC720923 PGY720921:PGY720923 PQU720921:PQU720923 QAQ720921:QAQ720923 QKM720921:QKM720923 QUI720921:QUI720923 REE720921:REE720923 ROA720921:ROA720923 RXW720921:RXW720923 SHS720921:SHS720923 SRO720921:SRO720923 TBK720921:TBK720923 TLG720921:TLG720923 TVC720921:TVC720923 UEY720921:UEY720923 UOU720921:UOU720923 UYQ720921:UYQ720923 VIM720921:VIM720923 VSI720921:VSI720923 WCE720921:WCE720923 WMA720921:WMA720923 WVW720921:WVW720923 D720922:E720923 IZ720922:JA720923 SV720922:SW720923 ACR720922:ACS720923 AMN720922:AMO720923 AWJ720922:AWK720923 BGF720922:BGG720923 BQB720922:BQC720923 BZX720922:BZY720923 CJT720922:CJU720923 CTP720922:CTQ720923 DDL720922:DDM720923 DNH720922:DNI720923 DXD720922:DXE720923 EGZ720922:EHA720923 EQV720922:EQW720923 FAR720922:FAS720923 FKN720922:FKO720923 FUJ720922:FUK720923 GEF720922:GEG720923 GOB720922:GOC720923 GXX720922:GXY720923 HHT720922:HHU720923 HRP720922:HRQ720923 IBL720922:IBM720923 ILH720922:ILI720923 IVD720922:IVE720923 JEZ720922:JFA720923 JOV720922:JOW720923 JYR720922:JYS720923 KIN720922:KIO720923 KSJ720922:KSK720923 LCF720922:LCG720923 LMB720922:LMC720923 LVX720922:LVY720923 MFT720922:MFU720923 MPP720922:MPQ720923 MZL720922:MZM720923 NJH720922:NJI720923 NTD720922:NTE720923 OCZ720922:ODA720923 OMV720922:OMW720923 OWR720922:OWS720923 PGN720922:PGO720923 PQJ720922:PQK720923 QAF720922:QAG720923 QKB720922:QKC720923 QTX720922:QTY720923 RDT720922:RDU720923 RNP720922:RNQ720923 RXL720922:RXM720923 SHH720922:SHI720923 SRD720922:SRE720923 TAZ720922:TBA720923 TKV720922:TKW720923 TUR720922:TUS720923 UEN720922:UEO720923 UOJ720922:UOK720923 UYF720922:UYG720923 VIB720922:VIC720923 VRX720922:VRY720923 WBT720922:WBU720923 WLP720922:WLQ720923 WVL720922:WVM720923 D720924 IZ720924 SV720924 ACR720924 AMN720924 AWJ720924 BGF720924 BQB720924 BZX720924 CJT720924 CTP720924 DDL720924 DNH720924 DXD720924 EGZ720924 EQV720924 FAR720924 FKN720924 FUJ720924 GEF720924 GOB720924 GXX720924 HHT720924 HRP720924 IBL720924 ILH720924 IVD720924 JEZ720924 JOV720924 JYR720924 KIN720924 KSJ720924 LCF720924 LMB720924 LVX720924 MFT720924 MPP720924 MZL720924 NJH720924 NTD720924 OCZ720924 OMV720924 OWR720924 PGN720924 PQJ720924 QAF720924 QKB720924 QTX720924 RDT720924 RNP720924 RXL720924 SHH720924 SRD720924 TAZ720924 TKV720924 TUR720924 UEN720924 UOJ720924 UYF720924 VIB720924 VRX720924 WBT720924 WLP720924 WVL720924 J720928 JF720928 TB720928 ACX720928 AMT720928 AWP720928 BGL720928 BQH720928 CAD720928 CJZ720928 CTV720928 DDR720928 DNN720928 DXJ720928 EHF720928 ERB720928 FAX720928 FKT720928 FUP720928 GEL720928 GOH720928 GYD720928 HHZ720928 HRV720928 IBR720928 ILN720928 IVJ720928 JFF720928 JPB720928 JYX720928 KIT720928 KSP720928 LCL720928 LMH720928 LWD720928 MFZ720928 MPV720928 MZR720928 NJN720928 NTJ720928 ODF720928 ONB720928 OWX720928 PGT720928 PQP720928 QAL720928 QKH720928 QUD720928 RDZ720928 RNV720928 RXR720928 SHN720928 SRJ720928 TBF720928 TLB720928 TUX720928 UET720928 UOP720928 UYL720928 VIH720928 VSD720928 WBZ720928 WLV720928 WVR720928 L786442:L786450 JH786442:JH786450 TD786442:TD786450 ACZ786442:ACZ786450 AMV786442:AMV786450 AWR786442:AWR786450 BGN786442:BGN786450 BQJ786442:BQJ786450 CAF786442:CAF786450 CKB786442:CKB786450 CTX786442:CTX786450 DDT786442:DDT786450 DNP786442:DNP786450 DXL786442:DXL786450 EHH786442:EHH786450 ERD786442:ERD786450 FAZ786442:FAZ786450 FKV786442:FKV786450 FUR786442:FUR786450 GEN786442:GEN786450 GOJ786442:GOJ786450 GYF786442:GYF786450 HIB786442:HIB786450 HRX786442:HRX786450 IBT786442:IBT786450 ILP786442:ILP786450 IVL786442:IVL786450 JFH786442:JFH786450 JPD786442:JPD786450 JYZ786442:JYZ786450 KIV786442:KIV786450 KSR786442:KSR786450 LCN786442:LCN786450 LMJ786442:LMJ786450 LWF786442:LWF786450 MGB786442:MGB786450 MPX786442:MPX786450 MZT786442:MZT786450 NJP786442:NJP786450 NTL786442:NTL786450 ODH786442:ODH786450 OND786442:OND786450 OWZ786442:OWZ786450 PGV786442:PGV786450 PQR786442:PQR786450 QAN786442:QAN786450 QKJ786442:QKJ786450 QUF786442:QUF786450 REB786442:REB786450 RNX786442:RNX786450 RXT786442:RXT786450 SHP786442:SHP786450 SRL786442:SRL786450 TBH786442:TBH786450 TLD786442:TLD786450 TUZ786442:TUZ786450 UEV786442:UEV786450 UOR786442:UOR786450 UYN786442:UYN786450 VIJ786442:VIJ786450 VSF786442:VSF786450 WCB786442:WCB786450 WLX786442:WLX786450 WVT786442:WVT786450 J786454 JF786454 TB786454 ACX786454 AMT786454 AWP786454 BGL786454 BQH786454 CAD786454 CJZ786454 CTV786454 DDR786454 DNN786454 DXJ786454 EHF786454 ERB786454 FAX786454 FKT786454 FUP786454 GEL786454 GOH786454 GYD786454 HHZ786454 HRV786454 IBR786454 ILN786454 IVJ786454 JFF786454 JPB786454 JYX786454 KIT786454 KSP786454 LCL786454 LMH786454 LWD786454 MFZ786454 MPV786454 MZR786454 NJN786454 NTJ786454 ODF786454 ONB786454 OWX786454 PGT786454 PQP786454 QAL786454 QKH786454 QUD786454 RDZ786454 RNV786454 RXR786454 SHN786454 SRJ786454 TBF786454 TLB786454 TUX786454 UET786454 UOP786454 UYL786454 VIH786454 VSD786454 WBZ786454 WLV786454 WVR786454 J786456:J786458 JF786456:JF786458 TB786456:TB786458 ACX786456:ACX786458 AMT786456:AMT786458 AWP786456:AWP786458 BGL786456:BGL786458 BQH786456:BQH786458 CAD786456:CAD786458 CJZ786456:CJZ786458 CTV786456:CTV786458 DDR786456:DDR786458 DNN786456:DNN786458 DXJ786456:DXJ786458 EHF786456:EHF786458 ERB786456:ERB786458 FAX786456:FAX786458 FKT786456:FKT786458 FUP786456:FUP786458 GEL786456:GEL786458 GOH786456:GOH786458 GYD786456:GYD786458 HHZ786456:HHZ786458 HRV786456:HRV786458 IBR786456:IBR786458 ILN786456:ILN786458 IVJ786456:IVJ786458 JFF786456:JFF786458 JPB786456:JPB786458 JYX786456:JYX786458 KIT786456:KIT786458 KSP786456:KSP786458 LCL786456:LCL786458 LMH786456:LMH786458 LWD786456:LWD786458 MFZ786456:MFZ786458 MPV786456:MPV786458 MZR786456:MZR786458 NJN786456:NJN786458 NTJ786456:NTJ786458 ODF786456:ODF786458 ONB786456:ONB786458 OWX786456:OWX786458 PGT786456:PGT786458 PQP786456:PQP786458 QAL786456:QAL786458 QKH786456:QKH786458 QUD786456:QUD786458 RDZ786456:RDZ786458 RNV786456:RNV786458 RXR786456:RXR786458 SHN786456:SHN786458 SRJ786456:SRJ786458 TBF786456:TBF786458 TLB786456:TLB786458 TUX786456:TUX786458 UET786456:UET786458 UOP786456:UOP786458 UYL786456:UYL786458 VIH786456:VIH786458 VSD786456:VSD786458 WBZ786456:WBZ786458 WLV786456:WLV786458 WVR786456:WVR786458 O786457:O786459 JK786457:JK786459 TG786457:TG786459 ADC786457:ADC786459 AMY786457:AMY786459 AWU786457:AWU786459 BGQ786457:BGQ786459 BQM786457:BQM786459 CAI786457:CAI786459 CKE786457:CKE786459 CUA786457:CUA786459 DDW786457:DDW786459 DNS786457:DNS786459 DXO786457:DXO786459 EHK786457:EHK786459 ERG786457:ERG786459 FBC786457:FBC786459 FKY786457:FKY786459 FUU786457:FUU786459 GEQ786457:GEQ786459 GOM786457:GOM786459 GYI786457:GYI786459 HIE786457:HIE786459 HSA786457:HSA786459 IBW786457:IBW786459 ILS786457:ILS786459 IVO786457:IVO786459 JFK786457:JFK786459 JPG786457:JPG786459 JZC786457:JZC786459 KIY786457:KIY786459 KSU786457:KSU786459 LCQ786457:LCQ786459 LMM786457:LMM786459 LWI786457:LWI786459 MGE786457:MGE786459 MQA786457:MQA786459 MZW786457:MZW786459 NJS786457:NJS786459 NTO786457:NTO786459 ODK786457:ODK786459 ONG786457:ONG786459 OXC786457:OXC786459 PGY786457:PGY786459 PQU786457:PQU786459 QAQ786457:QAQ786459 QKM786457:QKM786459 QUI786457:QUI786459 REE786457:REE786459 ROA786457:ROA786459 RXW786457:RXW786459 SHS786457:SHS786459 SRO786457:SRO786459 TBK786457:TBK786459 TLG786457:TLG786459 TVC786457:TVC786459 UEY786457:UEY786459 UOU786457:UOU786459 UYQ786457:UYQ786459 VIM786457:VIM786459 VSI786457:VSI786459 WCE786457:WCE786459 WMA786457:WMA786459 WVW786457:WVW786459 D786458:E786459 IZ786458:JA786459 SV786458:SW786459 ACR786458:ACS786459 AMN786458:AMO786459 AWJ786458:AWK786459 BGF786458:BGG786459 BQB786458:BQC786459 BZX786458:BZY786459 CJT786458:CJU786459 CTP786458:CTQ786459 DDL786458:DDM786459 DNH786458:DNI786459 DXD786458:DXE786459 EGZ786458:EHA786459 EQV786458:EQW786459 FAR786458:FAS786459 FKN786458:FKO786459 FUJ786458:FUK786459 GEF786458:GEG786459 GOB786458:GOC786459 GXX786458:GXY786459 HHT786458:HHU786459 HRP786458:HRQ786459 IBL786458:IBM786459 ILH786458:ILI786459 IVD786458:IVE786459 JEZ786458:JFA786459 JOV786458:JOW786459 JYR786458:JYS786459 KIN786458:KIO786459 KSJ786458:KSK786459 LCF786458:LCG786459 LMB786458:LMC786459 LVX786458:LVY786459 MFT786458:MFU786459 MPP786458:MPQ786459 MZL786458:MZM786459 NJH786458:NJI786459 NTD786458:NTE786459 OCZ786458:ODA786459 OMV786458:OMW786459 OWR786458:OWS786459 PGN786458:PGO786459 PQJ786458:PQK786459 QAF786458:QAG786459 QKB786458:QKC786459 QTX786458:QTY786459 RDT786458:RDU786459 RNP786458:RNQ786459 RXL786458:RXM786459 SHH786458:SHI786459 SRD786458:SRE786459 TAZ786458:TBA786459 TKV786458:TKW786459 TUR786458:TUS786459 UEN786458:UEO786459 UOJ786458:UOK786459 UYF786458:UYG786459 VIB786458:VIC786459 VRX786458:VRY786459 WBT786458:WBU786459 WLP786458:WLQ786459 WVL786458:WVM786459 D786460 IZ786460 SV786460 ACR786460 AMN786460 AWJ786460 BGF786460 BQB786460 BZX786460 CJT786460 CTP786460 DDL786460 DNH786460 DXD786460 EGZ786460 EQV786460 FAR786460 FKN786460 FUJ786460 GEF786460 GOB786460 GXX786460 HHT786460 HRP786460 IBL786460 ILH786460 IVD786460 JEZ786460 JOV786460 JYR786460 KIN786460 KSJ786460 LCF786460 LMB786460 LVX786460 MFT786460 MPP786460 MZL786460 NJH786460 NTD786460 OCZ786460 OMV786460 OWR786460 PGN786460 PQJ786460 QAF786460 QKB786460 QTX786460 RDT786460 RNP786460 RXL786460 SHH786460 SRD786460 TAZ786460 TKV786460 TUR786460 UEN786460 UOJ786460 UYF786460 VIB786460 VRX786460 WBT786460 WLP786460 WVL786460 J786464 JF786464 TB786464 ACX786464 AMT786464 AWP786464 BGL786464 BQH786464 CAD786464 CJZ786464 CTV786464 DDR786464 DNN786464 DXJ786464 EHF786464 ERB786464 FAX786464 FKT786464 FUP786464 GEL786464 GOH786464 GYD786464 HHZ786464 HRV786464 IBR786464 ILN786464 IVJ786464 JFF786464 JPB786464 JYX786464 KIT786464 KSP786464 LCL786464 LMH786464 LWD786464 MFZ786464 MPV786464 MZR786464 NJN786464 NTJ786464 ODF786464 ONB786464 OWX786464 PGT786464 PQP786464 QAL786464 QKH786464 QUD786464 RDZ786464 RNV786464 RXR786464 SHN786464 SRJ786464 TBF786464 TLB786464 TUX786464 UET786464 UOP786464 UYL786464 VIH786464 VSD786464 WBZ786464 WLV786464 WVR786464 L851978:L851986 JH851978:JH851986 TD851978:TD851986 ACZ851978:ACZ851986 AMV851978:AMV851986 AWR851978:AWR851986 BGN851978:BGN851986 BQJ851978:BQJ851986 CAF851978:CAF851986 CKB851978:CKB851986 CTX851978:CTX851986 DDT851978:DDT851986 DNP851978:DNP851986 DXL851978:DXL851986 EHH851978:EHH851986 ERD851978:ERD851986 FAZ851978:FAZ851986 FKV851978:FKV851986 FUR851978:FUR851986 GEN851978:GEN851986 GOJ851978:GOJ851986 GYF851978:GYF851986 HIB851978:HIB851986 HRX851978:HRX851986 IBT851978:IBT851986 ILP851978:ILP851986 IVL851978:IVL851986 JFH851978:JFH851986 JPD851978:JPD851986 JYZ851978:JYZ851986 KIV851978:KIV851986 KSR851978:KSR851986 LCN851978:LCN851986 LMJ851978:LMJ851986 LWF851978:LWF851986 MGB851978:MGB851986 MPX851978:MPX851986 MZT851978:MZT851986 NJP851978:NJP851986 NTL851978:NTL851986 ODH851978:ODH851986 OND851978:OND851986 OWZ851978:OWZ851986 PGV851978:PGV851986 PQR851978:PQR851986 QAN851978:QAN851986 QKJ851978:QKJ851986 QUF851978:QUF851986 REB851978:REB851986 RNX851978:RNX851986 RXT851978:RXT851986 SHP851978:SHP851986 SRL851978:SRL851986 TBH851978:TBH851986 TLD851978:TLD851986 TUZ851978:TUZ851986 UEV851978:UEV851986 UOR851978:UOR851986 UYN851978:UYN851986 VIJ851978:VIJ851986 VSF851978:VSF851986 WCB851978:WCB851986 WLX851978:WLX851986 WVT851978:WVT851986 J851990 JF851990 TB851990 ACX851990 AMT851990 AWP851990 BGL851990 BQH851990 CAD851990 CJZ851990 CTV851990 DDR851990 DNN851990 DXJ851990 EHF851990 ERB851990 FAX851990 FKT851990 FUP851990 GEL851990 GOH851990 GYD851990 HHZ851990 HRV851990 IBR851990 ILN851990 IVJ851990 JFF851990 JPB851990 JYX851990 KIT851990 KSP851990 LCL851990 LMH851990 LWD851990 MFZ851990 MPV851990 MZR851990 NJN851990 NTJ851990 ODF851990 ONB851990 OWX851990 PGT851990 PQP851990 QAL851990 QKH851990 QUD851990 RDZ851990 RNV851990 RXR851990 SHN851990 SRJ851990 TBF851990 TLB851990 TUX851990 UET851990 UOP851990 UYL851990 VIH851990 VSD851990 WBZ851990 WLV851990 WVR851990 J851992:J851994 JF851992:JF851994 TB851992:TB851994 ACX851992:ACX851994 AMT851992:AMT851994 AWP851992:AWP851994 BGL851992:BGL851994 BQH851992:BQH851994 CAD851992:CAD851994 CJZ851992:CJZ851994 CTV851992:CTV851994 DDR851992:DDR851994 DNN851992:DNN851994 DXJ851992:DXJ851994 EHF851992:EHF851994 ERB851992:ERB851994 FAX851992:FAX851994 FKT851992:FKT851994 FUP851992:FUP851994 GEL851992:GEL851994 GOH851992:GOH851994 GYD851992:GYD851994 HHZ851992:HHZ851994 HRV851992:HRV851994 IBR851992:IBR851994 ILN851992:ILN851994 IVJ851992:IVJ851994 JFF851992:JFF851994 JPB851992:JPB851994 JYX851992:JYX851994 KIT851992:KIT851994 KSP851992:KSP851994 LCL851992:LCL851994 LMH851992:LMH851994 LWD851992:LWD851994 MFZ851992:MFZ851994 MPV851992:MPV851994 MZR851992:MZR851994 NJN851992:NJN851994 NTJ851992:NTJ851994 ODF851992:ODF851994 ONB851992:ONB851994 OWX851992:OWX851994 PGT851992:PGT851994 PQP851992:PQP851994 QAL851992:QAL851994 QKH851992:QKH851994 QUD851992:QUD851994 RDZ851992:RDZ851994 RNV851992:RNV851994 RXR851992:RXR851994 SHN851992:SHN851994 SRJ851992:SRJ851994 TBF851992:TBF851994 TLB851992:TLB851994 TUX851992:TUX851994 UET851992:UET851994 UOP851992:UOP851994 UYL851992:UYL851994 VIH851992:VIH851994 VSD851992:VSD851994 WBZ851992:WBZ851994 WLV851992:WLV851994 WVR851992:WVR851994 O851993:O851995 JK851993:JK851995 TG851993:TG851995 ADC851993:ADC851995 AMY851993:AMY851995 AWU851993:AWU851995 BGQ851993:BGQ851995 BQM851993:BQM851995 CAI851993:CAI851995 CKE851993:CKE851995 CUA851993:CUA851995 DDW851993:DDW851995 DNS851993:DNS851995 DXO851993:DXO851995 EHK851993:EHK851995 ERG851993:ERG851995 FBC851993:FBC851995 FKY851993:FKY851995 FUU851993:FUU851995 GEQ851993:GEQ851995 GOM851993:GOM851995 GYI851993:GYI851995 HIE851993:HIE851995 HSA851993:HSA851995 IBW851993:IBW851995 ILS851993:ILS851995 IVO851993:IVO851995 JFK851993:JFK851995 JPG851993:JPG851995 JZC851993:JZC851995 KIY851993:KIY851995 KSU851993:KSU851995 LCQ851993:LCQ851995 LMM851993:LMM851995 LWI851993:LWI851995 MGE851993:MGE851995 MQA851993:MQA851995 MZW851993:MZW851995 NJS851993:NJS851995 NTO851993:NTO851995 ODK851993:ODK851995 ONG851993:ONG851995 OXC851993:OXC851995 PGY851993:PGY851995 PQU851993:PQU851995 QAQ851993:QAQ851995 QKM851993:QKM851995 QUI851993:QUI851995 REE851993:REE851995 ROA851993:ROA851995 RXW851993:RXW851995 SHS851993:SHS851995 SRO851993:SRO851995 TBK851993:TBK851995 TLG851993:TLG851995 TVC851993:TVC851995 UEY851993:UEY851995 UOU851993:UOU851995 UYQ851993:UYQ851995 VIM851993:VIM851995 VSI851993:VSI851995 WCE851993:WCE851995 WMA851993:WMA851995 WVW851993:WVW851995 D851994:E851995 IZ851994:JA851995 SV851994:SW851995 ACR851994:ACS851995 AMN851994:AMO851995 AWJ851994:AWK851995 BGF851994:BGG851995 BQB851994:BQC851995 BZX851994:BZY851995 CJT851994:CJU851995 CTP851994:CTQ851995 DDL851994:DDM851995 DNH851994:DNI851995 DXD851994:DXE851995 EGZ851994:EHA851995 EQV851994:EQW851995 FAR851994:FAS851995 FKN851994:FKO851995 FUJ851994:FUK851995 GEF851994:GEG851995 GOB851994:GOC851995 GXX851994:GXY851995 HHT851994:HHU851995 HRP851994:HRQ851995 IBL851994:IBM851995 ILH851994:ILI851995 IVD851994:IVE851995 JEZ851994:JFA851995 JOV851994:JOW851995 JYR851994:JYS851995 KIN851994:KIO851995 KSJ851994:KSK851995 LCF851994:LCG851995 LMB851994:LMC851995 LVX851994:LVY851995 MFT851994:MFU851995 MPP851994:MPQ851995 MZL851994:MZM851995 NJH851994:NJI851995 NTD851994:NTE851995 OCZ851994:ODA851995 OMV851994:OMW851995 OWR851994:OWS851995 PGN851994:PGO851995 PQJ851994:PQK851995 QAF851994:QAG851995 QKB851994:QKC851995 QTX851994:QTY851995 RDT851994:RDU851995 RNP851994:RNQ851995 RXL851994:RXM851995 SHH851994:SHI851995 SRD851994:SRE851995 TAZ851994:TBA851995 TKV851994:TKW851995 TUR851994:TUS851995 UEN851994:UEO851995 UOJ851994:UOK851995 UYF851994:UYG851995 VIB851994:VIC851995 VRX851994:VRY851995 WBT851994:WBU851995 WLP851994:WLQ851995 WVL851994:WVM851995 D851996 IZ851996 SV851996 ACR851996 AMN851996 AWJ851996 BGF851996 BQB851996 BZX851996 CJT851996 CTP851996 DDL851996 DNH851996 DXD851996 EGZ851996 EQV851996 FAR851996 FKN851996 FUJ851996 GEF851996 GOB851996 GXX851996 HHT851996 HRP851996 IBL851996 ILH851996 IVD851996 JEZ851996 JOV851996 JYR851996 KIN851996 KSJ851996 LCF851996 LMB851996 LVX851996 MFT851996 MPP851996 MZL851996 NJH851996 NTD851996 OCZ851996 OMV851996 OWR851996 PGN851996 PQJ851996 QAF851996 QKB851996 QTX851996 RDT851996 RNP851996 RXL851996 SHH851996 SRD851996 TAZ851996 TKV851996 TUR851996 UEN851996 UOJ851996 UYF851996 VIB851996 VRX851996 WBT851996 WLP851996 WVL851996 J852000 JF852000 TB852000 ACX852000 AMT852000 AWP852000 BGL852000 BQH852000 CAD852000 CJZ852000 CTV852000 DDR852000 DNN852000 DXJ852000 EHF852000 ERB852000 FAX852000 FKT852000 FUP852000 GEL852000 GOH852000 GYD852000 HHZ852000 HRV852000 IBR852000 ILN852000 IVJ852000 JFF852000 JPB852000 JYX852000 KIT852000 KSP852000 LCL852000 LMH852000 LWD852000 MFZ852000 MPV852000 MZR852000 NJN852000 NTJ852000 ODF852000 ONB852000 OWX852000 PGT852000 PQP852000 QAL852000 QKH852000 QUD852000 RDZ852000 RNV852000 RXR852000 SHN852000 SRJ852000 TBF852000 TLB852000 TUX852000 UET852000 UOP852000 UYL852000 VIH852000 VSD852000 WBZ852000 WLV852000 WVR852000 L917514:L917522 JH917514:JH917522 TD917514:TD917522 ACZ917514:ACZ917522 AMV917514:AMV917522 AWR917514:AWR917522 BGN917514:BGN917522 BQJ917514:BQJ917522 CAF917514:CAF917522 CKB917514:CKB917522 CTX917514:CTX917522 DDT917514:DDT917522 DNP917514:DNP917522 DXL917514:DXL917522 EHH917514:EHH917522 ERD917514:ERD917522 FAZ917514:FAZ917522 FKV917514:FKV917522 FUR917514:FUR917522 GEN917514:GEN917522 GOJ917514:GOJ917522 GYF917514:GYF917522 HIB917514:HIB917522 HRX917514:HRX917522 IBT917514:IBT917522 ILP917514:ILP917522 IVL917514:IVL917522 JFH917514:JFH917522 JPD917514:JPD917522 JYZ917514:JYZ917522 KIV917514:KIV917522 KSR917514:KSR917522 LCN917514:LCN917522 LMJ917514:LMJ917522 LWF917514:LWF917522 MGB917514:MGB917522 MPX917514:MPX917522 MZT917514:MZT917522 NJP917514:NJP917522 NTL917514:NTL917522 ODH917514:ODH917522 OND917514:OND917522 OWZ917514:OWZ917522 PGV917514:PGV917522 PQR917514:PQR917522 QAN917514:QAN917522 QKJ917514:QKJ917522 QUF917514:QUF917522 REB917514:REB917522 RNX917514:RNX917522 RXT917514:RXT917522 SHP917514:SHP917522 SRL917514:SRL917522 TBH917514:TBH917522 TLD917514:TLD917522 TUZ917514:TUZ917522 UEV917514:UEV917522 UOR917514:UOR917522 UYN917514:UYN917522 VIJ917514:VIJ917522 VSF917514:VSF917522 WCB917514:WCB917522 WLX917514:WLX917522 WVT917514:WVT917522 J917526 JF917526 TB917526 ACX917526 AMT917526 AWP917526 BGL917526 BQH917526 CAD917526 CJZ917526 CTV917526 DDR917526 DNN917526 DXJ917526 EHF917526 ERB917526 FAX917526 FKT917526 FUP917526 GEL917526 GOH917526 GYD917526 HHZ917526 HRV917526 IBR917526 ILN917526 IVJ917526 JFF917526 JPB917526 JYX917526 KIT917526 KSP917526 LCL917526 LMH917526 LWD917526 MFZ917526 MPV917526 MZR917526 NJN917526 NTJ917526 ODF917526 ONB917526 OWX917526 PGT917526 PQP917526 QAL917526 QKH917526 QUD917526 RDZ917526 RNV917526 RXR917526 SHN917526 SRJ917526 TBF917526 TLB917526 TUX917526 UET917526 UOP917526 UYL917526 VIH917526 VSD917526 WBZ917526 WLV917526 WVR917526 J917528:J917530 JF917528:JF917530 TB917528:TB917530 ACX917528:ACX917530 AMT917528:AMT917530 AWP917528:AWP917530 BGL917528:BGL917530 BQH917528:BQH917530 CAD917528:CAD917530 CJZ917528:CJZ917530 CTV917528:CTV917530 DDR917528:DDR917530 DNN917528:DNN917530 DXJ917528:DXJ917530 EHF917528:EHF917530 ERB917528:ERB917530 FAX917528:FAX917530 FKT917528:FKT917530 FUP917528:FUP917530 GEL917528:GEL917530 GOH917528:GOH917530 GYD917528:GYD917530 HHZ917528:HHZ917530 HRV917528:HRV917530 IBR917528:IBR917530 ILN917528:ILN917530 IVJ917528:IVJ917530 JFF917528:JFF917530 JPB917528:JPB917530 JYX917528:JYX917530 KIT917528:KIT917530 KSP917528:KSP917530 LCL917528:LCL917530 LMH917528:LMH917530 LWD917528:LWD917530 MFZ917528:MFZ917530 MPV917528:MPV917530 MZR917528:MZR917530 NJN917528:NJN917530 NTJ917528:NTJ917530 ODF917528:ODF917530 ONB917528:ONB917530 OWX917528:OWX917530 PGT917528:PGT917530 PQP917528:PQP917530 QAL917528:QAL917530 QKH917528:QKH917530 QUD917528:QUD917530 RDZ917528:RDZ917530 RNV917528:RNV917530 RXR917528:RXR917530 SHN917528:SHN917530 SRJ917528:SRJ917530 TBF917528:TBF917530 TLB917528:TLB917530 TUX917528:TUX917530 UET917528:UET917530 UOP917528:UOP917530 UYL917528:UYL917530 VIH917528:VIH917530 VSD917528:VSD917530 WBZ917528:WBZ917530 WLV917528:WLV917530 WVR917528:WVR917530 O917529:O917531 JK917529:JK917531 TG917529:TG917531 ADC917529:ADC917531 AMY917529:AMY917531 AWU917529:AWU917531 BGQ917529:BGQ917531 BQM917529:BQM917531 CAI917529:CAI917531 CKE917529:CKE917531 CUA917529:CUA917531 DDW917529:DDW917531 DNS917529:DNS917531 DXO917529:DXO917531 EHK917529:EHK917531 ERG917529:ERG917531 FBC917529:FBC917531 FKY917529:FKY917531 FUU917529:FUU917531 GEQ917529:GEQ917531 GOM917529:GOM917531 GYI917529:GYI917531 HIE917529:HIE917531 HSA917529:HSA917531 IBW917529:IBW917531 ILS917529:ILS917531 IVO917529:IVO917531 JFK917529:JFK917531 JPG917529:JPG917531 JZC917529:JZC917531 KIY917529:KIY917531 KSU917529:KSU917531 LCQ917529:LCQ917531 LMM917529:LMM917531 LWI917529:LWI917531 MGE917529:MGE917531 MQA917529:MQA917531 MZW917529:MZW917531 NJS917529:NJS917531 NTO917529:NTO917531 ODK917529:ODK917531 ONG917529:ONG917531 OXC917529:OXC917531 PGY917529:PGY917531 PQU917529:PQU917531 QAQ917529:QAQ917531 QKM917529:QKM917531 QUI917529:QUI917531 REE917529:REE917531 ROA917529:ROA917531 RXW917529:RXW917531 SHS917529:SHS917531 SRO917529:SRO917531 TBK917529:TBK917531 TLG917529:TLG917531 TVC917529:TVC917531 UEY917529:UEY917531 UOU917529:UOU917531 UYQ917529:UYQ917531 VIM917529:VIM917531 VSI917529:VSI917531 WCE917529:WCE917531 WMA917529:WMA917531 WVW917529:WVW917531 D917530:E917531 IZ917530:JA917531 SV917530:SW917531 ACR917530:ACS917531 AMN917530:AMO917531 AWJ917530:AWK917531 BGF917530:BGG917531 BQB917530:BQC917531 BZX917530:BZY917531 CJT917530:CJU917531 CTP917530:CTQ917531 DDL917530:DDM917531 DNH917530:DNI917531 DXD917530:DXE917531 EGZ917530:EHA917531 EQV917530:EQW917531 FAR917530:FAS917531 FKN917530:FKO917531 FUJ917530:FUK917531 GEF917530:GEG917531 GOB917530:GOC917531 GXX917530:GXY917531 HHT917530:HHU917531 HRP917530:HRQ917531 IBL917530:IBM917531 ILH917530:ILI917531 IVD917530:IVE917531 JEZ917530:JFA917531 JOV917530:JOW917531 JYR917530:JYS917531 KIN917530:KIO917531 KSJ917530:KSK917531 LCF917530:LCG917531 LMB917530:LMC917531 LVX917530:LVY917531 MFT917530:MFU917531 MPP917530:MPQ917531 MZL917530:MZM917531 NJH917530:NJI917531 NTD917530:NTE917531 OCZ917530:ODA917531 OMV917530:OMW917531 OWR917530:OWS917531 PGN917530:PGO917531 PQJ917530:PQK917531 QAF917530:QAG917531 QKB917530:QKC917531 QTX917530:QTY917531 RDT917530:RDU917531 RNP917530:RNQ917531 RXL917530:RXM917531 SHH917530:SHI917531 SRD917530:SRE917531 TAZ917530:TBA917531 TKV917530:TKW917531 TUR917530:TUS917531 UEN917530:UEO917531 UOJ917530:UOK917531 UYF917530:UYG917531 VIB917530:VIC917531 VRX917530:VRY917531 WBT917530:WBU917531 WLP917530:WLQ917531 WVL917530:WVM917531 D917532 IZ917532 SV917532 ACR917532 AMN917532 AWJ917532 BGF917532 BQB917532 BZX917532 CJT917532 CTP917532 DDL917532 DNH917532 DXD917532 EGZ917532 EQV917532 FAR917532 FKN917532 FUJ917532 GEF917532 GOB917532 GXX917532 HHT917532 HRP917532 IBL917532 ILH917532 IVD917532 JEZ917532 JOV917532 JYR917532 KIN917532 KSJ917532 LCF917532 LMB917532 LVX917532 MFT917532 MPP917532 MZL917532 NJH917532 NTD917532 OCZ917532 OMV917532 OWR917532 PGN917532 PQJ917532 QAF917532 QKB917532 QTX917532 RDT917532 RNP917532 RXL917532 SHH917532 SRD917532 TAZ917532 TKV917532 TUR917532 UEN917532 UOJ917532 UYF917532 VIB917532 VRX917532 WBT917532 WLP917532 WVL917532 J917536 JF917536 TB917536 ACX917536 AMT917536 AWP917536 BGL917536 BQH917536 CAD917536 CJZ917536 CTV917536 DDR917536 DNN917536 DXJ917536 EHF917536 ERB917536 FAX917536 FKT917536 FUP917536 GEL917536 GOH917536 GYD917536 HHZ917536 HRV917536 IBR917536 ILN917536 IVJ917536 JFF917536 JPB917536 JYX917536 KIT917536 KSP917536 LCL917536 LMH917536 LWD917536 MFZ917536 MPV917536 MZR917536 NJN917536 NTJ917536 ODF917536 ONB917536 OWX917536 PGT917536 PQP917536 QAL917536 QKH917536 QUD917536 RDZ917536 RNV917536 RXR917536 SHN917536 SRJ917536 TBF917536 TLB917536 TUX917536 UET917536 UOP917536 UYL917536 VIH917536 VSD917536 WBZ917536 WLV917536 WVR917536 L983050:L983058 JH983050:JH983058 TD983050:TD983058 ACZ983050:ACZ983058 AMV983050:AMV983058 AWR983050:AWR983058 BGN983050:BGN983058 BQJ983050:BQJ983058 CAF983050:CAF983058 CKB983050:CKB983058 CTX983050:CTX983058 DDT983050:DDT983058 DNP983050:DNP983058 DXL983050:DXL983058 EHH983050:EHH983058 ERD983050:ERD983058 FAZ983050:FAZ983058 FKV983050:FKV983058 FUR983050:FUR983058 GEN983050:GEN983058 GOJ983050:GOJ983058 GYF983050:GYF983058 HIB983050:HIB983058 HRX983050:HRX983058 IBT983050:IBT983058 ILP983050:ILP983058 IVL983050:IVL983058 JFH983050:JFH983058 JPD983050:JPD983058 JYZ983050:JYZ983058 KIV983050:KIV983058 KSR983050:KSR983058 LCN983050:LCN983058 LMJ983050:LMJ983058 LWF983050:LWF983058 MGB983050:MGB983058 MPX983050:MPX983058 MZT983050:MZT983058 NJP983050:NJP983058 NTL983050:NTL983058 ODH983050:ODH983058 OND983050:OND983058 OWZ983050:OWZ983058 PGV983050:PGV983058 PQR983050:PQR983058 QAN983050:QAN983058 QKJ983050:QKJ983058 QUF983050:QUF983058 REB983050:REB983058 RNX983050:RNX983058 RXT983050:RXT983058 SHP983050:SHP983058 SRL983050:SRL983058 TBH983050:TBH983058 TLD983050:TLD983058 TUZ983050:TUZ983058 UEV983050:UEV983058 UOR983050:UOR983058 UYN983050:UYN983058 VIJ983050:VIJ983058 VSF983050:VSF983058 WCB983050:WCB983058 WLX983050:WLX983058 WVT983050:WVT983058 J983062 JF983062 TB983062 ACX983062 AMT983062 AWP983062 BGL983062 BQH983062 CAD983062 CJZ983062 CTV983062 DDR983062 DNN983062 DXJ983062 EHF983062 ERB983062 FAX983062 FKT983062 FUP983062 GEL983062 GOH983062 GYD983062 HHZ983062 HRV983062 IBR983062 ILN983062 IVJ983062 JFF983062 JPB983062 JYX983062 KIT983062 KSP983062 LCL983062 LMH983062 LWD983062 MFZ983062 MPV983062 MZR983062 NJN983062 NTJ983062 ODF983062 ONB983062 OWX983062 PGT983062 PQP983062 QAL983062 QKH983062 QUD983062 RDZ983062 RNV983062 RXR983062 SHN983062 SRJ983062 TBF983062 TLB983062 TUX983062 UET983062 UOP983062 UYL983062 VIH983062 VSD983062 WBZ983062 WLV983062 WVR983062 J983064:J983066 JF983064:JF983066 TB983064:TB983066 ACX983064:ACX983066 AMT983064:AMT983066 AWP983064:AWP983066 BGL983064:BGL983066 BQH983064:BQH983066 CAD983064:CAD983066 CJZ983064:CJZ983066 CTV983064:CTV983066 DDR983064:DDR983066 DNN983064:DNN983066 DXJ983064:DXJ983066 EHF983064:EHF983066 ERB983064:ERB983066 FAX983064:FAX983066 FKT983064:FKT983066 FUP983064:FUP983066 GEL983064:GEL983066 GOH983064:GOH983066 GYD983064:GYD983066 HHZ983064:HHZ983066 HRV983064:HRV983066 IBR983064:IBR983066 ILN983064:ILN983066 IVJ983064:IVJ983066 JFF983064:JFF983066 JPB983064:JPB983066 JYX983064:JYX983066 KIT983064:KIT983066 KSP983064:KSP983066 LCL983064:LCL983066 LMH983064:LMH983066 LWD983064:LWD983066 MFZ983064:MFZ983066 MPV983064:MPV983066 MZR983064:MZR983066 NJN983064:NJN983066 NTJ983064:NTJ983066 ODF983064:ODF983066 ONB983064:ONB983066 OWX983064:OWX983066 PGT983064:PGT983066 PQP983064:PQP983066 QAL983064:QAL983066 QKH983064:QKH983066 QUD983064:QUD983066 RDZ983064:RDZ983066 RNV983064:RNV983066 RXR983064:RXR983066 SHN983064:SHN983066 SRJ983064:SRJ983066 TBF983064:TBF983066 TLB983064:TLB983066 TUX983064:TUX983066 UET983064:UET983066 UOP983064:UOP983066 UYL983064:UYL983066 VIH983064:VIH983066 VSD983064:VSD983066 WBZ983064:WBZ983066 WLV983064:WLV983066 WVR983064:WVR983066 O983065:O983067 JK983065:JK983067 TG983065:TG983067 ADC983065:ADC983067 AMY983065:AMY983067 AWU983065:AWU983067 BGQ983065:BGQ983067 BQM983065:BQM983067 CAI983065:CAI983067 CKE983065:CKE983067 CUA983065:CUA983067 DDW983065:DDW983067 DNS983065:DNS983067 DXO983065:DXO983067 EHK983065:EHK983067 ERG983065:ERG983067 FBC983065:FBC983067 FKY983065:FKY983067 FUU983065:FUU983067 GEQ983065:GEQ983067 GOM983065:GOM983067 GYI983065:GYI983067 HIE983065:HIE983067 HSA983065:HSA983067 IBW983065:IBW983067 ILS983065:ILS983067 IVO983065:IVO983067 JFK983065:JFK983067 JPG983065:JPG983067 JZC983065:JZC983067 KIY983065:KIY983067 KSU983065:KSU983067 LCQ983065:LCQ983067 LMM983065:LMM983067 LWI983065:LWI983067 MGE983065:MGE983067 MQA983065:MQA983067 MZW983065:MZW983067 NJS983065:NJS983067 NTO983065:NTO983067 ODK983065:ODK983067 ONG983065:ONG983067 OXC983065:OXC983067 PGY983065:PGY983067 PQU983065:PQU983067 QAQ983065:QAQ983067 QKM983065:QKM983067 QUI983065:QUI983067 REE983065:REE983067 ROA983065:ROA983067 RXW983065:RXW983067 SHS983065:SHS983067 SRO983065:SRO983067 TBK983065:TBK983067 TLG983065:TLG983067 TVC983065:TVC983067 UEY983065:UEY983067 UOU983065:UOU983067 UYQ983065:UYQ983067 VIM983065:VIM983067 VSI983065:VSI983067 WCE983065:WCE983067 WMA983065:WMA983067 WVW983065:WVW983067 D983066:E983067 IZ983066:JA983067 SV983066:SW983067 ACR983066:ACS983067 AMN983066:AMO983067 AWJ983066:AWK983067 BGF983066:BGG983067 BQB983066:BQC983067 BZX983066:BZY983067 CJT983066:CJU983067 CTP983066:CTQ983067 DDL983066:DDM983067 DNH983066:DNI983067 DXD983066:DXE983067 EGZ983066:EHA983067 EQV983066:EQW983067 FAR983066:FAS983067 FKN983066:FKO983067 FUJ983066:FUK983067 GEF983066:GEG983067 GOB983066:GOC983067 GXX983066:GXY983067 HHT983066:HHU983067 HRP983066:HRQ983067 IBL983066:IBM983067 ILH983066:ILI983067 IVD983066:IVE983067 JEZ983066:JFA983067 JOV983066:JOW983067 JYR983066:JYS983067 KIN983066:KIO983067 KSJ983066:KSK983067 LCF983066:LCG983067 LMB983066:LMC983067 LVX983066:LVY983067 MFT983066:MFU983067 MPP983066:MPQ983067 MZL983066:MZM983067 NJH983066:NJI983067 NTD983066:NTE983067 OCZ983066:ODA983067 OMV983066:OMW983067 OWR983066:OWS983067 PGN983066:PGO983067 PQJ983066:PQK983067 QAF983066:QAG983067 QKB983066:QKC983067 QTX983066:QTY983067 RDT983066:RDU983067 RNP983066:RNQ983067 RXL983066:RXM983067 SHH983066:SHI983067 SRD983066:SRE983067 TAZ983066:TBA983067 TKV983066:TKW983067 TUR983066:TUS983067 UEN983066:UEO983067 UOJ983066:UOK983067 UYF983066:UYG983067 VIB983066:VIC983067 VRX983066:VRY983067 WBT983066:WBU983067 WLP983066:WLQ983067 WVL983066:WVM983067 D983068 IZ983068 SV983068 ACR983068 AMN983068 AWJ983068 BGF983068 BQB983068 BZX983068 CJT983068 CTP983068 DDL983068 DNH983068 DXD983068 EGZ983068 EQV983068 FAR983068 FKN983068 FUJ983068 GEF983068 GOB983068 GXX983068 HHT983068 HRP983068 IBL983068 ILH983068 IVD983068 JEZ983068 JOV983068 JYR983068 KIN983068 KSJ983068 LCF983068 LMB983068 LVX983068 MFT983068 MPP983068 MZL983068 NJH983068 NTD983068 OCZ983068 OMV983068 OWR983068 PGN983068 PQJ983068 QAF983068 QKB983068 QTX983068 RDT983068 RNP983068 RXL983068 SHH983068 SRD983068 TAZ983068 TKV983068 TUR983068 UEN983068 UOJ983068 UYF983068 VIB983068 VRX983068 WBT983068 WLP983068 WVL983068 J983072 JF983072 TB983072 ACX983072 AMT983072 AWP983072 BGL983072 BQH983072 CAD983072 CJZ983072 CTV983072 DDR983072 DNN983072 DXJ983072 EHF983072 ERB983072 FAX983072 FKT983072 FUP983072 GEL983072 GOH983072 GYD983072 HHZ983072 HRV983072 IBR983072 ILN983072 IVJ983072 JFF983072 JPB983072 JYX983072 KIT983072 KSP983072 LCL983072 LMH983072 LWD983072 MFZ983072 MPV983072 MZR983072 NJN983072 NTJ983072 ODF983072 ONB983072 OWX983072 PGT983072 PQP983072 QAL983072 QKH983072 QUD983072 RDZ983072 RNV983072 RXR983072 SHN983072 SRJ983072 TBF983072 TLB983072 TUX983072 UET983072 UOP983072 UYL983072 VIH983072 VSD983072 WBZ983072 WLV983072 WVR983072" xr:uid="{00000000-0002-0000-0A00-000012000000}">
      <formula1>0</formula1>
    </dataValidation>
    <dataValidation type="whole" operator="greaterThanOrEqual" allowBlank="1" showInputMessage="1" showErrorMessage="1" sqref="J23 JF23 TB23 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N36:N39 J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J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J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J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J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J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J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J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J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J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J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J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J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J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J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xr:uid="{00000000-0002-0000-0A00-000013000000}">
      <formula1>0</formula1>
    </dataValidation>
    <dataValidation type="textLength" operator="equal" allowBlank="1" showInputMessage="1" showErrorMessage="1" promptTitle="CTD Number" prompt="This cell will only accept a CTD number of exactly 9 digits.  Enter 000 at the end of the charter number to fill the places of a school number." sqref="JH1 TD1 ACZ1 AMV1 AWR1 BGN1 BQJ1 CAF1 CKB1 CTX1 DDT1 DNP1 DXL1 EHH1 ERD1 FAZ1 FKV1 FUR1 GEN1 GOJ1 GYF1 HIB1 HRX1 IBT1 ILP1 IVL1 JFH1 JPD1 JYZ1 KIV1 KSR1 LCN1 LMJ1 LWF1 MGB1 MPX1 MZT1 NJP1 NTL1 ODH1 OND1 OWZ1 PGV1 PQR1 QAN1 QKJ1 QUF1 REB1 RNX1 RXT1 SHP1 SRL1 TBH1 TLD1 TUZ1 UEV1 UOR1 UYN1 VIJ1 VSF1 WCB1 WLX1 WVT1 L65537 JH65537 TD65537 ACZ65537 AMV65537 AWR65537 BGN65537 BQJ65537 CAF65537 CKB65537 CTX65537 DDT65537 DNP65537 DXL65537 EHH65537 ERD65537 FAZ65537 FKV65537 FUR65537 GEN65537 GOJ65537 GYF65537 HIB65537 HRX65537 IBT65537 ILP65537 IVL65537 JFH65537 JPD65537 JYZ65537 KIV65537 KSR65537 LCN65537 LMJ65537 LWF65537 MGB65537 MPX65537 MZT65537 NJP65537 NTL65537 ODH65537 OND65537 OWZ65537 PGV65537 PQR65537 QAN65537 QKJ65537 QUF65537 REB65537 RNX65537 RXT65537 SHP65537 SRL65537 TBH65537 TLD65537 TUZ65537 UEV65537 UOR65537 UYN65537 VIJ65537 VSF65537 WCB65537 WLX65537 WVT65537 L131073 JH131073 TD131073 ACZ131073 AMV131073 AWR131073 BGN131073 BQJ131073 CAF131073 CKB131073 CTX131073 DDT131073 DNP131073 DXL131073 EHH131073 ERD131073 FAZ131073 FKV131073 FUR131073 GEN131073 GOJ131073 GYF131073 HIB131073 HRX131073 IBT131073 ILP131073 IVL131073 JFH131073 JPD131073 JYZ131073 KIV131073 KSR131073 LCN131073 LMJ131073 LWF131073 MGB131073 MPX131073 MZT131073 NJP131073 NTL131073 ODH131073 OND131073 OWZ131073 PGV131073 PQR131073 QAN131073 QKJ131073 QUF131073 REB131073 RNX131073 RXT131073 SHP131073 SRL131073 TBH131073 TLD131073 TUZ131073 UEV131073 UOR131073 UYN131073 VIJ131073 VSF131073 WCB131073 WLX131073 WVT131073 L196609 JH196609 TD196609 ACZ196609 AMV196609 AWR196609 BGN196609 BQJ196609 CAF196609 CKB196609 CTX196609 DDT196609 DNP196609 DXL196609 EHH196609 ERD196609 FAZ196609 FKV196609 FUR196609 GEN196609 GOJ196609 GYF196609 HIB196609 HRX196609 IBT196609 ILP196609 IVL196609 JFH196609 JPD196609 JYZ196609 KIV196609 KSR196609 LCN196609 LMJ196609 LWF196609 MGB196609 MPX196609 MZT196609 NJP196609 NTL196609 ODH196609 OND196609 OWZ196609 PGV196609 PQR196609 QAN196609 QKJ196609 QUF196609 REB196609 RNX196609 RXT196609 SHP196609 SRL196609 TBH196609 TLD196609 TUZ196609 UEV196609 UOR196609 UYN196609 VIJ196609 VSF196609 WCB196609 WLX196609 WVT196609 L262145 JH262145 TD262145 ACZ262145 AMV262145 AWR262145 BGN262145 BQJ262145 CAF262145 CKB262145 CTX262145 DDT262145 DNP262145 DXL262145 EHH262145 ERD262145 FAZ262145 FKV262145 FUR262145 GEN262145 GOJ262145 GYF262145 HIB262145 HRX262145 IBT262145 ILP262145 IVL262145 JFH262145 JPD262145 JYZ262145 KIV262145 KSR262145 LCN262145 LMJ262145 LWF262145 MGB262145 MPX262145 MZT262145 NJP262145 NTL262145 ODH262145 OND262145 OWZ262145 PGV262145 PQR262145 QAN262145 QKJ262145 QUF262145 REB262145 RNX262145 RXT262145 SHP262145 SRL262145 TBH262145 TLD262145 TUZ262145 UEV262145 UOR262145 UYN262145 VIJ262145 VSF262145 WCB262145 WLX262145 WVT262145 L327681 JH327681 TD327681 ACZ327681 AMV327681 AWR327681 BGN327681 BQJ327681 CAF327681 CKB327681 CTX327681 DDT327681 DNP327681 DXL327681 EHH327681 ERD327681 FAZ327681 FKV327681 FUR327681 GEN327681 GOJ327681 GYF327681 HIB327681 HRX327681 IBT327681 ILP327681 IVL327681 JFH327681 JPD327681 JYZ327681 KIV327681 KSR327681 LCN327681 LMJ327681 LWF327681 MGB327681 MPX327681 MZT327681 NJP327681 NTL327681 ODH327681 OND327681 OWZ327681 PGV327681 PQR327681 QAN327681 QKJ327681 QUF327681 REB327681 RNX327681 RXT327681 SHP327681 SRL327681 TBH327681 TLD327681 TUZ327681 UEV327681 UOR327681 UYN327681 VIJ327681 VSF327681 WCB327681 WLX327681 WVT327681 L393217 JH393217 TD393217 ACZ393217 AMV393217 AWR393217 BGN393217 BQJ393217 CAF393217 CKB393217 CTX393217 DDT393217 DNP393217 DXL393217 EHH393217 ERD393217 FAZ393217 FKV393217 FUR393217 GEN393217 GOJ393217 GYF393217 HIB393217 HRX393217 IBT393217 ILP393217 IVL393217 JFH393217 JPD393217 JYZ393217 KIV393217 KSR393217 LCN393217 LMJ393217 LWF393217 MGB393217 MPX393217 MZT393217 NJP393217 NTL393217 ODH393217 OND393217 OWZ393217 PGV393217 PQR393217 QAN393217 QKJ393217 QUF393217 REB393217 RNX393217 RXT393217 SHP393217 SRL393217 TBH393217 TLD393217 TUZ393217 UEV393217 UOR393217 UYN393217 VIJ393217 VSF393217 WCB393217 WLX393217 WVT393217 L458753 JH458753 TD458753 ACZ458753 AMV458753 AWR458753 BGN458753 BQJ458753 CAF458753 CKB458753 CTX458753 DDT458753 DNP458753 DXL458753 EHH458753 ERD458753 FAZ458753 FKV458753 FUR458753 GEN458753 GOJ458753 GYF458753 HIB458753 HRX458753 IBT458753 ILP458753 IVL458753 JFH458753 JPD458753 JYZ458753 KIV458753 KSR458753 LCN458753 LMJ458753 LWF458753 MGB458753 MPX458753 MZT458753 NJP458753 NTL458753 ODH458753 OND458753 OWZ458753 PGV458753 PQR458753 QAN458753 QKJ458753 QUF458753 REB458753 RNX458753 RXT458753 SHP458753 SRL458753 TBH458753 TLD458753 TUZ458753 UEV458753 UOR458753 UYN458753 VIJ458753 VSF458753 WCB458753 WLX458753 WVT458753 L524289 JH524289 TD524289 ACZ524289 AMV524289 AWR524289 BGN524289 BQJ524289 CAF524289 CKB524289 CTX524289 DDT524289 DNP524289 DXL524289 EHH524289 ERD524289 FAZ524289 FKV524289 FUR524289 GEN524289 GOJ524289 GYF524289 HIB524289 HRX524289 IBT524289 ILP524289 IVL524289 JFH524289 JPD524289 JYZ524289 KIV524289 KSR524289 LCN524289 LMJ524289 LWF524289 MGB524289 MPX524289 MZT524289 NJP524289 NTL524289 ODH524289 OND524289 OWZ524289 PGV524289 PQR524289 QAN524289 QKJ524289 QUF524289 REB524289 RNX524289 RXT524289 SHP524289 SRL524289 TBH524289 TLD524289 TUZ524289 UEV524289 UOR524289 UYN524289 VIJ524289 VSF524289 WCB524289 WLX524289 WVT524289 L589825 JH589825 TD589825 ACZ589825 AMV589825 AWR589825 BGN589825 BQJ589825 CAF589825 CKB589825 CTX589825 DDT589825 DNP589825 DXL589825 EHH589825 ERD589825 FAZ589825 FKV589825 FUR589825 GEN589825 GOJ589825 GYF589825 HIB589825 HRX589825 IBT589825 ILP589825 IVL589825 JFH589825 JPD589825 JYZ589825 KIV589825 KSR589825 LCN589825 LMJ589825 LWF589825 MGB589825 MPX589825 MZT589825 NJP589825 NTL589825 ODH589825 OND589825 OWZ589825 PGV589825 PQR589825 QAN589825 QKJ589825 QUF589825 REB589825 RNX589825 RXT589825 SHP589825 SRL589825 TBH589825 TLD589825 TUZ589825 UEV589825 UOR589825 UYN589825 VIJ589825 VSF589825 WCB589825 WLX589825 WVT589825 L655361 JH655361 TD655361 ACZ655361 AMV655361 AWR655361 BGN655361 BQJ655361 CAF655361 CKB655361 CTX655361 DDT655361 DNP655361 DXL655361 EHH655361 ERD655361 FAZ655361 FKV655361 FUR655361 GEN655361 GOJ655361 GYF655361 HIB655361 HRX655361 IBT655361 ILP655361 IVL655361 JFH655361 JPD655361 JYZ655361 KIV655361 KSR655361 LCN655361 LMJ655361 LWF655361 MGB655361 MPX655361 MZT655361 NJP655361 NTL655361 ODH655361 OND655361 OWZ655361 PGV655361 PQR655361 QAN655361 QKJ655361 QUF655361 REB655361 RNX655361 RXT655361 SHP655361 SRL655361 TBH655361 TLD655361 TUZ655361 UEV655361 UOR655361 UYN655361 VIJ655361 VSF655361 WCB655361 WLX655361 WVT655361 L720897 JH720897 TD720897 ACZ720897 AMV720897 AWR720897 BGN720897 BQJ720897 CAF720897 CKB720897 CTX720897 DDT720897 DNP720897 DXL720897 EHH720897 ERD720897 FAZ720897 FKV720897 FUR720897 GEN720897 GOJ720897 GYF720897 HIB720897 HRX720897 IBT720897 ILP720897 IVL720897 JFH720897 JPD720897 JYZ720897 KIV720897 KSR720897 LCN720897 LMJ720897 LWF720897 MGB720897 MPX720897 MZT720897 NJP720897 NTL720897 ODH720897 OND720897 OWZ720897 PGV720897 PQR720897 QAN720897 QKJ720897 QUF720897 REB720897 RNX720897 RXT720897 SHP720897 SRL720897 TBH720897 TLD720897 TUZ720897 UEV720897 UOR720897 UYN720897 VIJ720897 VSF720897 WCB720897 WLX720897 WVT720897 L786433 JH786433 TD786433 ACZ786433 AMV786433 AWR786433 BGN786433 BQJ786433 CAF786433 CKB786433 CTX786433 DDT786433 DNP786433 DXL786433 EHH786433 ERD786433 FAZ786433 FKV786433 FUR786433 GEN786433 GOJ786433 GYF786433 HIB786433 HRX786433 IBT786433 ILP786433 IVL786433 JFH786433 JPD786433 JYZ786433 KIV786433 KSR786433 LCN786433 LMJ786433 LWF786433 MGB786433 MPX786433 MZT786433 NJP786433 NTL786433 ODH786433 OND786433 OWZ786433 PGV786433 PQR786433 QAN786433 QKJ786433 QUF786433 REB786433 RNX786433 RXT786433 SHP786433 SRL786433 TBH786433 TLD786433 TUZ786433 UEV786433 UOR786433 UYN786433 VIJ786433 VSF786433 WCB786433 WLX786433 WVT786433 L851969 JH851969 TD851969 ACZ851969 AMV851969 AWR851969 BGN851969 BQJ851969 CAF851969 CKB851969 CTX851969 DDT851969 DNP851969 DXL851969 EHH851969 ERD851969 FAZ851969 FKV851969 FUR851969 GEN851969 GOJ851969 GYF851969 HIB851969 HRX851969 IBT851969 ILP851969 IVL851969 JFH851969 JPD851969 JYZ851969 KIV851969 KSR851969 LCN851969 LMJ851969 LWF851969 MGB851969 MPX851969 MZT851969 NJP851969 NTL851969 ODH851969 OND851969 OWZ851969 PGV851969 PQR851969 QAN851969 QKJ851969 QUF851969 REB851969 RNX851969 RXT851969 SHP851969 SRL851969 TBH851969 TLD851969 TUZ851969 UEV851969 UOR851969 UYN851969 VIJ851969 VSF851969 WCB851969 WLX851969 WVT851969 L917505 JH917505 TD917505 ACZ917505 AMV917505 AWR917505 BGN917505 BQJ917505 CAF917505 CKB917505 CTX917505 DDT917505 DNP917505 DXL917505 EHH917505 ERD917505 FAZ917505 FKV917505 FUR917505 GEN917505 GOJ917505 GYF917505 HIB917505 HRX917505 IBT917505 ILP917505 IVL917505 JFH917505 JPD917505 JYZ917505 KIV917505 KSR917505 LCN917505 LMJ917505 LWF917505 MGB917505 MPX917505 MZT917505 NJP917505 NTL917505 ODH917505 OND917505 OWZ917505 PGV917505 PQR917505 QAN917505 QKJ917505 QUF917505 REB917505 RNX917505 RXT917505 SHP917505 SRL917505 TBH917505 TLD917505 TUZ917505 UEV917505 UOR917505 UYN917505 VIJ917505 VSF917505 WCB917505 WLX917505 WVT917505 L983041 JH983041 TD983041 ACZ983041 AMV983041 AWR983041 BGN983041 BQJ983041 CAF983041 CKB983041 CTX983041 DDT983041 DNP983041 DXL983041 EHH983041 ERD983041 FAZ983041 FKV983041 FUR983041 GEN983041 GOJ983041 GYF983041 HIB983041 HRX983041 IBT983041 ILP983041 IVL983041 JFH983041 JPD983041 JYZ983041 KIV983041 KSR983041 LCN983041 LMJ983041 LWF983041 MGB983041 MPX983041 MZT983041 NJP983041 NTL983041 ODH983041 OND983041 OWZ983041 PGV983041 PQR983041 QAN983041 QKJ983041 QUF983041 REB983041 RNX983041 RXT983041 SHP983041 SRL983041 TBH983041 TLD983041 TUZ983041 UEV983041 UOR983041 UYN983041 VIJ983041 VSF983041 WCB983041 WLX983041 WVT983041" xr:uid="{00000000-0002-0000-0A00-000014000000}">
      <formula1>9</formula1>
    </dataValidation>
    <dataValidation operator="equal" allowBlank="1" showInputMessage="1" showErrorMessage="1" promptTitle="CTD Number" prompt="This cell will only accept a CTD number of exactly 9 digits.  Enter 000 at the end of the charter number to fill the places of a school number." sqref="L1" xr:uid="{00000000-0002-0000-0A00-000015000000}"/>
    <dataValidation type="whole" allowBlank="1" showInputMessage="1" showErrorMessage="1" errorTitle="Input error" error="The amount entered should be rounded to the nearest dollar and should not exceed the remaining Other funds balance (column D minus columns E and F)." sqref="F42" xr:uid="{00000000-0002-0000-0A00-000016000000}">
      <formula1>0</formula1>
      <formula2>D42-E42</formula2>
    </dataValidation>
    <dataValidation type="whole" allowBlank="1" showInputMessage="1" showErrorMessage="1" errorTitle="Input error" error="The amount entered should be rounded to the nearest dollar and should not exceed the remaining Other funds balance (column D minus columns E and F)." sqref="ODC983082" xr:uid="{00000000-0002-0000-0A00-000017000000}">
      <formula1>0</formula1>
      <formula2>D42-E42-#REF!</formula2>
    </dataValidation>
    <dataValidation type="whole" allowBlank="1" showInputMessage="1" showErrorMessage="1" errorTitle="Input error" error="The amount entered should be rounded to the nearest dollar and should not exceed the remaining ESSER I fund balance (column D minus columns E and F)." sqref="F37:F38 ODC983077" xr:uid="{00000000-0002-0000-0A00-000018000000}">
      <formula1>0</formula1>
      <formula2>D37-E37-#REF!</formula2>
    </dataValidation>
    <dataValidation type="whole" allowBlank="1" showInputMessage="1" showErrorMessage="1" errorTitle="Input error" error="The amount entered should be rounded to the nearest dollar and should not exceed the remaining ESSER II fund balance (column D minus columns E and F)." sqref="ODC983078" xr:uid="{00000000-0002-0000-0A00-000019000000}">
      <formula1>0</formula1>
      <formula2>D38-E38-#REF!</formula2>
    </dataValidation>
    <dataValidation type="whole" allowBlank="1" showInputMessage="1" showErrorMessage="1" errorTitle="Input error" error="The amount entered should be rounded to the nearest dollar and should not exceed the remaining ESG Fund balance (column D minus columns E and F)." sqref="F41" xr:uid="{00000000-0002-0000-0A00-00001A000000}">
      <formula1>0</formula1>
      <formula2>D41-E41</formula2>
    </dataValidation>
    <dataValidation type="whole" allowBlank="1" showInputMessage="1" showErrorMessage="1" errorTitle="Input error" error="The amount entered should be rounded to the nearest dollar and should not exceed the remaining ESG Fund balance (column D minus columns E and F)." sqref="ODC983081" xr:uid="{00000000-0002-0000-0A00-00001B000000}">
      <formula1>0</formula1>
      <formula2>D41-E41-#REF!</formula2>
    </dataValidation>
    <dataValidation type="whole" allowBlank="1" showInputMessage="1" showErrorMessage="1" errorTitle="Input error" error="The amount entered should be rounded to the nearest dollar and should not exceed the remaining GEER fund balance (column D minus columns E and F)." sqref="F40" xr:uid="{00000000-0002-0000-0A00-00001C000000}">
      <formula1>0</formula1>
      <formula2>D40-E40</formula2>
    </dataValidation>
    <dataValidation type="whole" allowBlank="1" showInputMessage="1" showErrorMessage="1" errorTitle="Input error" error="The amount entered should be rounded to the nearest dollar and should not exceed the remaining GEER fund balance (column D minus columns E and F)." sqref="ODC983080" xr:uid="{00000000-0002-0000-0A00-00001D000000}">
      <formula1>0</formula1>
      <formula2>D40-E40-#REF!</formula2>
    </dataValidation>
    <dataValidation type="whole" allowBlank="1" showInputMessage="1" showErrorMessage="1" errorTitle="Input error" error="The amount entered should be rounded to the nearest dollar and should not exceed the remaining ESSER III fund balance (column D minus columns E and F)." sqref="F39" xr:uid="{00000000-0002-0000-0A00-00001E000000}">
      <formula1>0</formula1>
      <formula2>D39-E39</formula2>
    </dataValidation>
    <dataValidation type="whole" allowBlank="1" showInputMessage="1" showErrorMessage="1" errorTitle="Input error" error="The amount entered should be rounded to the nearest dollar and should not exceed the remaining ESSER III fund balance (column D minus columns E and F)." sqref="ODC983079" xr:uid="{00000000-0002-0000-0A00-00001F000000}">
      <formula1>0</formula1>
      <formula2>D39-E39-#REF!</formula2>
    </dataValidation>
  </dataValidations>
  <pageMargins left="0.7" right="0.7" top="0.75" bottom="0.75" header="0.3" footer="0.3"/>
  <pageSetup scale="48" orientation="landscape" r:id="rId1"/>
  <headerFooter>
    <oddFooter>&amp;LRev. 8/26 Arizona Department of Education and Auditor General&amp;CFY 2026</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AE6D5-AFE3-48F5-B3BF-0A798862096D}">
  <dimension ref="A1:R44"/>
  <sheetViews>
    <sheetView showGridLines="0" workbookViewId="0">
      <selection sqref="A1 A1:B1"/>
    </sheetView>
  </sheetViews>
  <sheetFormatPr defaultColWidth="9.33203125" defaultRowHeight="13.2" x14ac:dyDescent="0.25"/>
  <cols>
    <col min="1" max="1" width="2.6640625" bestFit="1" customWidth="1"/>
    <col min="2" max="2" width="21.33203125" customWidth="1"/>
    <col min="3" max="3" width="18.21875" customWidth="1"/>
    <col min="4" max="4" width="18.33203125" customWidth="1"/>
    <col min="5" max="5" width="17.21875" customWidth="1"/>
    <col min="6" max="7" width="15.77734375" customWidth="1"/>
    <col min="8" max="8" width="3.21875" customWidth="1"/>
    <col min="9" max="9" width="3.6640625" bestFit="1" customWidth="1"/>
    <col min="10" max="10" width="12.33203125" customWidth="1"/>
    <col min="11" max="11" width="10.77734375" customWidth="1"/>
    <col min="12" max="12" width="11.33203125" customWidth="1"/>
    <col min="13" max="13" width="15.77734375" customWidth="1"/>
    <col min="14" max="14" width="3.6640625" customWidth="1"/>
    <col min="15" max="15" width="15.77734375" customWidth="1"/>
    <col min="16" max="16" width="3.6640625" bestFit="1" customWidth="1"/>
    <col min="17" max="17" width="9.33203125" customWidth="1"/>
  </cols>
  <sheetData>
    <row r="1" spans="1:18" x14ac:dyDescent="0.25">
      <c r="A1" s="629" t="s">
        <v>0</v>
      </c>
      <c r="B1" s="629"/>
      <c r="C1" s="609" t="str">
        <f>'Cover Page'!$D$1</f>
        <v>Edge School, Inc., The</v>
      </c>
      <c r="D1" s="609"/>
      <c r="G1" s="6" t="s">
        <v>1</v>
      </c>
      <c r="H1" s="6"/>
      <c r="I1" s="609" t="str">
        <f>'Cover Page'!$M$1</f>
        <v>Pima</v>
      </c>
      <c r="J1" s="609"/>
      <c r="K1" s="188"/>
      <c r="M1" s="768" t="s">
        <v>2</v>
      </c>
      <c r="N1" s="768"/>
      <c r="O1" s="54" t="str">
        <f>'Cover Page'!$R$1</f>
        <v>108653000</v>
      </c>
    </row>
    <row r="2" spans="1:18" ht="12.75" customHeight="1" x14ac:dyDescent="0.25">
      <c r="B2" s="92"/>
    </row>
    <row r="3" spans="1:18" ht="20.25" customHeight="1" x14ac:dyDescent="0.35">
      <c r="A3" s="769" t="s">
        <v>530</v>
      </c>
      <c r="B3" s="769"/>
      <c r="C3" s="769"/>
      <c r="D3" s="769"/>
      <c r="E3" s="769"/>
      <c r="F3" s="769"/>
      <c r="G3" s="769"/>
      <c r="H3" s="769"/>
      <c r="I3" s="769"/>
      <c r="J3" s="769"/>
      <c r="K3" s="769"/>
      <c r="L3" s="769"/>
      <c r="M3" s="769"/>
      <c r="N3" s="769"/>
      <c r="O3" s="769"/>
      <c r="P3" s="769"/>
    </row>
    <row r="4" spans="1:18" ht="9" customHeight="1" x14ac:dyDescent="0.25">
      <c r="E4" t="s">
        <v>23</v>
      </c>
    </row>
    <row r="5" spans="1:18" x14ac:dyDescent="0.25">
      <c r="B5" s="93" t="s">
        <v>181</v>
      </c>
      <c r="E5" s="25" t="s">
        <v>26</v>
      </c>
      <c r="F5" s="57"/>
      <c r="J5" s="93" t="s">
        <v>105</v>
      </c>
      <c r="O5" s="25" t="s">
        <v>26</v>
      </c>
    </row>
    <row r="6" spans="1:18" x14ac:dyDescent="0.25">
      <c r="A6" s="189" t="s">
        <v>27</v>
      </c>
      <c r="B6" t="s">
        <v>216</v>
      </c>
      <c r="E6" s="42"/>
      <c r="F6" s="53" t="s">
        <v>27</v>
      </c>
      <c r="I6" s="189" t="s">
        <v>42</v>
      </c>
      <c r="J6" t="s">
        <v>531</v>
      </c>
      <c r="N6" s="189"/>
      <c r="O6" s="42">
        <f>SUMIFS('Accounting data'!$G$2:$G$37000,'Accounting data'!$K$2:$K$37000,"61*",'Accounting data'!$J$2:$J$37000,"31*")</f>
        <v>0</v>
      </c>
      <c r="P6" s="190" t="s">
        <v>42</v>
      </c>
    </row>
    <row r="7" spans="1:18" x14ac:dyDescent="0.25">
      <c r="A7" s="189" t="s">
        <v>29</v>
      </c>
      <c r="B7" t="s">
        <v>532</v>
      </c>
      <c r="E7" s="42">
        <f>SUMIFS('Accounting data'!$G$2:$G$37000,'Accounting data'!$K$2:$K$37000,"16*")</f>
        <v>0</v>
      </c>
      <c r="F7" s="53" t="s">
        <v>29</v>
      </c>
      <c r="I7" s="189" t="s">
        <v>44</v>
      </c>
      <c r="J7" t="s">
        <v>533</v>
      </c>
      <c r="N7" s="189"/>
      <c r="O7" s="42">
        <f>SUMIFS('Accounting data'!$G$2:$G$37000,'Accounting data'!$K$2:$K$37000,"62*",'Accounting data'!$J$2:$J$37000,"31*")</f>
        <v>0</v>
      </c>
      <c r="P7" s="190" t="s">
        <v>44</v>
      </c>
    </row>
    <row r="8" spans="1:18" x14ac:dyDescent="0.25">
      <c r="A8" s="189" t="s">
        <v>31</v>
      </c>
      <c r="B8" t="s">
        <v>534</v>
      </c>
      <c r="E8" s="42"/>
      <c r="F8" s="53" t="s">
        <v>31</v>
      </c>
      <c r="I8" s="189" t="s">
        <v>46</v>
      </c>
      <c r="J8" t="s">
        <v>535</v>
      </c>
      <c r="N8" s="189"/>
      <c r="O8" s="42"/>
      <c r="P8" s="190" t="s">
        <v>46</v>
      </c>
    </row>
    <row r="9" spans="1:18" x14ac:dyDescent="0.25">
      <c r="A9" s="489" t="s">
        <v>34</v>
      </c>
      <c r="B9" s="492" t="s">
        <v>536</v>
      </c>
      <c r="C9" s="492"/>
      <c r="E9" s="5"/>
      <c r="F9" s="53" t="s">
        <v>34</v>
      </c>
      <c r="I9" s="189" t="s">
        <v>48</v>
      </c>
      <c r="J9" t="s">
        <v>537</v>
      </c>
      <c r="N9" s="189"/>
      <c r="O9" s="42"/>
      <c r="P9" s="190" t="s">
        <v>48</v>
      </c>
    </row>
    <row r="10" spans="1:18" x14ac:dyDescent="0.25">
      <c r="A10" s="489" t="s">
        <v>36</v>
      </c>
      <c r="B10" s="58" t="s">
        <v>538</v>
      </c>
      <c r="C10" s="58"/>
      <c r="E10" s="762"/>
      <c r="I10" s="189" t="s">
        <v>50</v>
      </c>
      <c r="J10" t="s">
        <v>539</v>
      </c>
      <c r="N10" s="189"/>
      <c r="O10" s="42"/>
      <c r="P10" s="190" t="s">
        <v>50</v>
      </c>
      <c r="R10" s="191"/>
    </row>
    <row r="11" spans="1:18" x14ac:dyDescent="0.25">
      <c r="A11" s="489"/>
      <c r="B11" s="58" t="s">
        <v>540</v>
      </c>
      <c r="C11" s="58"/>
      <c r="E11" s="763"/>
      <c r="F11" s="190" t="s">
        <v>36</v>
      </c>
      <c r="I11" s="189" t="s">
        <v>52</v>
      </c>
      <c r="J11" t="s">
        <v>541</v>
      </c>
      <c r="N11" s="189"/>
      <c r="O11" s="42"/>
      <c r="P11" s="190" t="s">
        <v>52</v>
      </c>
    </row>
    <row r="12" spans="1:18" x14ac:dyDescent="0.25">
      <c r="A12" s="489" t="s">
        <v>38</v>
      </c>
      <c r="B12" s="58" t="s">
        <v>542</v>
      </c>
      <c r="C12" s="58"/>
      <c r="E12" s="42"/>
      <c r="F12" s="190" t="s">
        <v>38</v>
      </c>
      <c r="I12" s="189" t="s">
        <v>54</v>
      </c>
      <c r="J12" t="s">
        <v>543</v>
      </c>
      <c r="N12" s="189"/>
      <c r="O12" s="42"/>
      <c r="P12" s="190" t="s">
        <v>54</v>
      </c>
    </row>
    <row r="13" spans="1:18" ht="12.75" customHeight="1" x14ac:dyDescent="0.25">
      <c r="A13" s="489" t="s">
        <v>40</v>
      </c>
      <c r="B13" s="58" t="s">
        <v>544</v>
      </c>
      <c r="C13" s="58"/>
      <c r="E13" s="192">
        <f>SUM(E6:E12)</f>
        <v>0</v>
      </c>
      <c r="F13" s="190" t="s">
        <v>40</v>
      </c>
      <c r="I13" s="189" t="s">
        <v>56</v>
      </c>
      <c r="J13" t="s">
        <v>545</v>
      </c>
      <c r="N13" s="189"/>
      <c r="O13" s="42"/>
      <c r="P13" s="190" t="s">
        <v>56</v>
      </c>
    </row>
    <row r="14" spans="1:18" ht="13.5" customHeight="1" x14ac:dyDescent="0.25">
      <c r="F14" s="193"/>
      <c r="I14" s="189" t="s">
        <v>58</v>
      </c>
      <c r="J14" t="s">
        <v>546</v>
      </c>
      <c r="N14" s="189"/>
      <c r="O14" s="42"/>
      <c r="P14" s="190" t="s">
        <v>58</v>
      </c>
    </row>
    <row r="15" spans="1:18" x14ac:dyDescent="0.25">
      <c r="A15" s="93"/>
      <c r="B15" s="93" t="s">
        <v>547</v>
      </c>
      <c r="C15" s="93"/>
      <c r="E15" s="194"/>
      <c r="I15" s="189" t="s">
        <v>60</v>
      </c>
      <c r="J15" t="s">
        <v>548</v>
      </c>
      <c r="N15" s="189"/>
      <c r="O15" s="42"/>
      <c r="P15" s="190" t="s">
        <v>60</v>
      </c>
    </row>
    <row r="16" spans="1:18" ht="12.75" customHeight="1" x14ac:dyDescent="0.25">
      <c r="I16" s="189" t="s">
        <v>63</v>
      </c>
      <c r="J16" t="s">
        <v>549</v>
      </c>
      <c r="N16" s="189"/>
      <c r="O16" s="42"/>
      <c r="P16" s="190" t="s">
        <v>63</v>
      </c>
    </row>
    <row r="17" spans="1:16" x14ac:dyDescent="0.25">
      <c r="A17" s="93"/>
      <c r="B17" s="93" t="s">
        <v>550</v>
      </c>
      <c r="C17" s="93"/>
      <c r="D17" s="764" t="s">
        <v>551</v>
      </c>
      <c r="E17" s="766" t="s">
        <v>552</v>
      </c>
      <c r="F17" s="764" t="s">
        <v>553</v>
      </c>
      <c r="G17" s="764" t="s">
        <v>554</v>
      </c>
      <c r="I17" s="189" t="s">
        <v>65</v>
      </c>
      <c r="J17" t="s">
        <v>555</v>
      </c>
      <c r="N17" s="189"/>
      <c r="O17" s="42"/>
      <c r="P17" s="190" t="s">
        <v>65</v>
      </c>
    </row>
    <row r="18" spans="1:16" x14ac:dyDescent="0.25">
      <c r="D18" s="765"/>
      <c r="E18" s="767"/>
      <c r="F18" s="765"/>
      <c r="G18" s="765"/>
      <c r="I18" s="189" t="s">
        <v>67</v>
      </c>
      <c r="J18" t="s">
        <v>556</v>
      </c>
      <c r="N18" s="189"/>
      <c r="O18" s="42"/>
      <c r="P18" s="190" t="s">
        <v>67</v>
      </c>
    </row>
    <row r="19" spans="1:16" x14ac:dyDescent="0.25">
      <c r="B19" s="195" t="s">
        <v>557</v>
      </c>
      <c r="D19" s="5"/>
      <c r="E19" s="5"/>
      <c r="F19" s="5"/>
      <c r="G19" s="196"/>
      <c r="I19" s="189" t="s">
        <v>69</v>
      </c>
      <c r="J19" t="s">
        <v>558</v>
      </c>
      <c r="N19" s="189"/>
      <c r="O19" s="42"/>
      <c r="P19" s="190" t="s">
        <v>69</v>
      </c>
    </row>
    <row r="20" spans="1:16" ht="12.75" customHeight="1" x14ac:dyDescent="0.25">
      <c r="B20" s="197" t="s">
        <v>559</v>
      </c>
      <c r="D20" s="198"/>
      <c r="E20" s="198"/>
      <c r="F20" s="198"/>
      <c r="G20" s="198"/>
      <c r="I20" s="189" t="s">
        <v>72</v>
      </c>
      <c r="J20" t="s">
        <v>560</v>
      </c>
      <c r="N20" s="189"/>
      <c r="O20" s="192">
        <f>SUM(O6:O19)</f>
        <v>0</v>
      </c>
      <c r="P20" s="190" t="s">
        <v>72</v>
      </c>
    </row>
    <row r="21" spans="1:16" ht="12.75" customHeight="1" x14ac:dyDescent="0.25">
      <c r="B21" s="197" t="s">
        <v>561</v>
      </c>
      <c r="D21" s="198"/>
      <c r="E21" s="198"/>
      <c r="F21" s="198"/>
      <c r="G21" s="198"/>
      <c r="N21" s="189"/>
    </row>
    <row r="22" spans="1:16" ht="12.75" customHeight="1" x14ac:dyDescent="0.25">
      <c r="B22" s="197" t="s">
        <v>562</v>
      </c>
      <c r="D22" s="199"/>
      <c r="E22" s="199"/>
      <c r="F22" s="199"/>
      <c r="G22" s="199"/>
      <c r="I22" t="s">
        <v>23</v>
      </c>
      <c r="M22" s="485" t="s">
        <v>563</v>
      </c>
      <c r="N22" s="85"/>
      <c r="O22" s="485" t="s">
        <v>564</v>
      </c>
    </row>
    <row r="23" spans="1:16" ht="12.75" customHeight="1" x14ac:dyDescent="0.25">
      <c r="B23" s="195" t="s">
        <v>565</v>
      </c>
      <c r="D23" s="196"/>
      <c r="E23" s="196"/>
      <c r="F23" s="196"/>
      <c r="G23" s="196"/>
      <c r="H23" s="200"/>
      <c r="J23" s="93" t="s">
        <v>566</v>
      </c>
      <c r="K23" s="93"/>
      <c r="L23" s="160" t="s">
        <v>19</v>
      </c>
      <c r="M23" s="201"/>
      <c r="N23" s="160" t="s">
        <v>19</v>
      </c>
      <c r="O23" s="201"/>
    </row>
    <row r="24" spans="1:16" ht="12.75" customHeight="1" x14ac:dyDescent="0.25">
      <c r="B24" s="197" t="s">
        <v>559</v>
      </c>
      <c r="D24" s="198"/>
      <c r="E24" s="198"/>
      <c r="F24" s="198"/>
      <c r="G24" s="198"/>
      <c r="H24" s="200"/>
      <c r="L24" s="160"/>
      <c r="M24" s="191"/>
      <c r="N24" s="160"/>
      <c r="O24" s="191"/>
    </row>
    <row r="25" spans="1:16" ht="12.75" customHeight="1" x14ac:dyDescent="0.25">
      <c r="B25" s="197" t="s">
        <v>561</v>
      </c>
      <c r="D25" s="198"/>
      <c r="E25" s="198"/>
      <c r="F25" s="198"/>
      <c r="G25" s="198"/>
      <c r="H25" s="48"/>
      <c r="N25" s="160"/>
      <c r="O25" s="200"/>
    </row>
    <row r="26" spans="1:16" ht="12.75" customHeight="1" x14ac:dyDescent="0.25">
      <c r="B26" s="197" t="s">
        <v>562</v>
      </c>
      <c r="D26" s="202"/>
      <c r="E26" s="202"/>
      <c r="F26" s="202"/>
      <c r="G26" s="202"/>
      <c r="H26" s="48"/>
      <c r="N26" s="160"/>
      <c r="O26" s="200"/>
    </row>
    <row r="27" spans="1:16" ht="12.75" customHeight="1" x14ac:dyDescent="0.25">
      <c r="H27" s="48"/>
      <c r="N27" s="160"/>
      <c r="O27" s="200"/>
    </row>
    <row r="28" spans="1:16" ht="12.75" customHeight="1" x14ac:dyDescent="0.25">
      <c r="B28" s="197" t="s">
        <v>567</v>
      </c>
      <c r="J28" s="93" t="s">
        <v>568</v>
      </c>
      <c r="K28" s="93"/>
      <c r="L28" s="557"/>
      <c r="M28" s="93"/>
      <c r="N28" s="93"/>
    </row>
    <row r="29" spans="1:16" ht="12.75" customHeight="1" x14ac:dyDescent="0.25">
      <c r="H29" s="203"/>
      <c r="J29" s="204" t="s">
        <v>569</v>
      </c>
      <c r="K29" s="205"/>
      <c r="L29" s="206"/>
      <c r="M29" s="206"/>
      <c r="N29" s="206"/>
      <c r="O29" s="207"/>
      <c r="P29" s="208"/>
    </row>
    <row r="30" spans="1:16" ht="12.75" customHeight="1" x14ac:dyDescent="0.25">
      <c r="A30" s="93"/>
      <c r="B30" s="93" t="s">
        <v>570</v>
      </c>
      <c r="C30" s="93"/>
      <c r="D30" s="209" t="s">
        <v>571</v>
      </c>
      <c r="E30" s="209" t="s">
        <v>572</v>
      </c>
      <c r="F30" s="210" t="s">
        <v>327</v>
      </c>
      <c r="G30" s="209" t="s">
        <v>573</v>
      </c>
      <c r="H30" s="211"/>
      <c r="J30" s="212" t="s">
        <v>574</v>
      </c>
      <c r="K30" s="197"/>
      <c r="O30" s="207"/>
      <c r="P30" s="213"/>
    </row>
    <row r="31" spans="1:16" ht="12.75" customHeight="1" x14ac:dyDescent="0.25">
      <c r="B31" t="s">
        <v>575</v>
      </c>
      <c r="D31" s="214"/>
      <c r="E31" s="214"/>
      <c r="F31" s="214"/>
      <c r="G31" s="215"/>
      <c r="H31" s="216"/>
      <c r="J31" s="212" t="s">
        <v>576</v>
      </c>
      <c r="K31" s="197"/>
      <c r="O31" s="207"/>
      <c r="P31" s="213"/>
    </row>
    <row r="32" spans="1:16" ht="12.75" customHeight="1" x14ac:dyDescent="0.25">
      <c r="B32" t="s">
        <v>577</v>
      </c>
      <c r="D32" s="214"/>
      <c r="E32" s="214"/>
      <c r="F32" s="214"/>
      <c r="G32" s="215"/>
      <c r="H32" s="216"/>
      <c r="J32" s="212" t="s">
        <v>578</v>
      </c>
      <c r="K32" s="197"/>
      <c r="O32" s="207"/>
      <c r="P32" s="213"/>
    </row>
    <row r="33" spans="1:16" ht="12.75" customHeight="1" x14ac:dyDescent="0.25">
      <c r="B33" t="s">
        <v>579</v>
      </c>
      <c r="D33" s="214"/>
      <c r="E33" s="214"/>
      <c r="F33" s="214"/>
      <c r="G33" s="215"/>
      <c r="H33" s="211"/>
      <c r="J33" s="212" t="s">
        <v>580</v>
      </c>
      <c r="K33" s="197"/>
      <c r="O33" s="207"/>
      <c r="P33" s="213"/>
    </row>
    <row r="34" spans="1:16" ht="12.75" customHeight="1" x14ac:dyDescent="0.25">
      <c r="B34" t="s">
        <v>581</v>
      </c>
      <c r="D34" s="214"/>
      <c r="E34" s="214"/>
      <c r="F34" s="214"/>
      <c r="G34" s="214"/>
      <c r="H34" s="216"/>
      <c r="J34" s="212" t="s">
        <v>582</v>
      </c>
      <c r="K34" s="197"/>
      <c r="O34" s="217"/>
      <c r="P34" s="213"/>
    </row>
    <row r="35" spans="1:16" ht="12.75" customHeight="1" x14ac:dyDescent="0.25">
      <c r="B35" t="s">
        <v>583</v>
      </c>
      <c r="D35" s="214"/>
      <c r="E35" s="214"/>
      <c r="F35" s="214"/>
      <c r="G35" s="214"/>
      <c r="H35" s="216"/>
      <c r="J35" s="758" t="s">
        <v>584</v>
      </c>
      <c r="K35" s="759"/>
      <c r="L35" s="759"/>
      <c r="M35" s="759"/>
      <c r="N35" s="218"/>
      <c r="O35" s="219">
        <f>SUM(O29:O34)</f>
        <v>0</v>
      </c>
      <c r="P35" s="213"/>
    </row>
    <row r="36" spans="1:16" ht="12.75" customHeight="1" x14ac:dyDescent="0.25">
      <c r="B36" t="s">
        <v>585</v>
      </c>
      <c r="D36" s="214"/>
      <c r="E36" s="214"/>
      <c r="F36" s="214"/>
      <c r="G36" s="214"/>
      <c r="J36" s="760" t="s">
        <v>586</v>
      </c>
      <c r="K36" s="761"/>
      <c r="L36" s="761"/>
      <c r="M36" s="56"/>
      <c r="N36" s="56"/>
      <c r="O36" s="56"/>
      <c r="P36" s="220"/>
    </row>
    <row r="37" spans="1:16" ht="12.75" customHeight="1" x14ac:dyDescent="0.25"/>
    <row r="38" spans="1:16" ht="12.75" customHeight="1" x14ac:dyDescent="0.25">
      <c r="A38" s="93"/>
      <c r="B38" s="93" t="s">
        <v>587</v>
      </c>
      <c r="C38" s="93"/>
    </row>
    <row r="39" spans="1:16" ht="12.75" customHeight="1" x14ac:dyDescent="0.25">
      <c r="B39" t="s">
        <v>588</v>
      </c>
      <c r="E39" s="35"/>
      <c r="O39" s="191"/>
    </row>
    <row r="40" spans="1:16" ht="12.75" customHeight="1" x14ac:dyDescent="0.25">
      <c r="N40" s="160"/>
    </row>
    <row r="41" spans="1:16" ht="12.75" customHeight="1" x14ac:dyDescent="0.25">
      <c r="A41" s="93"/>
      <c r="B41" s="93" t="s">
        <v>589</v>
      </c>
      <c r="C41" s="93"/>
      <c r="D41" s="93"/>
      <c r="E41" s="93"/>
      <c r="F41" s="160" t="s">
        <v>19</v>
      </c>
      <c r="G41" s="221"/>
      <c r="I41" s="222"/>
    </row>
    <row r="42" spans="1:16" ht="12.75" customHeight="1" x14ac:dyDescent="0.25">
      <c r="B42" t="s">
        <v>590</v>
      </c>
      <c r="C42" s="19"/>
      <c r="D42" s="19"/>
      <c r="H42" s="223"/>
    </row>
    <row r="43" spans="1:16" ht="12.75" customHeight="1" x14ac:dyDescent="0.25"/>
    <row r="44" spans="1:16" x14ac:dyDescent="0.25">
      <c r="B44" t="s">
        <v>591</v>
      </c>
    </row>
  </sheetData>
  <sheetProtection algorithmName="SHA-512" hashValue="X6ykuY8nYJJ1ha3XTZOc6dR7u1zPBssHpBxUtgrrgbmcBA7sXkx8PnJbDMLkJLwPvdimZLD1TmVxW20cUFxJsg==" saltValue="e5hVdB72Z5OPm9qdAiwZcw==" spinCount="100000" sheet="1"/>
  <mergeCells count="12">
    <mergeCell ref="A1:B1"/>
    <mergeCell ref="C1:D1"/>
    <mergeCell ref="I1:J1"/>
    <mergeCell ref="M1:N1"/>
    <mergeCell ref="A3:P3"/>
    <mergeCell ref="J35:M35"/>
    <mergeCell ref="J36:L36"/>
    <mergeCell ref="E10:E11"/>
    <mergeCell ref="D17:D18"/>
    <mergeCell ref="E17:E18"/>
    <mergeCell ref="F17:F18"/>
    <mergeCell ref="G17:G18"/>
  </mergeCells>
  <dataValidations disablePrompts="1" count="1">
    <dataValidation operator="equal" allowBlank="1" showInputMessage="1" showErrorMessage="1" prompt="This cell will only accept entries equal to 9 digits. Charter schools must enter their CTD number plus 3 zeros" sqref="O1" xr:uid="{00000000-0002-0000-0B00-000000000000}"/>
  </dataValidations>
  <pageMargins left="0.7" right="0.7" top="0.75" bottom="0.75" header="0.3" footer="0.3"/>
  <pageSetup scale="72" orientation="landscape" r:id="rId1"/>
  <headerFooter>
    <oddFooter>&amp;LRev. 8/26 Arizona Department of Education and Auditor General&amp;CFY 2026</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3B867-0CC5-4E99-81A6-5A4370B5E74C}">
  <dimension ref="A1:U23"/>
  <sheetViews>
    <sheetView showGridLines="0" workbookViewId="0"/>
  </sheetViews>
  <sheetFormatPr defaultColWidth="8.77734375" defaultRowHeight="13.2" x14ac:dyDescent="0.25"/>
  <cols>
    <col min="1" max="1" width="38.21875" customWidth="1"/>
    <col min="2" max="3" width="16.33203125" customWidth="1"/>
    <col min="4" max="4" width="15.21875" customWidth="1"/>
    <col min="5" max="5" width="15.6640625" customWidth="1"/>
    <col min="6" max="6" width="15.21875" customWidth="1"/>
    <col min="7" max="7" width="16.33203125" customWidth="1"/>
    <col min="8" max="8" width="19.33203125" customWidth="1"/>
    <col min="9" max="10" width="15.6640625" customWidth="1"/>
    <col min="11" max="11" width="17" customWidth="1"/>
    <col min="12" max="12" width="8.77734375" customWidth="1"/>
    <col min="13" max="13" width="5.33203125" customWidth="1"/>
    <col min="14" max="14" width="12.33203125" customWidth="1"/>
    <col min="15" max="255" width="8.77734375" customWidth="1"/>
    <col min="256" max="256" width="32.33203125" bestFit="1" customWidth="1"/>
    <col min="257" max="257" width="22.21875" customWidth="1"/>
    <col min="258" max="258" width="14.33203125" customWidth="1"/>
    <col min="259" max="259" width="19" customWidth="1"/>
    <col min="260" max="260" width="8.77734375" customWidth="1"/>
    <col min="261" max="261" width="11.33203125" customWidth="1"/>
    <col min="262" max="262" width="8.77734375" customWidth="1"/>
    <col min="263" max="263" width="6.33203125" customWidth="1"/>
    <col min="264" max="264" width="14.33203125" customWidth="1"/>
    <col min="265" max="268" width="8.77734375" customWidth="1"/>
    <col min="269" max="269" width="17.77734375" customWidth="1"/>
    <col min="270" max="511" width="8.77734375" customWidth="1"/>
    <col min="512" max="512" width="32.33203125" bestFit="1" customWidth="1"/>
    <col min="513" max="513" width="22.21875" customWidth="1"/>
    <col min="514" max="514" width="14.33203125" customWidth="1"/>
    <col min="515" max="515" width="19" customWidth="1"/>
    <col min="516" max="516" width="8.77734375" customWidth="1"/>
    <col min="517" max="517" width="11.33203125" customWidth="1"/>
    <col min="518" max="518" width="8.77734375" customWidth="1"/>
    <col min="519" max="519" width="6.33203125" customWidth="1"/>
    <col min="520" max="520" width="14.33203125" customWidth="1"/>
    <col min="521" max="524" width="8.77734375" customWidth="1"/>
    <col min="525" max="525" width="17.77734375" customWidth="1"/>
    <col min="526" max="767" width="8.77734375" customWidth="1"/>
    <col min="768" max="768" width="32.33203125" bestFit="1" customWidth="1"/>
    <col min="769" max="769" width="22.21875" customWidth="1"/>
    <col min="770" max="770" width="14.33203125" customWidth="1"/>
    <col min="771" max="771" width="19" customWidth="1"/>
    <col min="772" max="772" width="8.77734375" customWidth="1"/>
    <col min="773" max="773" width="11.33203125" customWidth="1"/>
    <col min="774" max="774" width="8.77734375" customWidth="1"/>
    <col min="775" max="775" width="6.33203125" customWidth="1"/>
    <col min="776" max="776" width="14.33203125" customWidth="1"/>
    <col min="777" max="780" width="8.77734375" customWidth="1"/>
    <col min="781" max="781" width="17.77734375" customWidth="1"/>
    <col min="782" max="1023" width="8.77734375" customWidth="1"/>
    <col min="1024" max="1024" width="32.33203125" bestFit="1" customWidth="1"/>
    <col min="1025" max="1025" width="22.21875" customWidth="1"/>
    <col min="1026" max="1026" width="14.33203125" customWidth="1"/>
    <col min="1027" max="1027" width="19" customWidth="1"/>
    <col min="1028" max="1028" width="8.77734375" customWidth="1"/>
    <col min="1029" max="1029" width="11.33203125" customWidth="1"/>
    <col min="1030" max="1030" width="8.77734375" customWidth="1"/>
    <col min="1031" max="1031" width="6.33203125" customWidth="1"/>
    <col min="1032" max="1032" width="14.33203125" customWidth="1"/>
    <col min="1033" max="1036" width="8.77734375" customWidth="1"/>
    <col min="1037" max="1037" width="17.77734375" customWidth="1"/>
    <col min="1038" max="1279" width="8.77734375" customWidth="1"/>
    <col min="1280" max="1280" width="32.33203125" bestFit="1" customWidth="1"/>
    <col min="1281" max="1281" width="22.21875" customWidth="1"/>
    <col min="1282" max="1282" width="14.33203125" customWidth="1"/>
    <col min="1283" max="1283" width="19" customWidth="1"/>
    <col min="1284" max="1284" width="8.77734375" customWidth="1"/>
    <col min="1285" max="1285" width="11.33203125" customWidth="1"/>
    <col min="1286" max="1286" width="8.77734375" customWidth="1"/>
    <col min="1287" max="1287" width="6.33203125" customWidth="1"/>
    <col min="1288" max="1288" width="14.33203125" customWidth="1"/>
    <col min="1289" max="1292" width="8.77734375" customWidth="1"/>
    <col min="1293" max="1293" width="17.77734375" customWidth="1"/>
    <col min="1294" max="1535" width="8.77734375" customWidth="1"/>
    <col min="1536" max="1536" width="32.33203125" bestFit="1" customWidth="1"/>
    <col min="1537" max="1537" width="22.21875" customWidth="1"/>
    <col min="1538" max="1538" width="14.33203125" customWidth="1"/>
    <col min="1539" max="1539" width="19" customWidth="1"/>
    <col min="1540" max="1540" width="8.77734375" customWidth="1"/>
    <col min="1541" max="1541" width="11.33203125" customWidth="1"/>
    <col min="1542" max="1542" width="8.77734375" customWidth="1"/>
    <col min="1543" max="1543" width="6.33203125" customWidth="1"/>
    <col min="1544" max="1544" width="14.33203125" customWidth="1"/>
    <col min="1545" max="1548" width="8.77734375" customWidth="1"/>
    <col min="1549" max="1549" width="17.77734375" customWidth="1"/>
    <col min="1550" max="1791" width="8.77734375" customWidth="1"/>
    <col min="1792" max="1792" width="32.33203125" bestFit="1" customWidth="1"/>
    <col min="1793" max="1793" width="22.21875" customWidth="1"/>
    <col min="1794" max="1794" width="14.33203125" customWidth="1"/>
    <col min="1795" max="1795" width="19" customWidth="1"/>
    <col min="1796" max="1796" width="8.77734375" customWidth="1"/>
    <col min="1797" max="1797" width="11.33203125" customWidth="1"/>
    <col min="1798" max="1798" width="8.77734375" customWidth="1"/>
    <col min="1799" max="1799" width="6.33203125" customWidth="1"/>
    <col min="1800" max="1800" width="14.33203125" customWidth="1"/>
    <col min="1801" max="1804" width="8.77734375" customWidth="1"/>
    <col min="1805" max="1805" width="17.77734375" customWidth="1"/>
    <col min="1806" max="2047" width="8.77734375" customWidth="1"/>
    <col min="2048" max="2048" width="32.33203125" bestFit="1" customWidth="1"/>
    <col min="2049" max="2049" width="22.21875" customWidth="1"/>
    <col min="2050" max="2050" width="14.33203125" customWidth="1"/>
    <col min="2051" max="2051" width="19" customWidth="1"/>
    <col min="2052" max="2052" width="8.77734375" customWidth="1"/>
    <col min="2053" max="2053" width="11.33203125" customWidth="1"/>
    <col min="2054" max="2054" width="8.77734375" customWidth="1"/>
    <col min="2055" max="2055" width="6.33203125" customWidth="1"/>
    <col min="2056" max="2056" width="14.33203125" customWidth="1"/>
    <col min="2057" max="2060" width="8.77734375" customWidth="1"/>
    <col min="2061" max="2061" width="17.77734375" customWidth="1"/>
    <col min="2062" max="2303" width="8.77734375" customWidth="1"/>
    <col min="2304" max="2304" width="32.33203125" bestFit="1" customWidth="1"/>
    <col min="2305" max="2305" width="22.21875" customWidth="1"/>
    <col min="2306" max="2306" width="14.33203125" customWidth="1"/>
    <col min="2307" max="2307" width="19" customWidth="1"/>
    <col min="2308" max="2308" width="8.77734375" customWidth="1"/>
    <col min="2309" max="2309" width="11.33203125" customWidth="1"/>
    <col min="2310" max="2310" width="8.77734375" customWidth="1"/>
    <col min="2311" max="2311" width="6.33203125" customWidth="1"/>
    <col min="2312" max="2312" width="14.33203125" customWidth="1"/>
    <col min="2313" max="2316" width="8.77734375" customWidth="1"/>
    <col min="2317" max="2317" width="17.77734375" customWidth="1"/>
    <col min="2318" max="2559" width="8.77734375" customWidth="1"/>
    <col min="2560" max="2560" width="32.33203125" bestFit="1" customWidth="1"/>
    <col min="2561" max="2561" width="22.21875" customWidth="1"/>
    <col min="2562" max="2562" width="14.33203125" customWidth="1"/>
    <col min="2563" max="2563" width="19" customWidth="1"/>
    <col min="2564" max="2564" width="8.77734375" customWidth="1"/>
    <col min="2565" max="2565" width="11.33203125" customWidth="1"/>
    <col min="2566" max="2566" width="8.77734375" customWidth="1"/>
    <col min="2567" max="2567" width="6.33203125" customWidth="1"/>
    <col min="2568" max="2568" width="14.33203125" customWidth="1"/>
    <col min="2569" max="2572" width="8.77734375" customWidth="1"/>
    <col min="2573" max="2573" width="17.77734375" customWidth="1"/>
    <col min="2574" max="2815" width="8.77734375" customWidth="1"/>
    <col min="2816" max="2816" width="32.33203125" bestFit="1" customWidth="1"/>
    <col min="2817" max="2817" width="22.21875" customWidth="1"/>
    <col min="2818" max="2818" width="14.33203125" customWidth="1"/>
    <col min="2819" max="2819" width="19" customWidth="1"/>
    <col min="2820" max="2820" width="8.77734375" customWidth="1"/>
    <col min="2821" max="2821" width="11.33203125" customWidth="1"/>
    <col min="2822" max="2822" width="8.77734375" customWidth="1"/>
    <col min="2823" max="2823" width="6.33203125" customWidth="1"/>
    <col min="2824" max="2824" width="14.33203125" customWidth="1"/>
    <col min="2825" max="2828" width="8.77734375" customWidth="1"/>
    <col min="2829" max="2829" width="17.77734375" customWidth="1"/>
    <col min="2830" max="3071" width="8.77734375" customWidth="1"/>
    <col min="3072" max="3072" width="32.33203125" bestFit="1" customWidth="1"/>
    <col min="3073" max="3073" width="22.21875" customWidth="1"/>
    <col min="3074" max="3074" width="14.33203125" customWidth="1"/>
    <col min="3075" max="3075" width="19" customWidth="1"/>
    <col min="3076" max="3076" width="8.77734375" customWidth="1"/>
    <col min="3077" max="3077" width="11.33203125" customWidth="1"/>
    <col min="3078" max="3078" width="8.77734375" customWidth="1"/>
    <col min="3079" max="3079" width="6.33203125" customWidth="1"/>
    <col min="3080" max="3080" width="14.33203125" customWidth="1"/>
    <col min="3081" max="3084" width="8.77734375" customWidth="1"/>
    <col min="3085" max="3085" width="17.77734375" customWidth="1"/>
    <col min="3086" max="3327" width="8.77734375" customWidth="1"/>
    <col min="3328" max="3328" width="32.33203125" bestFit="1" customWidth="1"/>
    <col min="3329" max="3329" width="22.21875" customWidth="1"/>
    <col min="3330" max="3330" width="14.33203125" customWidth="1"/>
    <col min="3331" max="3331" width="19" customWidth="1"/>
    <col min="3332" max="3332" width="8.77734375" customWidth="1"/>
    <col min="3333" max="3333" width="11.33203125" customWidth="1"/>
    <col min="3334" max="3334" width="8.77734375" customWidth="1"/>
    <col min="3335" max="3335" width="6.33203125" customWidth="1"/>
    <col min="3336" max="3336" width="14.33203125" customWidth="1"/>
    <col min="3337" max="3340" width="8.77734375" customWidth="1"/>
    <col min="3341" max="3341" width="17.77734375" customWidth="1"/>
    <col min="3342" max="3583" width="8.77734375" customWidth="1"/>
    <col min="3584" max="3584" width="32.33203125" bestFit="1" customWidth="1"/>
    <col min="3585" max="3585" width="22.21875" customWidth="1"/>
    <col min="3586" max="3586" width="14.33203125" customWidth="1"/>
    <col min="3587" max="3587" width="19" customWidth="1"/>
    <col min="3588" max="3588" width="8.77734375" customWidth="1"/>
    <col min="3589" max="3589" width="11.33203125" customWidth="1"/>
    <col min="3590" max="3590" width="8.77734375" customWidth="1"/>
    <col min="3591" max="3591" width="6.33203125" customWidth="1"/>
    <col min="3592" max="3592" width="14.33203125" customWidth="1"/>
    <col min="3593" max="3596" width="8.77734375" customWidth="1"/>
    <col min="3597" max="3597" width="17.77734375" customWidth="1"/>
    <col min="3598" max="3839" width="8.77734375" customWidth="1"/>
    <col min="3840" max="3840" width="32.33203125" bestFit="1" customWidth="1"/>
    <col min="3841" max="3841" width="22.21875" customWidth="1"/>
    <col min="3842" max="3842" width="14.33203125" customWidth="1"/>
    <col min="3843" max="3843" width="19" customWidth="1"/>
    <col min="3844" max="3844" width="8.77734375" customWidth="1"/>
    <col min="3845" max="3845" width="11.33203125" customWidth="1"/>
    <col min="3846" max="3846" width="8.77734375" customWidth="1"/>
    <col min="3847" max="3847" width="6.33203125" customWidth="1"/>
    <col min="3848" max="3848" width="14.33203125" customWidth="1"/>
    <col min="3849" max="3852" width="8.77734375" customWidth="1"/>
    <col min="3853" max="3853" width="17.77734375" customWidth="1"/>
    <col min="3854" max="4095" width="8.77734375" customWidth="1"/>
    <col min="4096" max="4096" width="32.33203125" bestFit="1" customWidth="1"/>
    <col min="4097" max="4097" width="22.21875" customWidth="1"/>
    <col min="4098" max="4098" width="14.33203125" customWidth="1"/>
    <col min="4099" max="4099" width="19" customWidth="1"/>
    <col min="4100" max="4100" width="8.77734375" customWidth="1"/>
    <col min="4101" max="4101" width="11.33203125" customWidth="1"/>
    <col min="4102" max="4102" width="8.77734375" customWidth="1"/>
    <col min="4103" max="4103" width="6.33203125" customWidth="1"/>
    <col min="4104" max="4104" width="14.33203125" customWidth="1"/>
    <col min="4105" max="4108" width="8.77734375" customWidth="1"/>
    <col min="4109" max="4109" width="17.77734375" customWidth="1"/>
    <col min="4110" max="4351" width="8.77734375" customWidth="1"/>
    <col min="4352" max="4352" width="32.33203125" bestFit="1" customWidth="1"/>
    <col min="4353" max="4353" width="22.21875" customWidth="1"/>
    <col min="4354" max="4354" width="14.33203125" customWidth="1"/>
    <col min="4355" max="4355" width="19" customWidth="1"/>
    <col min="4356" max="4356" width="8.77734375" customWidth="1"/>
    <col min="4357" max="4357" width="11.33203125" customWidth="1"/>
    <col min="4358" max="4358" width="8.77734375" customWidth="1"/>
    <col min="4359" max="4359" width="6.33203125" customWidth="1"/>
    <col min="4360" max="4360" width="14.33203125" customWidth="1"/>
    <col min="4361" max="4364" width="8.77734375" customWidth="1"/>
    <col min="4365" max="4365" width="17.77734375" customWidth="1"/>
    <col min="4366" max="4607" width="8.77734375" customWidth="1"/>
    <col min="4608" max="4608" width="32.33203125" bestFit="1" customWidth="1"/>
    <col min="4609" max="4609" width="22.21875" customWidth="1"/>
    <col min="4610" max="4610" width="14.33203125" customWidth="1"/>
    <col min="4611" max="4611" width="19" customWidth="1"/>
    <col min="4612" max="4612" width="8.77734375" customWidth="1"/>
    <col min="4613" max="4613" width="11.33203125" customWidth="1"/>
    <col min="4614" max="4614" width="8.77734375" customWidth="1"/>
    <col min="4615" max="4615" width="6.33203125" customWidth="1"/>
    <col min="4616" max="4616" width="14.33203125" customWidth="1"/>
    <col min="4617" max="4620" width="8.77734375" customWidth="1"/>
    <col min="4621" max="4621" width="17.77734375" customWidth="1"/>
    <col min="4622" max="4863" width="8.77734375" customWidth="1"/>
    <col min="4864" max="4864" width="32.33203125" bestFit="1" customWidth="1"/>
    <col min="4865" max="4865" width="22.21875" customWidth="1"/>
    <col min="4866" max="4866" width="14.33203125" customWidth="1"/>
    <col min="4867" max="4867" width="19" customWidth="1"/>
    <col min="4868" max="4868" width="8.77734375" customWidth="1"/>
    <col min="4869" max="4869" width="11.33203125" customWidth="1"/>
    <col min="4870" max="4870" width="8.77734375" customWidth="1"/>
    <col min="4871" max="4871" width="6.33203125" customWidth="1"/>
    <col min="4872" max="4872" width="14.33203125" customWidth="1"/>
    <col min="4873" max="4876" width="8.77734375" customWidth="1"/>
    <col min="4877" max="4877" width="17.77734375" customWidth="1"/>
    <col min="4878" max="5119" width="8.77734375" customWidth="1"/>
    <col min="5120" max="5120" width="32.33203125" bestFit="1" customWidth="1"/>
    <col min="5121" max="5121" width="22.21875" customWidth="1"/>
    <col min="5122" max="5122" width="14.33203125" customWidth="1"/>
    <col min="5123" max="5123" width="19" customWidth="1"/>
    <col min="5124" max="5124" width="8.77734375" customWidth="1"/>
    <col min="5125" max="5125" width="11.33203125" customWidth="1"/>
    <col min="5126" max="5126" width="8.77734375" customWidth="1"/>
    <col min="5127" max="5127" width="6.33203125" customWidth="1"/>
    <col min="5128" max="5128" width="14.33203125" customWidth="1"/>
    <col min="5129" max="5132" width="8.77734375" customWidth="1"/>
    <col min="5133" max="5133" width="17.77734375" customWidth="1"/>
    <col min="5134" max="5375" width="8.77734375" customWidth="1"/>
    <col min="5376" max="5376" width="32.33203125" bestFit="1" customWidth="1"/>
    <col min="5377" max="5377" width="22.21875" customWidth="1"/>
    <col min="5378" max="5378" width="14.33203125" customWidth="1"/>
    <col min="5379" max="5379" width="19" customWidth="1"/>
    <col min="5380" max="5380" width="8.77734375" customWidth="1"/>
    <col min="5381" max="5381" width="11.33203125" customWidth="1"/>
    <col min="5382" max="5382" width="8.77734375" customWidth="1"/>
    <col min="5383" max="5383" width="6.33203125" customWidth="1"/>
    <col min="5384" max="5384" width="14.33203125" customWidth="1"/>
    <col min="5385" max="5388" width="8.77734375" customWidth="1"/>
    <col min="5389" max="5389" width="17.77734375" customWidth="1"/>
    <col min="5390" max="5631" width="8.77734375" customWidth="1"/>
    <col min="5632" max="5632" width="32.33203125" bestFit="1" customWidth="1"/>
    <col min="5633" max="5633" width="22.21875" customWidth="1"/>
    <col min="5634" max="5634" width="14.33203125" customWidth="1"/>
    <col min="5635" max="5635" width="19" customWidth="1"/>
    <col min="5636" max="5636" width="8.77734375" customWidth="1"/>
    <col min="5637" max="5637" width="11.33203125" customWidth="1"/>
    <col min="5638" max="5638" width="8.77734375" customWidth="1"/>
    <col min="5639" max="5639" width="6.33203125" customWidth="1"/>
    <col min="5640" max="5640" width="14.33203125" customWidth="1"/>
    <col min="5641" max="5644" width="8.77734375" customWidth="1"/>
    <col min="5645" max="5645" width="17.77734375" customWidth="1"/>
    <col min="5646" max="5887" width="8.77734375" customWidth="1"/>
    <col min="5888" max="5888" width="32.33203125" bestFit="1" customWidth="1"/>
    <col min="5889" max="5889" width="22.21875" customWidth="1"/>
    <col min="5890" max="5890" width="14.33203125" customWidth="1"/>
    <col min="5891" max="5891" width="19" customWidth="1"/>
    <col min="5892" max="5892" width="8.77734375" customWidth="1"/>
    <col min="5893" max="5893" width="11.33203125" customWidth="1"/>
    <col min="5894" max="5894" width="8.77734375" customWidth="1"/>
    <col min="5895" max="5895" width="6.33203125" customWidth="1"/>
    <col min="5896" max="5896" width="14.33203125" customWidth="1"/>
    <col min="5897" max="5900" width="8.77734375" customWidth="1"/>
    <col min="5901" max="5901" width="17.77734375" customWidth="1"/>
    <col min="5902" max="6143" width="8.77734375" customWidth="1"/>
    <col min="6144" max="6144" width="32.33203125" bestFit="1" customWidth="1"/>
    <col min="6145" max="6145" width="22.21875" customWidth="1"/>
    <col min="6146" max="6146" width="14.33203125" customWidth="1"/>
    <col min="6147" max="6147" width="19" customWidth="1"/>
    <col min="6148" max="6148" width="8.77734375" customWidth="1"/>
    <col min="6149" max="6149" width="11.33203125" customWidth="1"/>
    <col min="6150" max="6150" width="8.77734375" customWidth="1"/>
    <col min="6151" max="6151" width="6.33203125" customWidth="1"/>
    <col min="6152" max="6152" width="14.33203125" customWidth="1"/>
    <col min="6153" max="6156" width="8.77734375" customWidth="1"/>
    <col min="6157" max="6157" width="17.77734375" customWidth="1"/>
    <col min="6158" max="6399" width="8.77734375" customWidth="1"/>
    <col min="6400" max="6400" width="32.33203125" bestFit="1" customWidth="1"/>
    <col min="6401" max="6401" width="22.21875" customWidth="1"/>
    <col min="6402" max="6402" width="14.33203125" customWidth="1"/>
    <col min="6403" max="6403" width="19" customWidth="1"/>
    <col min="6404" max="6404" width="8.77734375" customWidth="1"/>
    <col min="6405" max="6405" width="11.33203125" customWidth="1"/>
    <col min="6406" max="6406" width="8.77734375" customWidth="1"/>
    <col min="6407" max="6407" width="6.33203125" customWidth="1"/>
    <col min="6408" max="6408" width="14.33203125" customWidth="1"/>
    <col min="6409" max="6412" width="8.77734375" customWidth="1"/>
    <col min="6413" max="6413" width="17.77734375" customWidth="1"/>
    <col min="6414" max="6655" width="8.77734375" customWidth="1"/>
    <col min="6656" max="6656" width="32.33203125" bestFit="1" customWidth="1"/>
    <col min="6657" max="6657" width="22.21875" customWidth="1"/>
    <col min="6658" max="6658" width="14.33203125" customWidth="1"/>
    <col min="6659" max="6659" width="19" customWidth="1"/>
    <col min="6660" max="6660" width="8.77734375" customWidth="1"/>
    <col min="6661" max="6661" width="11.33203125" customWidth="1"/>
    <col min="6662" max="6662" width="8.77734375" customWidth="1"/>
    <col min="6663" max="6663" width="6.33203125" customWidth="1"/>
    <col min="6664" max="6664" width="14.33203125" customWidth="1"/>
    <col min="6665" max="6668" width="8.77734375" customWidth="1"/>
    <col min="6669" max="6669" width="17.77734375" customWidth="1"/>
    <col min="6670" max="6911" width="8.77734375" customWidth="1"/>
    <col min="6912" max="6912" width="32.33203125" bestFit="1" customWidth="1"/>
    <col min="6913" max="6913" width="22.21875" customWidth="1"/>
    <col min="6914" max="6914" width="14.33203125" customWidth="1"/>
    <col min="6915" max="6915" width="19" customWidth="1"/>
    <col min="6916" max="6916" width="8.77734375" customWidth="1"/>
    <col min="6917" max="6917" width="11.33203125" customWidth="1"/>
    <col min="6918" max="6918" width="8.77734375" customWidth="1"/>
    <col min="6919" max="6919" width="6.33203125" customWidth="1"/>
    <col min="6920" max="6920" width="14.33203125" customWidth="1"/>
    <col min="6921" max="6924" width="8.77734375" customWidth="1"/>
    <col min="6925" max="6925" width="17.77734375" customWidth="1"/>
    <col min="6926" max="7167" width="8.77734375" customWidth="1"/>
    <col min="7168" max="7168" width="32.33203125" bestFit="1" customWidth="1"/>
    <col min="7169" max="7169" width="22.21875" customWidth="1"/>
    <col min="7170" max="7170" width="14.33203125" customWidth="1"/>
    <col min="7171" max="7171" width="19" customWidth="1"/>
    <col min="7172" max="7172" width="8.77734375" customWidth="1"/>
    <col min="7173" max="7173" width="11.33203125" customWidth="1"/>
    <col min="7174" max="7174" width="8.77734375" customWidth="1"/>
    <col min="7175" max="7175" width="6.33203125" customWidth="1"/>
    <col min="7176" max="7176" width="14.33203125" customWidth="1"/>
    <col min="7177" max="7180" width="8.77734375" customWidth="1"/>
    <col min="7181" max="7181" width="17.77734375" customWidth="1"/>
    <col min="7182" max="7423" width="8.77734375" customWidth="1"/>
    <col min="7424" max="7424" width="32.33203125" bestFit="1" customWidth="1"/>
    <col min="7425" max="7425" width="22.21875" customWidth="1"/>
    <col min="7426" max="7426" width="14.33203125" customWidth="1"/>
    <col min="7427" max="7427" width="19" customWidth="1"/>
    <col min="7428" max="7428" width="8.77734375" customWidth="1"/>
    <col min="7429" max="7429" width="11.33203125" customWidth="1"/>
    <col min="7430" max="7430" width="8.77734375" customWidth="1"/>
    <col min="7431" max="7431" width="6.33203125" customWidth="1"/>
    <col min="7432" max="7432" width="14.33203125" customWidth="1"/>
    <col min="7433" max="7436" width="8.77734375" customWidth="1"/>
    <col min="7437" max="7437" width="17.77734375" customWidth="1"/>
    <col min="7438" max="7679" width="8.77734375" customWidth="1"/>
    <col min="7680" max="7680" width="32.33203125" bestFit="1" customWidth="1"/>
    <col min="7681" max="7681" width="22.21875" customWidth="1"/>
    <col min="7682" max="7682" width="14.33203125" customWidth="1"/>
    <col min="7683" max="7683" width="19" customWidth="1"/>
    <col min="7684" max="7684" width="8.77734375" customWidth="1"/>
    <col min="7685" max="7685" width="11.33203125" customWidth="1"/>
    <col min="7686" max="7686" width="8.77734375" customWidth="1"/>
    <col min="7687" max="7687" width="6.33203125" customWidth="1"/>
    <col min="7688" max="7688" width="14.33203125" customWidth="1"/>
    <col min="7689" max="7692" width="8.77734375" customWidth="1"/>
    <col min="7693" max="7693" width="17.77734375" customWidth="1"/>
    <col min="7694" max="7935" width="8.77734375" customWidth="1"/>
    <col min="7936" max="7936" width="32.33203125" bestFit="1" customWidth="1"/>
    <col min="7937" max="7937" width="22.21875" customWidth="1"/>
    <col min="7938" max="7938" width="14.33203125" customWidth="1"/>
    <col min="7939" max="7939" width="19" customWidth="1"/>
    <col min="7940" max="7940" width="8.77734375" customWidth="1"/>
    <col min="7941" max="7941" width="11.33203125" customWidth="1"/>
    <col min="7942" max="7942" width="8.77734375" customWidth="1"/>
    <col min="7943" max="7943" width="6.33203125" customWidth="1"/>
    <col min="7944" max="7944" width="14.33203125" customWidth="1"/>
    <col min="7945" max="7948" width="8.77734375" customWidth="1"/>
    <col min="7949" max="7949" width="17.77734375" customWidth="1"/>
    <col min="7950" max="8191" width="8.77734375" customWidth="1"/>
    <col min="8192" max="8192" width="32.33203125" bestFit="1" customWidth="1"/>
    <col min="8193" max="8193" width="22.21875" customWidth="1"/>
    <col min="8194" max="8194" width="14.33203125" customWidth="1"/>
    <col min="8195" max="8195" width="19" customWidth="1"/>
    <col min="8196" max="8196" width="8.77734375" customWidth="1"/>
    <col min="8197" max="8197" width="11.33203125" customWidth="1"/>
    <col min="8198" max="8198" width="8.77734375" customWidth="1"/>
    <col min="8199" max="8199" width="6.33203125" customWidth="1"/>
    <col min="8200" max="8200" width="14.33203125" customWidth="1"/>
    <col min="8201" max="8204" width="8.77734375" customWidth="1"/>
    <col min="8205" max="8205" width="17.77734375" customWidth="1"/>
    <col min="8206" max="8447" width="8.77734375" customWidth="1"/>
    <col min="8448" max="8448" width="32.33203125" bestFit="1" customWidth="1"/>
    <col min="8449" max="8449" width="22.21875" customWidth="1"/>
    <col min="8450" max="8450" width="14.33203125" customWidth="1"/>
    <col min="8451" max="8451" width="19" customWidth="1"/>
    <col min="8452" max="8452" width="8.77734375" customWidth="1"/>
    <col min="8453" max="8453" width="11.33203125" customWidth="1"/>
    <col min="8454" max="8454" width="8.77734375" customWidth="1"/>
    <col min="8455" max="8455" width="6.33203125" customWidth="1"/>
    <col min="8456" max="8456" width="14.33203125" customWidth="1"/>
    <col min="8457" max="8460" width="8.77734375" customWidth="1"/>
    <col min="8461" max="8461" width="17.77734375" customWidth="1"/>
    <col min="8462" max="8703" width="8.77734375" customWidth="1"/>
    <col min="8704" max="8704" width="32.33203125" bestFit="1" customWidth="1"/>
    <col min="8705" max="8705" width="22.21875" customWidth="1"/>
    <col min="8706" max="8706" width="14.33203125" customWidth="1"/>
    <col min="8707" max="8707" width="19" customWidth="1"/>
    <col min="8708" max="8708" width="8.77734375" customWidth="1"/>
    <col min="8709" max="8709" width="11.33203125" customWidth="1"/>
    <col min="8710" max="8710" width="8.77734375" customWidth="1"/>
    <col min="8711" max="8711" width="6.33203125" customWidth="1"/>
    <col min="8712" max="8712" width="14.33203125" customWidth="1"/>
    <col min="8713" max="8716" width="8.77734375" customWidth="1"/>
    <col min="8717" max="8717" width="17.77734375" customWidth="1"/>
    <col min="8718" max="8959" width="8.77734375" customWidth="1"/>
    <col min="8960" max="8960" width="32.33203125" bestFit="1" customWidth="1"/>
    <col min="8961" max="8961" width="22.21875" customWidth="1"/>
    <col min="8962" max="8962" width="14.33203125" customWidth="1"/>
    <col min="8963" max="8963" width="19" customWidth="1"/>
    <col min="8964" max="8964" width="8.77734375" customWidth="1"/>
    <col min="8965" max="8965" width="11.33203125" customWidth="1"/>
    <col min="8966" max="8966" width="8.77734375" customWidth="1"/>
    <col min="8967" max="8967" width="6.33203125" customWidth="1"/>
    <col min="8968" max="8968" width="14.33203125" customWidth="1"/>
    <col min="8969" max="8972" width="8.77734375" customWidth="1"/>
    <col min="8973" max="8973" width="17.77734375" customWidth="1"/>
    <col min="8974" max="9215" width="8.77734375" customWidth="1"/>
    <col min="9216" max="9216" width="32.33203125" bestFit="1" customWidth="1"/>
    <col min="9217" max="9217" width="22.21875" customWidth="1"/>
    <col min="9218" max="9218" width="14.33203125" customWidth="1"/>
    <col min="9219" max="9219" width="19" customWidth="1"/>
    <col min="9220" max="9220" width="8.77734375" customWidth="1"/>
    <col min="9221" max="9221" width="11.33203125" customWidth="1"/>
    <col min="9222" max="9222" width="8.77734375" customWidth="1"/>
    <col min="9223" max="9223" width="6.33203125" customWidth="1"/>
    <col min="9224" max="9224" width="14.33203125" customWidth="1"/>
    <col min="9225" max="9228" width="8.77734375" customWidth="1"/>
    <col min="9229" max="9229" width="17.77734375" customWidth="1"/>
    <col min="9230" max="9471" width="8.77734375" customWidth="1"/>
    <col min="9472" max="9472" width="32.33203125" bestFit="1" customWidth="1"/>
    <col min="9473" max="9473" width="22.21875" customWidth="1"/>
    <col min="9474" max="9474" width="14.33203125" customWidth="1"/>
    <col min="9475" max="9475" width="19" customWidth="1"/>
    <col min="9476" max="9476" width="8.77734375" customWidth="1"/>
    <col min="9477" max="9477" width="11.33203125" customWidth="1"/>
    <col min="9478" max="9478" width="8.77734375" customWidth="1"/>
    <col min="9479" max="9479" width="6.33203125" customWidth="1"/>
    <col min="9480" max="9480" width="14.33203125" customWidth="1"/>
    <col min="9481" max="9484" width="8.77734375" customWidth="1"/>
    <col min="9485" max="9485" width="17.77734375" customWidth="1"/>
    <col min="9486" max="9727" width="8.77734375" customWidth="1"/>
    <col min="9728" max="9728" width="32.33203125" bestFit="1" customWidth="1"/>
    <col min="9729" max="9729" width="22.21875" customWidth="1"/>
    <col min="9730" max="9730" width="14.33203125" customWidth="1"/>
    <col min="9731" max="9731" width="19" customWidth="1"/>
    <col min="9732" max="9732" width="8.77734375" customWidth="1"/>
    <col min="9733" max="9733" width="11.33203125" customWidth="1"/>
    <col min="9734" max="9734" width="8.77734375" customWidth="1"/>
    <col min="9735" max="9735" width="6.33203125" customWidth="1"/>
    <col min="9736" max="9736" width="14.33203125" customWidth="1"/>
    <col min="9737" max="9740" width="8.77734375" customWidth="1"/>
    <col min="9741" max="9741" width="17.77734375" customWidth="1"/>
    <col min="9742" max="9983" width="8.77734375" customWidth="1"/>
    <col min="9984" max="9984" width="32.33203125" bestFit="1" customWidth="1"/>
    <col min="9985" max="9985" width="22.21875" customWidth="1"/>
    <col min="9986" max="9986" width="14.33203125" customWidth="1"/>
    <col min="9987" max="9987" width="19" customWidth="1"/>
    <col min="9988" max="9988" width="8.77734375" customWidth="1"/>
    <col min="9989" max="9989" width="11.33203125" customWidth="1"/>
    <col min="9990" max="9990" width="8.77734375" customWidth="1"/>
    <col min="9991" max="9991" width="6.33203125" customWidth="1"/>
    <col min="9992" max="9992" width="14.33203125" customWidth="1"/>
    <col min="9993" max="9996" width="8.77734375" customWidth="1"/>
    <col min="9997" max="9997" width="17.77734375" customWidth="1"/>
    <col min="9998" max="10239" width="8.77734375" customWidth="1"/>
    <col min="10240" max="10240" width="32.33203125" bestFit="1" customWidth="1"/>
    <col min="10241" max="10241" width="22.21875" customWidth="1"/>
    <col min="10242" max="10242" width="14.33203125" customWidth="1"/>
    <col min="10243" max="10243" width="19" customWidth="1"/>
    <col min="10244" max="10244" width="8.77734375" customWidth="1"/>
    <col min="10245" max="10245" width="11.33203125" customWidth="1"/>
    <col min="10246" max="10246" width="8.77734375" customWidth="1"/>
    <col min="10247" max="10247" width="6.33203125" customWidth="1"/>
    <col min="10248" max="10248" width="14.33203125" customWidth="1"/>
    <col min="10249" max="10252" width="8.77734375" customWidth="1"/>
    <col min="10253" max="10253" width="17.77734375" customWidth="1"/>
    <col min="10254" max="10495" width="8.77734375" customWidth="1"/>
    <col min="10496" max="10496" width="32.33203125" bestFit="1" customWidth="1"/>
    <col min="10497" max="10497" width="22.21875" customWidth="1"/>
    <col min="10498" max="10498" width="14.33203125" customWidth="1"/>
    <col min="10499" max="10499" width="19" customWidth="1"/>
    <col min="10500" max="10500" width="8.77734375" customWidth="1"/>
    <col min="10501" max="10501" width="11.33203125" customWidth="1"/>
    <col min="10502" max="10502" width="8.77734375" customWidth="1"/>
    <col min="10503" max="10503" width="6.33203125" customWidth="1"/>
    <col min="10504" max="10504" width="14.33203125" customWidth="1"/>
    <col min="10505" max="10508" width="8.77734375" customWidth="1"/>
    <col min="10509" max="10509" width="17.77734375" customWidth="1"/>
    <col min="10510" max="10751" width="8.77734375" customWidth="1"/>
    <col min="10752" max="10752" width="32.33203125" bestFit="1" customWidth="1"/>
    <col min="10753" max="10753" width="22.21875" customWidth="1"/>
    <col min="10754" max="10754" width="14.33203125" customWidth="1"/>
    <col min="10755" max="10755" width="19" customWidth="1"/>
    <col min="10756" max="10756" width="8.77734375" customWidth="1"/>
    <col min="10757" max="10757" width="11.33203125" customWidth="1"/>
    <col min="10758" max="10758" width="8.77734375" customWidth="1"/>
    <col min="10759" max="10759" width="6.33203125" customWidth="1"/>
    <col min="10760" max="10760" width="14.33203125" customWidth="1"/>
    <col min="10761" max="10764" width="8.77734375" customWidth="1"/>
    <col min="10765" max="10765" width="17.77734375" customWidth="1"/>
    <col min="10766" max="11007" width="8.77734375" customWidth="1"/>
    <col min="11008" max="11008" width="32.33203125" bestFit="1" customWidth="1"/>
    <col min="11009" max="11009" width="22.21875" customWidth="1"/>
    <col min="11010" max="11010" width="14.33203125" customWidth="1"/>
    <col min="11011" max="11011" width="19" customWidth="1"/>
    <col min="11012" max="11012" width="8.77734375" customWidth="1"/>
    <col min="11013" max="11013" width="11.33203125" customWidth="1"/>
    <col min="11014" max="11014" width="8.77734375" customWidth="1"/>
    <col min="11015" max="11015" width="6.33203125" customWidth="1"/>
    <col min="11016" max="11016" width="14.33203125" customWidth="1"/>
    <col min="11017" max="11020" width="8.77734375" customWidth="1"/>
    <col min="11021" max="11021" width="17.77734375" customWidth="1"/>
    <col min="11022" max="11263" width="8.77734375" customWidth="1"/>
    <col min="11264" max="11264" width="32.33203125" bestFit="1" customWidth="1"/>
    <col min="11265" max="11265" width="22.21875" customWidth="1"/>
    <col min="11266" max="11266" width="14.33203125" customWidth="1"/>
    <col min="11267" max="11267" width="19" customWidth="1"/>
    <col min="11268" max="11268" width="8.77734375" customWidth="1"/>
    <col min="11269" max="11269" width="11.33203125" customWidth="1"/>
    <col min="11270" max="11270" width="8.77734375" customWidth="1"/>
    <col min="11271" max="11271" width="6.33203125" customWidth="1"/>
    <col min="11272" max="11272" width="14.33203125" customWidth="1"/>
    <col min="11273" max="11276" width="8.77734375" customWidth="1"/>
    <col min="11277" max="11277" width="17.77734375" customWidth="1"/>
    <col min="11278" max="11519" width="8.77734375" customWidth="1"/>
    <col min="11520" max="11520" width="32.33203125" bestFit="1" customWidth="1"/>
    <col min="11521" max="11521" width="22.21875" customWidth="1"/>
    <col min="11522" max="11522" width="14.33203125" customWidth="1"/>
    <col min="11523" max="11523" width="19" customWidth="1"/>
    <col min="11524" max="11524" width="8.77734375" customWidth="1"/>
    <col min="11525" max="11525" width="11.33203125" customWidth="1"/>
    <col min="11526" max="11526" width="8.77734375" customWidth="1"/>
    <col min="11527" max="11527" width="6.33203125" customWidth="1"/>
    <col min="11528" max="11528" width="14.33203125" customWidth="1"/>
    <col min="11529" max="11532" width="8.77734375" customWidth="1"/>
    <col min="11533" max="11533" width="17.77734375" customWidth="1"/>
    <col min="11534" max="11775" width="8.77734375" customWidth="1"/>
    <col min="11776" max="11776" width="32.33203125" bestFit="1" customWidth="1"/>
    <col min="11777" max="11777" width="22.21875" customWidth="1"/>
    <col min="11778" max="11778" width="14.33203125" customWidth="1"/>
    <col min="11779" max="11779" width="19" customWidth="1"/>
    <col min="11780" max="11780" width="8.77734375" customWidth="1"/>
    <col min="11781" max="11781" width="11.33203125" customWidth="1"/>
    <col min="11782" max="11782" width="8.77734375" customWidth="1"/>
    <col min="11783" max="11783" width="6.33203125" customWidth="1"/>
    <col min="11784" max="11784" width="14.33203125" customWidth="1"/>
    <col min="11785" max="11788" width="8.77734375" customWidth="1"/>
    <col min="11789" max="11789" width="17.77734375" customWidth="1"/>
    <col min="11790" max="12031" width="8.77734375" customWidth="1"/>
    <col min="12032" max="12032" width="32.33203125" bestFit="1" customWidth="1"/>
    <col min="12033" max="12033" width="22.21875" customWidth="1"/>
    <col min="12034" max="12034" width="14.33203125" customWidth="1"/>
    <col min="12035" max="12035" width="19" customWidth="1"/>
    <col min="12036" max="12036" width="8.77734375" customWidth="1"/>
    <col min="12037" max="12037" width="11.33203125" customWidth="1"/>
    <col min="12038" max="12038" width="8.77734375" customWidth="1"/>
    <col min="12039" max="12039" width="6.33203125" customWidth="1"/>
    <col min="12040" max="12040" width="14.33203125" customWidth="1"/>
    <col min="12041" max="12044" width="8.77734375" customWidth="1"/>
    <col min="12045" max="12045" width="17.77734375" customWidth="1"/>
    <col min="12046" max="12287" width="8.77734375" customWidth="1"/>
    <col min="12288" max="12288" width="32.33203125" bestFit="1" customWidth="1"/>
    <col min="12289" max="12289" width="22.21875" customWidth="1"/>
    <col min="12290" max="12290" width="14.33203125" customWidth="1"/>
    <col min="12291" max="12291" width="19" customWidth="1"/>
    <col min="12292" max="12292" width="8.77734375" customWidth="1"/>
    <col min="12293" max="12293" width="11.33203125" customWidth="1"/>
    <col min="12294" max="12294" width="8.77734375" customWidth="1"/>
    <col min="12295" max="12295" width="6.33203125" customWidth="1"/>
    <col min="12296" max="12296" width="14.33203125" customWidth="1"/>
    <col min="12297" max="12300" width="8.77734375" customWidth="1"/>
    <col min="12301" max="12301" width="17.77734375" customWidth="1"/>
    <col min="12302" max="12543" width="8.77734375" customWidth="1"/>
    <col min="12544" max="12544" width="32.33203125" bestFit="1" customWidth="1"/>
    <col min="12545" max="12545" width="22.21875" customWidth="1"/>
    <col min="12546" max="12546" width="14.33203125" customWidth="1"/>
    <col min="12547" max="12547" width="19" customWidth="1"/>
    <col min="12548" max="12548" width="8.77734375" customWidth="1"/>
    <col min="12549" max="12549" width="11.33203125" customWidth="1"/>
    <col min="12550" max="12550" width="8.77734375" customWidth="1"/>
    <col min="12551" max="12551" width="6.33203125" customWidth="1"/>
    <col min="12552" max="12552" width="14.33203125" customWidth="1"/>
    <col min="12553" max="12556" width="8.77734375" customWidth="1"/>
    <col min="12557" max="12557" width="17.77734375" customWidth="1"/>
    <col min="12558" max="12799" width="8.77734375" customWidth="1"/>
    <col min="12800" max="12800" width="32.33203125" bestFit="1" customWidth="1"/>
    <col min="12801" max="12801" width="22.21875" customWidth="1"/>
    <col min="12802" max="12802" width="14.33203125" customWidth="1"/>
    <col min="12803" max="12803" width="19" customWidth="1"/>
    <col min="12804" max="12804" width="8.77734375" customWidth="1"/>
    <col min="12805" max="12805" width="11.33203125" customWidth="1"/>
    <col min="12806" max="12806" width="8.77734375" customWidth="1"/>
    <col min="12807" max="12807" width="6.33203125" customWidth="1"/>
    <col min="12808" max="12808" width="14.33203125" customWidth="1"/>
    <col min="12809" max="12812" width="8.77734375" customWidth="1"/>
    <col min="12813" max="12813" width="17.77734375" customWidth="1"/>
    <col min="12814" max="13055" width="8.77734375" customWidth="1"/>
    <col min="13056" max="13056" width="32.33203125" bestFit="1" customWidth="1"/>
    <col min="13057" max="13057" width="22.21875" customWidth="1"/>
    <col min="13058" max="13058" width="14.33203125" customWidth="1"/>
    <col min="13059" max="13059" width="19" customWidth="1"/>
    <col min="13060" max="13060" width="8.77734375" customWidth="1"/>
    <col min="13061" max="13061" width="11.33203125" customWidth="1"/>
    <col min="13062" max="13062" width="8.77734375" customWidth="1"/>
    <col min="13063" max="13063" width="6.33203125" customWidth="1"/>
    <col min="13064" max="13064" width="14.33203125" customWidth="1"/>
    <col min="13065" max="13068" width="8.77734375" customWidth="1"/>
    <col min="13069" max="13069" width="17.77734375" customWidth="1"/>
    <col min="13070" max="13311" width="8.77734375" customWidth="1"/>
    <col min="13312" max="13312" width="32.33203125" bestFit="1" customWidth="1"/>
    <col min="13313" max="13313" width="22.21875" customWidth="1"/>
    <col min="13314" max="13314" width="14.33203125" customWidth="1"/>
    <col min="13315" max="13315" width="19" customWidth="1"/>
    <col min="13316" max="13316" width="8.77734375" customWidth="1"/>
    <col min="13317" max="13317" width="11.33203125" customWidth="1"/>
    <col min="13318" max="13318" width="8.77734375" customWidth="1"/>
    <col min="13319" max="13319" width="6.33203125" customWidth="1"/>
    <col min="13320" max="13320" width="14.33203125" customWidth="1"/>
    <col min="13321" max="13324" width="8.77734375" customWidth="1"/>
    <col min="13325" max="13325" width="17.77734375" customWidth="1"/>
    <col min="13326" max="13567" width="8.77734375" customWidth="1"/>
    <col min="13568" max="13568" width="32.33203125" bestFit="1" customWidth="1"/>
    <col min="13569" max="13569" width="22.21875" customWidth="1"/>
    <col min="13570" max="13570" width="14.33203125" customWidth="1"/>
    <col min="13571" max="13571" width="19" customWidth="1"/>
    <col min="13572" max="13572" width="8.77734375" customWidth="1"/>
    <col min="13573" max="13573" width="11.33203125" customWidth="1"/>
    <col min="13574" max="13574" width="8.77734375" customWidth="1"/>
    <col min="13575" max="13575" width="6.33203125" customWidth="1"/>
    <col min="13576" max="13576" width="14.33203125" customWidth="1"/>
    <col min="13577" max="13580" width="8.77734375" customWidth="1"/>
    <col min="13581" max="13581" width="17.77734375" customWidth="1"/>
    <col min="13582" max="13823" width="8.77734375" customWidth="1"/>
    <col min="13824" max="13824" width="32.33203125" bestFit="1" customWidth="1"/>
    <col min="13825" max="13825" width="22.21875" customWidth="1"/>
    <col min="13826" max="13826" width="14.33203125" customWidth="1"/>
    <col min="13827" max="13827" width="19" customWidth="1"/>
    <col min="13828" max="13828" width="8.77734375" customWidth="1"/>
    <col min="13829" max="13829" width="11.33203125" customWidth="1"/>
    <col min="13830" max="13830" width="8.77734375" customWidth="1"/>
    <col min="13831" max="13831" width="6.33203125" customWidth="1"/>
    <col min="13832" max="13832" width="14.33203125" customWidth="1"/>
    <col min="13833" max="13836" width="8.77734375" customWidth="1"/>
    <col min="13837" max="13837" width="17.77734375" customWidth="1"/>
    <col min="13838" max="14079" width="8.77734375" customWidth="1"/>
    <col min="14080" max="14080" width="32.33203125" bestFit="1" customWidth="1"/>
    <col min="14081" max="14081" width="22.21875" customWidth="1"/>
    <col min="14082" max="14082" width="14.33203125" customWidth="1"/>
    <col min="14083" max="14083" width="19" customWidth="1"/>
    <col min="14084" max="14084" width="8.77734375" customWidth="1"/>
    <col min="14085" max="14085" width="11.33203125" customWidth="1"/>
    <col min="14086" max="14086" width="8.77734375" customWidth="1"/>
    <col min="14087" max="14087" width="6.33203125" customWidth="1"/>
    <col min="14088" max="14088" width="14.33203125" customWidth="1"/>
    <col min="14089" max="14092" width="8.77734375" customWidth="1"/>
    <col min="14093" max="14093" width="17.77734375" customWidth="1"/>
    <col min="14094" max="14335" width="8.77734375" customWidth="1"/>
    <col min="14336" max="14336" width="32.33203125" bestFit="1" customWidth="1"/>
    <col min="14337" max="14337" width="22.21875" customWidth="1"/>
    <col min="14338" max="14338" width="14.33203125" customWidth="1"/>
    <col min="14339" max="14339" width="19" customWidth="1"/>
    <col min="14340" max="14340" width="8.77734375" customWidth="1"/>
    <col min="14341" max="14341" width="11.33203125" customWidth="1"/>
    <col min="14342" max="14342" width="8.77734375" customWidth="1"/>
    <col min="14343" max="14343" width="6.33203125" customWidth="1"/>
    <col min="14344" max="14344" width="14.33203125" customWidth="1"/>
    <col min="14345" max="14348" width="8.77734375" customWidth="1"/>
    <col min="14349" max="14349" width="17.77734375" customWidth="1"/>
    <col min="14350" max="14591" width="8.77734375" customWidth="1"/>
    <col min="14592" max="14592" width="32.33203125" bestFit="1" customWidth="1"/>
    <col min="14593" max="14593" width="22.21875" customWidth="1"/>
    <col min="14594" max="14594" width="14.33203125" customWidth="1"/>
    <col min="14595" max="14595" width="19" customWidth="1"/>
    <col min="14596" max="14596" width="8.77734375" customWidth="1"/>
    <col min="14597" max="14597" width="11.33203125" customWidth="1"/>
    <col min="14598" max="14598" width="8.77734375" customWidth="1"/>
    <col min="14599" max="14599" width="6.33203125" customWidth="1"/>
    <col min="14600" max="14600" width="14.33203125" customWidth="1"/>
    <col min="14601" max="14604" width="8.77734375" customWidth="1"/>
    <col min="14605" max="14605" width="17.77734375" customWidth="1"/>
    <col min="14606" max="14847" width="8.77734375" customWidth="1"/>
    <col min="14848" max="14848" width="32.33203125" bestFit="1" customWidth="1"/>
    <col min="14849" max="14849" width="22.21875" customWidth="1"/>
    <col min="14850" max="14850" width="14.33203125" customWidth="1"/>
    <col min="14851" max="14851" width="19" customWidth="1"/>
    <col min="14852" max="14852" width="8.77734375" customWidth="1"/>
    <col min="14853" max="14853" width="11.33203125" customWidth="1"/>
    <col min="14854" max="14854" width="8.77734375" customWidth="1"/>
    <col min="14855" max="14855" width="6.33203125" customWidth="1"/>
    <col min="14856" max="14856" width="14.33203125" customWidth="1"/>
    <col min="14857" max="14860" width="8.77734375" customWidth="1"/>
    <col min="14861" max="14861" width="17.77734375" customWidth="1"/>
    <col min="14862" max="15103" width="8.77734375" customWidth="1"/>
    <col min="15104" max="15104" width="32.33203125" bestFit="1" customWidth="1"/>
    <col min="15105" max="15105" width="22.21875" customWidth="1"/>
    <col min="15106" max="15106" width="14.33203125" customWidth="1"/>
    <col min="15107" max="15107" width="19" customWidth="1"/>
    <col min="15108" max="15108" width="8.77734375" customWidth="1"/>
    <col min="15109" max="15109" width="11.33203125" customWidth="1"/>
    <col min="15110" max="15110" width="8.77734375" customWidth="1"/>
    <col min="15111" max="15111" width="6.33203125" customWidth="1"/>
    <col min="15112" max="15112" width="14.33203125" customWidth="1"/>
    <col min="15113" max="15116" width="8.77734375" customWidth="1"/>
    <col min="15117" max="15117" width="17.77734375" customWidth="1"/>
    <col min="15118" max="15359" width="8.77734375" customWidth="1"/>
    <col min="15360" max="15360" width="32.33203125" bestFit="1" customWidth="1"/>
    <col min="15361" max="15361" width="22.21875" customWidth="1"/>
    <col min="15362" max="15362" width="14.33203125" customWidth="1"/>
    <col min="15363" max="15363" width="19" customWidth="1"/>
    <col min="15364" max="15364" width="8.77734375" customWidth="1"/>
    <col min="15365" max="15365" width="11.33203125" customWidth="1"/>
    <col min="15366" max="15366" width="8.77734375" customWidth="1"/>
    <col min="15367" max="15367" width="6.33203125" customWidth="1"/>
    <col min="15368" max="15368" width="14.33203125" customWidth="1"/>
    <col min="15369" max="15372" width="8.77734375" customWidth="1"/>
    <col min="15373" max="15373" width="17.77734375" customWidth="1"/>
    <col min="15374" max="15615" width="8.77734375" customWidth="1"/>
    <col min="15616" max="15616" width="32.33203125" bestFit="1" customWidth="1"/>
    <col min="15617" max="15617" width="22.21875" customWidth="1"/>
    <col min="15618" max="15618" width="14.33203125" customWidth="1"/>
    <col min="15619" max="15619" width="19" customWidth="1"/>
    <col min="15620" max="15620" width="8.77734375" customWidth="1"/>
    <col min="15621" max="15621" width="11.33203125" customWidth="1"/>
    <col min="15622" max="15622" width="8.77734375" customWidth="1"/>
    <col min="15623" max="15623" width="6.33203125" customWidth="1"/>
    <col min="15624" max="15624" width="14.33203125" customWidth="1"/>
    <col min="15625" max="15628" width="8.77734375" customWidth="1"/>
    <col min="15629" max="15629" width="17.77734375" customWidth="1"/>
    <col min="15630" max="15871" width="8.77734375" customWidth="1"/>
    <col min="15872" max="15872" width="32.33203125" bestFit="1" customWidth="1"/>
    <col min="15873" max="15873" width="22.21875" customWidth="1"/>
    <col min="15874" max="15874" width="14.33203125" customWidth="1"/>
    <col min="15875" max="15875" width="19" customWidth="1"/>
    <col min="15876" max="15876" width="8.77734375" customWidth="1"/>
    <col min="15877" max="15877" width="11.33203125" customWidth="1"/>
    <col min="15878" max="15878" width="8.77734375" customWidth="1"/>
    <col min="15879" max="15879" width="6.33203125" customWidth="1"/>
    <col min="15880" max="15880" width="14.33203125" customWidth="1"/>
    <col min="15881" max="15884" width="8.77734375" customWidth="1"/>
    <col min="15885" max="15885" width="17.77734375" customWidth="1"/>
    <col min="15886" max="16127" width="8.77734375" customWidth="1"/>
    <col min="16128" max="16128" width="32.33203125" bestFit="1" customWidth="1"/>
    <col min="16129" max="16129" width="22.21875" customWidth="1"/>
    <col min="16130" max="16130" width="14.33203125" customWidth="1"/>
    <col min="16131" max="16131" width="19" customWidth="1"/>
    <col min="16132" max="16132" width="8.77734375" customWidth="1"/>
    <col min="16133" max="16133" width="11.33203125" customWidth="1"/>
    <col min="16134" max="16134" width="8.77734375" customWidth="1"/>
    <col min="16135" max="16135" width="6.33203125" customWidth="1"/>
    <col min="16136" max="16136" width="14.33203125" customWidth="1"/>
    <col min="16137" max="16140" width="8.77734375" customWidth="1"/>
    <col min="16141" max="16141" width="17.77734375" customWidth="1"/>
    <col min="16142" max="16384" width="8.77734375" customWidth="1"/>
  </cols>
  <sheetData>
    <row r="1" spans="1:21" x14ac:dyDescent="0.25">
      <c r="A1" s="52" t="s">
        <v>0</v>
      </c>
      <c r="B1" s="609" t="str">
        <f>'Cover Page'!D1</f>
        <v>Edge School, Inc., The</v>
      </c>
      <c r="C1" s="609"/>
      <c r="E1" s="52" t="s">
        <v>1</v>
      </c>
      <c r="F1" s="61" t="str">
        <f>'Cover Page'!M1</f>
        <v>Pima</v>
      </c>
      <c r="G1" s="558"/>
      <c r="H1" s="52" t="s">
        <v>2</v>
      </c>
      <c r="I1" s="54" t="str">
        <f>'Cover Page'!R1</f>
        <v>108653000</v>
      </c>
      <c r="J1" s="61"/>
      <c r="K1" s="61"/>
    </row>
    <row r="3" spans="1:21" x14ac:dyDescent="0.25">
      <c r="A3" s="559"/>
    </row>
    <row r="4" spans="1:21" x14ac:dyDescent="0.25">
      <c r="H4" s="494" t="s">
        <v>592</v>
      </c>
      <c r="I4" s="485" t="s">
        <v>593</v>
      </c>
      <c r="J4" s="485" t="s">
        <v>594</v>
      </c>
    </row>
    <row r="5" spans="1:21" x14ac:dyDescent="0.25">
      <c r="H5" s="160" t="s">
        <v>595</v>
      </c>
      <c r="I5" s="560">
        <v>144.53970000000001</v>
      </c>
      <c r="J5" s="560">
        <v>126.3997</v>
      </c>
    </row>
    <row r="6" spans="1:21" x14ac:dyDescent="0.25">
      <c r="A6" s="561"/>
      <c r="B6" s="562" t="s">
        <v>596</v>
      </c>
    </row>
    <row r="8" spans="1:21" ht="15" customHeight="1" x14ac:dyDescent="0.25">
      <c r="A8" s="563"/>
      <c r="B8" s="171"/>
      <c r="C8" s="94" t="s">
        <v>345</v>
      </c>
      <c r="D8" s="770" t="s">
        <v>597</v>
      </c>
      <c r="E8" s="172"/>
      <c r="F8" s="173"/>
      <c r="G8" s="773" t="s">
        <v>598</v>
      </c>
      <c r="H8" s="775" t="s">
        <v>599</v>
      </c>
      <c r="I8" s="173"/>
      <c r="J8" s="173"/>
      <c r="K8" s="564"/>
    </row>
    <row r="9" spans="1:21" x14ac:dyDescent="0.25">
      <c r="A9" s="565"/>
      <c r="B9" s="95" t="s">
        <v>600</v>
      </c>
      <c r="C9" s="96" t="s">
        <v>350</v>
      </c>
      <c r="D9" s="771"/>
      <c r="E9" s="174"/>
      <c r="F9" s="175"/>
      <c r="G9" s="774"/>
      <c r="H9" s="774"/>
      <c r="I9" s="175" t="s">
        <v>348</v>
      </c>
      <c r="J9" s="175" t="s">
        <v>601</v>
      </c>
      <c r="K9" s="566" t="s">
        <v>209</v>
      </c>
    </row>
    <row r="10" spans="1:21" x14ac:dyDescent="0.25">
      <c r="A10" s="567" t="s">
        <v>602</v>
      </c>
      <c r="B10" s="97" t="s">
        <v>356</v>
      </c>
      <c r="C10" s="98" t="s">
        <v>356</v>
      </c>
      <c r="D10" s="772"/>
      <c r="E10" s="176" t="s">
        <v>603</v>
      </c>
      <c r="F10" s="177" t="s">
        <v>352</v>
      </c>
      <c r="G10" s="774"/>
      <c r="H10" s="774"/>
      <c r="I10" s="177" t="s">
        <v>354</v>
      </c>
      <c r="J10" s="177" t="s">
        <v>604</v>
      </c>
      <c r="K10" s="568" t="s">
        <v>356</v>
      </c>
      <c r="M10" s="52" t="s">
        <v>605</v>
      </c>
    </row>
    <row r="11" spans="1:21" x14ac:dyDescent="0.25">
      <c r="A11" s="569" t="s">
        <v>606</v>
      </c>
      <c r="B11" s="570"/>
      <c r="C11" s="571"/>
      <c r="D11" s="571"/>
      <c r="E11" s="572"/>
      <c r="F11" s="573"/>
      <c r="G11" s="574">
        <f>'Page 2'!I23</f>
        <v>1361421</v>
      </c>
      <c r="H11" s="575">
        <f>'Page 2'!J23</f>
        <v>1367073</v>
      </c>
      <c r="I11" s="576"/>
      <c r="J11" s="573"/>
      <c r="K11" s="570"/>
      <c r="M11" s="52" t="s">
        <v>607</v>
      </c>
    </row>
    <row r="12" spans="1:21" x14ac:dyDescent="0.25">
      <c r="A12" s="569" t="s">
        <v>608</v>
      </c>
      <c r="B12" s="570"/>
      <c r="C12" s="570"/>
      <c r="D12" s="570"/>
      <c r="E12" s="577"/>
      <c r="F12" s="573"/>
      <c r="G12" s="574">
        <f>'Page 2'!I37</f>
        <v>200939</v>
      </c>
      <c r="H12" s="578">
        <f>'Page 2'!J37</f>
        <v>194587</v>
      </c>
      <c r="I12" s="576"/>
      <c r="J12" s="573"/>
      <c r="K12" s="570"/>
      <c r="M12" s="193">
        <v>-1</v>
      </c>
      <c r="N12" s="58" t="str">
        <f>"The Charter "&amp;IF('Reserve balance'!F26="Yes","has","does not have")&amp;" an adopted policy establishing a reserve balance for FY 2026."</f>
        <v>The Charter does not have an adopted policy establishing a reserve balance for FY 2026.</v>
      </c>
      <c r="O12" s="58"/>
      <c r="P12" s="58"/>
      <c r="Q12" s="58"/>
      <c r="R12" s="58"/>
      <c r="S12" s="58"/>
      <c r="T12" s="58"/>
      <c r="U12" s="58"/>
    </row>
    <row r="13" spans="1:21" x14ac:dyDescent="0.25">
      <c r="A13" s="569" t="s">
        <v>609</v>
      </c>
      <c r="B13" s="570"/>
      <c r="C13" s="570"/>
      <c r="D13" s="570"/>
      <c r="E13" s="577"/>
      <c r="F13" s="573"/>
      <c r="G13" s="178">
        <f>'Page 2'!I38</f>
        <v>0</v>
      </c>
      <c r="H13" s="578">
        <f>'Page 2'!J38</f>
        <v>0</v>
      </c>
      <c r="I13" s="576"/>
      <c r="J13" s="573"/>
      <c r="K13" s="570"/>
      <c r="N13" s="58"/>
      <c r="O13" s="58"/>
      <c r="P13" s="58"/>
      <c r="Q13" s="58"/>
      <c r="R13" s="58"/>
      <c r="S13" s="58"/>
      <c r="T13" s="58"/>
      <c r="U13" s="58"/>
    </row>
    <row r="14" spans="1:21" x14ac:dyDescent="0.25">
      <c r="A14" s="569" t="s">
        <v>610</v>
      </c>
      <c r="B14" s="570"/>
      <c r="C14" s="570"/>
      <c r="D14" s="570"/>
      <c r="E14" s="577"/>
      <c r="F14" s="573"/>
      <c r="G14" s="178">
        <f>'Page 2'!I39</f>
        <v>0</v>
      </c>
      <c r="H14" s="578">
        <f>'Page 2'!J39</f>
        <v>0</v>
      </c>
      <c r="I14" s="576"/>
      <c r="J14" s="573"/>
      <c r="K14" s="570"/>
      <c r="M14" s="193">
        <v>-2</v>
      </c>
      <c r="N14" s="58" t="s">
        <v>611</v>
      </c>
      <c r="O14" s="58"/>
      <c r="P14" s="58"/>
      <c r="Q14" s="58"/>
      <c r="R14" s="58"/>
      <c r="S14" s="58"/>
      <c r="T14" s="58"/>
      <c r="U14" s="58"/>
    </row>
    <row r="15" spans="1:21" x14ac:dyDescent="0.25">
      <c r="A15" s="579" t="s">
        <v>612</v>
      </c>
      <c r="B15" s="580"/>
      <c r="C15" s="580"/>
      <c r="D15" s="580"/>
      <c r="E15" s="581"/>
      <c r="F15" s="573"/>
      <c r="G15" s="179">
        <f>'Page 2'!I40</f>
        <v>0</v>
      </c>
      <c r="H15" s="582">
        <f>'Page 2'!J40</f>
        <v>0</v>
      </c>
      <c r="I15" s="576"/>
      <c r="J15" s="573"/>
      <c r="K15" s="570"/>
      <c r="N15" s="583">
        <f>'Reserve balance'!D39</f>
        <v>0</v>
      </c>
    </row>
    <row r="16" spans="1:21" x14ac:dyDescent="0.25">
      <c r="A16" s="180" t="s">
        <v>613</v>
      </c>
      <c r="B16" s="580"/>
      <c r="C16" s="570"/>
      <c r="D16" s="570"/>
      <c r="E16" s="577"/>
      <c r="F16" s="584"/>
      <c r="G16" s="181">
        <f>'Page 2'!I41</f>
        <v>0</v>
      </c>
      <c r="H16" s="585">
        <f>'Page 2'!J41</f>
        <v>0</v>
      </c>
      <c r="I16" s="584"/>
      <c r="J16" s="573"/>
      <c r="K16" s="586"/>
    </row>
    <row r="17" spans="1:11" x14ac:dyDescent="0.25">
      <c r="A17" s="182" t="s">
        <v>614</v>
      </c>
      <c r="B17" s="42">
        <v>329445</v>
      </c>
      <c r="C17" s="183">
        <v>329445</v>
      </c>
      <c r="D17" s="183">
        <f>'Page 1'!H43-SUM(D18:D23)</f>
        <v>1632999</v>
      </c>
      <c r="E17" s="577"/>
      <c r="F17" s="183">
        <v>0</v>
      </c>
      <c r="G17" s="184">
        <v>1562360</v>
      </c>
      <c r="H17" s="185">
        <v>1568991</v>
      </c>
      <c r="I17" s="183">
        <v>8130</v>
      </c>
      <c r="J17" s="183">
        <v>165000</v>
      </c>
      <c r="K17" s="587">
        <f>IF(C17="",B17,C17)+D17-E17-F17-I17-H17-J17</f>
        <v>220323</v>
      </c>
    </row>
    <row r="18" spans="1:11" x14ac:dyDescent="0.25">
      <c r="A18" s="182" t="s">
        <v>615</v>
      </c>
      <c r="B18" s="183">
        <f>IF('Page 3'!F25="",'Page 3'!F24,'Page 3'!F25)</f>
        <v>17189</v>
      </c>
      <c r="C18" s="570"/>
      <c r="D18" s="587">
        <f>'Page 3'!F28</f>
        <v>164100</v>
      </c>
      <c r="E18" s="577"/>
      <c r="F18" s="183">
        <v>0</v>
      </c>
      <c r="G18" s="186">
        <f>'Page 3'!J13+'Page 3'!F18</f>
        <v>156899</v>
      </c>
      <c r="H18" s="588">
        <f>'Page 3'!G18+'Page 3'!K13</f>
        <v>177403</v>
      </c>
      <c r="I18" s="183">
        <f>'Page 3'!G17</f>
        <v>0</v>
      </c>
      <c r="J18" s="183">
        <f>'Page 3'!G19</f>
        <v>0</v>
      </c>
      <c r="K18" s="587">
        <f t="shared" ref="K18:K23" si="0">B18+D18-E18-F18-I18-H18-J18</f>
        <v>3886</v>
      </c>
    </row>
    <row r="19" spans="1:11" x14ac:dyDescent="0.25">
      <c r="A19" s="182" t="s">
        <v>616</v>
      </c>
      <c r="B19" s="183">
        <f>IF('Page 4'!F16="",'Page 4'!F15,'Page 4'!F16)</f>
        <v>6713</v>
      </c>
      <c r="C19" s="570"/>
      <c r="D19" s="587">
        <f>'Page 4'!F17</f>
        <v>10365</v>
      </c>
      <c r="E19" s="577"/>
      <c r="F19" s="183">
        <v>0</v>
      </c>
      <c r="G19" s="589">
        <f>'Page 4'!H11</f>
        <v>10558</v>
      </c>
      <c r="H19" s="587">
        <f>'Page 4'!I11</f>
        <v>15929</v>
      </c>
      <c r="I19" s="576"/>
      <c r="J19" s="576"/>
      <c r="K19" s="587">
        <f t="shared" si="0"/>
        <v>1149</v>
      </c>
    </row>
    <row r="20" spans="1:11" x14ac:dyDescent="0.25">
      <c r="A20" s="182" t="s">
        <v>617</v>
      </c>
      <c r="B20" s="183">
        <f>IF('Page 5'!G26="",'Page 5'!F26,'Page 5'!G26)</f>
        <v>0</v>
      </c>
      <c r="C20" s="570"/>
      <c r="D20" s="587">
        <f>'Page 5'!H26</f>
        <v>0</v>
      </c>
      <c r="E20" s="577"/>
      <c r="F20" s="183">
        <v>0</v>
      </c>
      <c r="G20" s="589">
        <f>'Page 5'!N26</f>
        <v>0</v>
      </c>
      <c r="H20" s="587">
        <f>'Page 5'!O26</f>
        <v>0</v>
      </c>
      <c r="I20" s="576"/>
      <c r="J20" s="576"/>
      <c r="K20" s="587">
        <f t="shared" si="0"/>
        <v>0</v>
      </c>
    </row>
    <row r="21" spans="1:11" x14ac:dyDescent="0.25">
      <c r="A21" s="182" t="s">
        <v>618</v>
      </c>
      <c r="B21" s="183">
        <f>IF('Page 5'!G48="",'Page 5'!F48,'Page 5'!G48)</f>
        <v>0</v>
      </c>
      <c r="C21" s="570"/>
      <c r="D21" s="587">
        <f>'Page 5'!H48</f>
        <v>0</v>
      </c>
      <c r="E21" s="577"/>
      <c r="F21" s="183">
        <v>0</v>
      </c>
      <c r="G21" s="589">
        <f>'Page 5'!N48</f>
        <v>0</v>
      </c>
      <c r="H21" s="587">
        <f>'Page 5'!O48</f>
        <v>0</v>
      </c>
      <c r="I21" s="576"/>
      <c r="J21" s="576"/>
      <c r="K21" s="587">
        <f t="shared" si="0"/>
        <v>0</v>
      </c>
    </row>
    <row r="22" spans="1:11" x14ac:dyDescent="0.25">
      <c r="A22" s="182" t="s">
        <v>619</v>
      </c>
      <c r="B22" s="587">
        <f>IF('Page 8'!F23="",'Page 8'!E23,'Page 8'!F23)</f>
        <v>0</v>
      </c>
      <c r="C22" s="570"/>
      <c r="D22" s="587">
        <f>'Page 8'!G23</f>
        <v>139482</v>
      </c>
      <c r="E22" s="187">
        <f>'Page 8'!H23</f>
        <v>7961</v>
      </c>
      <c r="F22" s="183">
        <f>'Page 8'!I23</f>
        <v>0</v>
      </c>
      <c r="G22" s="589">
        <f>'Page 8'!J23</f>
        <v>136461</v>
      </c>
      <c r="H22" s="587">
        <f>'Page 8'!K23</f>
        <v>126277</v>
      </c>
      <c r="I22" s="186">
        <f>'Page 8'!M23</f>
        <v>5244</v>
      </c>
      <c r="J22" s="183">
        <f>'Page 8'!L23</f>
        <v>0</v>
      </c>
      <c r="K22" s="587">
        <f t="shared" si="0"/>
        <v>0</v>
      </c>
    </row>
    <row r="23" spans="1:11" x14ac:dyDescent="0.25">
      <c r="A23" s="182" t="s">
        <v>620</v>
      </c>
      <c r="B23" s="587">
        <f>IF('Page 8'!F40="",'Page 8'!E40,'Page 8'!F40)</f>
        <v>0</v>
      </c>
      <c r="C23" s="570"/>
      <c r="D23" s="587">
        <f>'Page 8'!G40</f>
        <v>1576</v>
      </c>
      <c r="E23" s="577"/>
      <c r="F23" s="183">
        <f>'Page 8'!I40</f>
        <v>0</v>
      </c>
      <c r="G23" s="590">
        <f>'Page 8'!J40</f>
        <v>0</v>
      </c>
      <c r="H23" s="591">
        <f>'Page 8'!K40</f>
        <v>0</v>
      </c>
      <c r="I23" s="183">
        <f>'Page 8'!M40</f>
        <v>1576</v>
      </c>
      <c r="J23" s="183">
        <f>'Page 8'!L40</f>
        <v>0</v>
      </c>
      <c r="K23" s="587">
        <f t="shared" si="0"/>
        <v>0</v>
      </c>
    </row>
  </sheetData>
  <sheetProtection algorithmName="SHA-512" hashValue="30yV2/k50UX+aB1YOIfEzjji62xwCZ+4pSih3zGLv+SXmfNbwxC6+Le2DQ1CRxGNxU2ENuz2KS0mDc8pFIlgsQ==" saltValue="WZ2vgRh50pocN/OrdZII0w==" spinCount="100000" sheet="1" objects="1"/>
  <mergeCells count="4">
    <mergeCell ref="B1:C1"/>
    <mergeCell ref="D8:D10"/>
    <mergeCell ref="G8:G10"/>
    <mergeCell ref="H8:H10"/>
  </mergeCells>
  <dataValidations count="1">
    <dataValidation allowBlank="1" showInputMessage="1" showErrorMessage="1" promptTitle="Reversions" prompt="Enter as a positive amount." sqref="F17:F21" xr:uid="{00000000-0002-0000-0C00-000000000000}"/>
  </dataValidations>
  <pageMargins left="0.7" right="0.7" top="0.75" bottom="0.75" header="0.3" footer="0.3"/>
  <pageSetup scale="45" orientation="landscape" r:id="rId1"/>
  <headerFooter>
    <oddFooter>&amp;LRev. 8/26 Arizona Department of Education and Auditor General&amp;CFY 2026</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C7A9E-0716-4938-BAFE-B2FAD027D935}">
  <dimension ref="A1:AA46"/>
  <sheetViews>
    <sheetView showGridLines="0" workbookViewId="0"/>
  </sheetViews>
  <sheetFormatPr defaultColWidth="8.6640625" defaultRowHeight="13.2" x14ac:dyDescent="0.25"/>
  <cols>
    <col min="1" max="1" width="4.6640625" customWidth="1"/>
    <col min="2" max="2" width="50.21875" customWidth="1"/>
    <col min="3" max="3" width="24" customWidth="1"/>
    <col min="4" max="4" width="24.21875" customWidth="1"/>
    <col min="5" max="5" width="26.6640625" customWidth="1"/>
    <col min="6" max="6" width="25.77734375" customWidth="1"/>
    <col min="7" max="7" width="27.6640625" customWidth="1"/>
    <col min="8" max="8" width="19.33203125" customWidth="1"/>
    <col min="9" max="9" width="11.21875" customWidth="1"/>
    <col min="10" max="10" width="8.77734375" customWidth="1"/>
  </cols>
  <sheetData>
    <row r="1" spans="1:18" s="504" customFormat="1" x14ac:dyDescent="0.25">
      <c r="B1" s="140" t="s">
        <v>0</v>
      </c>
      <c r="C1" s="18" t="str">
        <f>'Cover Page'!D1</f>
        <v>Edge School, Inc., The</v>
      </c>
      <c r="D1" s="18"/>
      <c r="E1" s="18"/>
      <c r="G1" s="140" t="s">
        <v>1</v>
      </c>
      <c r="H1" s="745" t="str">
        <f>'Cover Page'!M1</f>
        <v>Pima</v>
      </c>
      <c r="I1" s="745"/>
      <c r="J1" s="141"/>
      <c r="K1" s="140" t="s">
        <v>2</v>
      </c>
      <c r="L1" s="61" t="str">
        <f>'Cover Page'!R1</f>
        <v>108653000</v>
      </c>
      <c r="M1" s="142"/>
      <c r="N1" s="142"/>
      <c r="O1" s="505"/>
      <c r="P1" s="26"/>
      <c r="R1" s="256"/>
    </row>
    <row r="2" spans="1:18" s="504" customFormat="1" x14ac:dyDescent="0.25">
      <c r="B2" s="140"/>
      <c r="C2" s="142"/>
      <c r="D2" s="142"/>
      <c r="E2" s="142"/>
      <c r="G2" s="140"/>
      <c r="H2" s="142"/>
      <c r="I2" s="142"/>
      <c r="J2" s="141"/>
      <c r="K2" s="140"/>
      <c r="L2" s="57"/>
      <c r="M2" s="142"/>
      <c r="N2" s="142"/>
      <c r="O2" s="505"/>
      <c r="P2" s="26"/>
      <c r="R2" s="256"/>
    </row>
    <row r="3" spans="1:18" s="143" customFormat="1" ht="24.75" customHeight="1" x14ac:dyDescent="0.25">
      <c r="A3" s="800" t="s">
        <v>621</v>
      </c>
      <c r="B3" s="800"/>
      <c r="C3" s="800"/>
      <c r="D3" s="800"/>
      <c r="E3" s="800"/>
      <c r="F3" s="800"/>
      <c r="G3" s="800"/>
      <c r="H3" s="800"/>
      <c r="J3" s="144"/>
      <c r="K3" s="140"/>
      <c r="L3" s="168"/>
      <c r="Q3" s="145"/>
      <c r="R3" s="69"/>
    </row>
    <row r="4" spans="1:18" s="143" customFormat="1" ht="16.5" customHeight="1" x14ac:dyDescent="0.25">
      <c r="A4" s="146"/>
      <c r="B4" s="146"/>
      <c r="C4" s="146"/>
      <c r="D4" s="146"/>
      <c r="E4" s="146"/>
      <c r="F4" s="146"/>
      <c r="G4" s="146"/>
      <c r="H4" s="146"/>
      <c r="J4" s="144"/>
      <c r="K4" s="140"/>
      <c r="L4" s="168"/>
      <c r="Q4" s="145"/>
      <c r="R4" s="69"/>
    </row>
    <row r="5" spans="1:18" x14ac:dyDescent="0.25">
      <c r="A5" s="801" t="s">
        <v>622</v>
      </c>
      <c r="B5" s="801"/>
    </row>
    <row r="7" spans="1:18" x14ac:dyDescent="0.25">
      <c r="C7" s="147" t="s">
        <v>623</v>
      </c>
      <c r="R7" s="148" t="s">
        <v>624</v>
      </c>
    </row>
    <row r="8" spans="1:18" x14ac:dyDescent="0.25">
      <c r="A8" s="149" t="s">
        <v>625</v>
      </c>
      <c r="C8" s="150"/>
    </row>
    <row r="9" spans="1:18" x14ac:dyDescent="0.25">
      <c r="A9" s="592" t="s">
        <v>27</v>
      </c>
      <c r="B9" s="593" t="s">
        <v>626</v>
      </c>
      <c r="C9" s="587">
        <f>IF(Summary!C17="",Summary!B17,Summary!C17)+SUM(Summary!B18:B23)</f>
        <v>353347</v>
      </c>
    </row>
    <row r="10" spans="1:18" x14ac:dyDescent="0.25">
      <c r="A10" s="151" t="s">
        <v>627</v>
      </c>
      <c r="C10" s="150"/>
    </row>
    <row r="11" spans="1:18" x14ac:dyDescent="0.25">
      <c r="A11" s="592" t="s">
        <v>29</v>
      </c>
      <c r="B11" s="593" t="s">
        <v>628</v>
      </c>
      <c r="C11" s="587">
        <f>SUM(Summary!K17:K23)</f>
        <v>225358</v>
      </c>
    </row>
    <row r="12" spans="1:18" x14ac:dyDescent="0.25">
      <c r="A12" s="801" t="s">
        <v>629</v>
      </c>
      <c r="B12" s="801"/>
    </row>
    <row r="13" spans="1:18" x14ac:dyDescent="0.25">
      <c r="A13" s="592" t="s">
        <v>630</v>
      </c>
      <c r="B13" s="593" t="s">
        <v>631</v>
      </c>
      <c r="C13" s="42">
        <v>0</v>
      </c>
    </row>
    <row r="14" spans="1:18" x14ac:dyDescent="0.25">
      <c r="A14" s="592" t="s">
        <v>632</v>
      </c>
      <c r="B14" s="594" t="s">
        <v>633</v>
      </c>
      <c r="C14" s="42">
        <v>225360</v>
      </c>
    </row>
    <row r="15" spans="1:18" x14ac:dyDescent="0.25">
      <c r="A15" s="592" t="s">
        <v>634</v>
      </c>
      <c r="B15" s="58" t="s">
        <v>635</v>
      </c>
      <c r="C15" s="42">
        <v>0</v>
      </c>
    </row>
    <row r="16" spans="1:18" x14ac:dyDescent="0.25">
      <c r="A16" s="592" t="s">
        <v>636</v>
      </c>
      <c r="B16" s="58" t="s">
        <v>637</v>
      </c>
      <c r="C16" s="42">
        <v>0</v>
      </c>
    </row>
    <row r="17" spans="1:27" x14ac:dyDescent="0.25">
      <c r="A17" s="592" t="s">
        <v>638</v>
      </c>
      <c r="B17" s="58" t="s">
        <v>639</v>
      </c>
      <c r="C17" s="42">
        <v>0</v>
      </c>
    </row>
    <row r="18" spans="1:27" x14ac:dyDescent="0.25">
      <c r="A18" s="592" t="s">
        <v>640</v>
      </c>
      <c r="B18" s="58" t="s">
        <v>641</v>
      </c>
      <c r="C18" s="42">
        <v>0</v>
      </c>
    </row>
    <row r="19" spans="1:27" x14ac:dyDescent="0.25">
      <c r="A19" s="592" t="s">
        <v>642</v>
      </c>
      <c r="B19" s="152" t="s">
        <v>643</v>
      </c>
      <c r="C19" s="42">
        <v>0</v>
      </c>
    </row>
    <row r="20" spans="1:27" x14ac:dyDescent="0.25">
      <c r="A20" s="494" t="s">
        <v>644</v>
      </c>
      <c r="B20" s="152" t="s">
        <v>643</v>
      </c>
      <c r="C20" s="42">
        <v>0</v>
      </c>
    </row>
    <row r="21" spans="1:27" x14ac:dyDescent="0.25">
      <c r="A21" s="494" t="s">
        <v>645</v>
      </c>
      <c r="B21" s="58" t="s">
        <v>646</v>
      </c>
      <c r="C21" s="587" t="str">
        <f>IF(ROUND(SUM(C13:C20),0)=ROUND(C11,0),SUM(C13:C20),"Must equal line 2")</f>
        <v>Must equal line 2</v>
      </c>
    </row>
    <row r="22" spans="1:27" x14ac:dyDescent="0.25">
      <c r="A22" s="73"/>
    </row>
    <row r="23" spans="1:27" x14ac:dyDescent="0.25">
      <c r="A23" s="73"/>
    </row>
    <row r="24" spans="1:27" x14ac:dyDescent="0.25">
      <c r="A24" s="48"/>
      <c r="B24" s="48"/>
      <c r="D24" s="48"/>
      <c r="E24" s="48"/>
      <c r="F24" s="48"/>
      <c r="G24" s="48"/>
      <c r="H24" s="48"/>
    </row>
    <row r="25" spans="1:27" ht="39" customHeight="1" x14ac:dyDescent="0.25">
      <c r="A25" s="802" t="s">
        <v>647</v>
      </c>
      <c r="B25" s="802"/>
      <c r="F25" s="153"/>
      <c r="G25" s="154" t="s">
        <v>648</v>
      </c>
      <c r="H25" s="155"/>
      <c r="AA25" s="148" t="s">
        <v>649</v>
      </c>
    </row>
    <row r="26" spans="1:27" ht="28.5" customHeight="1" x14ac:dyDescent="0.25">
      <c r="A26" s="794" t="s">
        <v>27</v>
      </c>
      <c r="B26" s="795" t="s">
        <v>650</v>
      </c>
      <c r="C26" s="795"/>
      <c r="D26" s="795"/>
      <c r="E26" s="796"/>
      <c r="F26" s="156" t="s">
        <v>651</v>
      </c>
      <c r="G26" s="157"/>
      <c r="AA26" s="148" t="s">
        <v>651</v>
      </c>
    </row>
    <row r="27" spans="1:27" x14ac:dyDescent="0.25">
      <c r="A27" s="794"/>
      <c r="B27" s="158"/>
      <c r="C27" s="158"/>
      <c r="D27" s="158"/>
      <c r="E27" s="158"/>
      <c r="AA27" s="148" t="s">
        <v>651</v>
      </c>
    </row>
    <row r="28" spans="1:27" ht="44.25" customHeight="1" x14ac:dyDescent="0.25">
      <c r="A28" s="797" t="s">
        <v>652</v>
      </c>
      <c r="B28" s="797"/>
      <c r="C28" s="797"/>
      <c r="D28" s="797"/>
      <c r="E28" s="797"/>
      <c r="F28" s="797"/>
    </row>
    <row r="29" spans="1:27" ht="20.25" customHeight="1" x14ac:dyDescent="0.25">
      <c r="A29" s="159" t="s">
        <v>29</v>
      </c>
      <c r="B29" s="798" t="s">
        <v>653</v>
      </c>
      <c r="C29" s="798"/>
      <c r="D29" s="798"/>
      <c r="E29" s="799"/>
      <c r="F29" s="156" t="s">
        <v>651</v>
      </c>
      <c r="H29" s="155"/>
    </row>
    <row r="30" spans="1:27" ht="29.25" customHeight="1" x14ac:dyDescent="0.25">
      <c r="A30" s="159" t="s">
        <v>654</v>
      </c>
      <c r="B30" s="798" t="s">
        <v>655</v>
      </c>
      <c r="C30" s="798"/>
      <c r="D30" s="798"/>
      <c r="E30" s="799"/>
      <c r="F30" s="156" t="s">
        <v>651</v>
      </c>
      <c r="G30" s="160"/>
      <c r="H30" s="161"/>
      <c r="AA30" s="148"/>
    </row>
    <row r="31" spans="1:27" ht="12" customHeight="1" x14ac:dyDescent="0.25">
      <c r="A31" s="74"/>
      <c r="B31" s="1"/>
      <c r="C31" s="1"/>
      <c r="D31" s="1"/>
      <c r="E31" s="1"/>
      <c r="F31" s="160"/>
      <c r="G31" s="160"/>
      <c r="H31" s="162"/>
      <c r="AA31" s="148"/>
    </row>
    <row r="32" spans="1:27" ht="15.75" customHeight="1" x14ac:dyDescent="0.25">
      <c r="A32" s="82" t="s">
        <v>656</v>
      </c>
      <c r="B32" s="77"/>
      <c r="C32" s="77"/>
      <c r="D32" s="77"/>
      <c r="E32" s="77"/>
      <c r="F32" s="77"/>
      <c r="G32" s="163"/>
      <c r="H32" s="164"/>
    </row>
    <row r="33" spans="1:10" ht="11.25" customHeight="1" x14ac:dyDescent="0.25">
      <c r="A33" s="78"/>
      <c r="B33" s="76"/>
      <c r="C33" s="76"/>
      <c r="D33" s="76"/>
      <c r="E33" s="76"/>
      <c r="F33" s="76"/>
      <c r="G33" s="163"/>
      <c r="H33" s="164"/>
    </row>
    <row r="34" spans="1:10" ht="28.5" customHeight="1" x14ac:dyDescent="0.25">
      <c r="A34" s="2" t="s">
        <v>34</v>
      </c>
      <c r="B34" s="165" t="s">
        <v>657</v>
      </c>
      <c r="C34" s="165" t="s">
        <v>658</v>
      </c>
      <c r="D34" s="165" t="s">
        <v>659</v>
      </c>
      <c r="E34" s="785" t="s">
        <v>660</v>
      </c>
      <c r="F34" s="786"/>
      <c r="G34" s="786"/>
      <c r="H34" s="786"/>
      <c r="I34" s="786"/>
      <c r="J34" s="787"/>
    </row>
    <row r="35" spans="1:10" ht="39.75" customHeight="1" x14ac:dyDescent="0.25">
      <c r="A35" s="2"/>
      <c r="B35" s="166"/>
      <c r="C35" s="42"/>
      <c r="D35" s="42"/>
      <c r="E35" s="788"/>
      <c r="F35" s="789"/>
      <c r="G35" s="789"/>
      <c r="H35" s="789"/>
      <c r="I35" s="789"/>
      <c r="J35" s="790"/>
    </row>
    <row r="36" spans="1:10" ht="39.75" customHeight="1" x14ac:dyDescent="0.25">
      <c r="A36" s="2"/>
      <c r="B36" s="166"/>
      <c r="C36" s="42"/>
      <c r="D36" s="42"/>
      <c r="E36" s="791"/>
      <c r="F36" s="792"/>
      <c r="G36" s="792"/>
      <c r="H36" s="792"/>
      <c r="I36" s="792"/>
      <c r="J36" s="793"/>
    </row>
    <row r="37" spans="1:10" ht="39.75" customHeight="1" x14ac:dyDescent="0.25">
      <c r="A37" s="2"/>
      <c r="B37" s="166"/>
      <c r="C37" s="42"/>
      <c r="D37" s="42"/>
      <c r="E37" s="791"/>
      <c r="F37" s="792"/>
      <c r="G37" s="792"/>
      <c r="H37" s="792"/>
      <c r="I37" s="792"/>
      <c r="J37" s="793"/>
    </row>
    <row r="38" spans="1:10" ht="39.75" customHeight="1" x14ac:dyDescent="0.25">
      <c r="A38" s="2"/>
      <c r="B38" s="166"/>
      <c r="C38" s="42"/>
      <c r="D38" s="42"/>
      <c r="E38" s="791"/>
      <c r="F38" s="792"/>
      <c r="G38" s="792"/>
      <c r="H38" s="792"/>
      <c r="I38" s="792"/>
      <c r="J38" s="793"/>
    </row>
    <row r="39" spans="1:10" ht="16.5" customHeight="1" x14ac:dyDescent="0.25">
      <c r="A39" s="78"/>
      <c r="B39" s="167" t="s">
        <v>661</v>
      </c>
      <c r="C39" s="42">
        <f>SUM(C35:C38)</f>
        <v>0</v>
      </c>
      <c r="D39" s="42">
        <f>SUM(D35:D38)</f>
        <v>0</v>
      </c>
      <c r="E39" s="595"/>
      <c r="F39" s="168"/>
      <c r="G39" s="168"/>
      <c r="H39" s="168"/>
      <c r="I39" s="168"/>
    </row>
    <row r="40" spans="1:10" ht="16.5" customHeight="1" x14ac:dyDescent="0.25">
      <c r="A40" s="78"/>
      <c r="B40" s="1"/>
      <c r="C40" s="1"/>
      <c r="D40" s="595"/>
      <c r="E40" s="595"/>
      <c r="F40" s="168"/>
      <c r="G40" s="168"/>
      <c r="H40" s="168"/>
      <c r="I40" s="168"/>
    </row>
    <row r="41" spans="1:10" ht="19.5" customHeight="1" x14ac:dyDescent="0.25">
      <c r="A41" s="2" t="s">
        <v>36</v>
      </c>
      <c r="B41" s="490" t="s">
        <v>662</v>
      </c>
      <c r="C41" s="169"/>
      <c r="D41" s="169"/>
      <c r="E41" s="169"/>
      <c r="F41" s="169"/>
      <c r="G41" s="169"/>
      <c r="H41" s="169"/>
      <c r="I41" s="169"/>
    </row>
    <row r="42" spans="1:10" x14ac:dyDescent="0.25">
      <c r="A42" s="170"/>
      <c r="B42" s="776" t="s">
        <v>1298</v>
      </c>
      <c r="C42" s="777"/>
      <c r="D42" s="777"/>
      <c r="E42" s="777"/>
      <c r="F42" s="777"/>
      <c r="G42" s="777"/>
      <c r="H42" s="777"/>
      <c r="I42" s="778"/>
    </row>
    <row r="43" spans="1:10" x14ac:dyDescent="0.25">
      <c r="A43" s="57"/>
      <c r="B43" s="779"/>
      <c r="C43" s="780"/>
      <c r="D43" s="780"/>
      <c r="E43" s="780"/>
      <c r="F43" s="780"/>
      <c r="G43" s="780"/>
      <c r="H43" s="780"/>
      <c r="I43" s="781"/>
    </row>
    <row r="44" spans="1:10" ht="12.75" customHeight="1" x14ac:dyDescent="0.25">
      <c r="A44" s="57"/>
      <c r="B44" s="779"/>
      <c r="C44" s="780"/>
      <c r="D44" s="780"/>
      <c r="E44" s="780"/>
      <c r="F44" s="780"/>
      <c r="G44" s="780"/>
      <c r="H44" s="780"/>
      <c r="I44" s="781"/>
    </row>
    <row r="45" spans="1:10" x14ac:dyDescent="0.25">
      <c r="A45" s="57"/>
      <c r="B45" s="779"/>
      <c r="C45" s="780"/>
      <c r="D45" s="780"/>
      <c r="E45" s="780"/>
      <c r="F45" s="780"/>
      <c r="G45" s="780"/>
      <c r="H45" s="780"/>
      <c r="I45" s="781"/>
    </row>
    <row r="46" spans="1:10" x14ac:dyDescent="0.25">
      <c r="A46" s="57"/>
      <c r="B46" s="782"/>
      <c r="C46" s="783"/>
      <c r="D46" s="783"/>
      <c r="E46" s="783"/>
      <c r="F46" s="783"/>
      <c r="G46" s="783"/>
      <c r="H46" s="783"/>
      <c r="I46" s="784"/>
    </row>
  </sheetData>
  <sheetProtection algorithmName="SHA-512" hashValue="HDBbi8WwBnTfLDR4uRxwVLmu1UmKXtzZ9hqABPlhuYbPZkByPyTJp+jxfbvoOmDSUL6Zn+4RY4mKVrD8mKY5zA==" saltValue="kw8IURw/3O768lqH8BNTTQ==" spinCount="100000" sheet="1" objects="1"/>
  <mergeCells count="16">
    <mergeCell ref="H1:I1"/>
    <mergeCell ref="A3:H3"/>
    <mergeCell ref="A5:B5"/>
    <mergeCell ref="A12:B12"/>
    <mergeCell ref="A25:B25"/>
    <mergeCell ref="A26:A27"/>
    <mergeCell ref="B26:E26"/>
    <mergeCell ref="A28:F28"/>
    <mergeCell ref="B29:E29"/>
    <mergeCell ref="B30:E30"/>
    <mergeCell ref="B42:I46"/>
    <mergeCell ref="E34:J34"/>
    <mergeCell ref="E35:J35"/>
    <mergeCell ref="E36:J36"/>
    <mergeCell ref="E37:J37"/>
    <mergeCell ref="E38:J38"/>
  </mergeCells>
  <dataValidations count="5">
    <dataValidation type="list" allowBlank="1" showInputMessage="1" showErrorMessage="1" sqref="F31" xr:uid="{00000000-0002-0000-0D00-000000000000}">
      <formula1>$AA$25:$AA$27</formula1>
    </dataValidation>
    <dataValidation operator="equal" allowBlank="1" showInputMessage="1" showErrorMessage="1" promptTitle="CTD Number" prompt="This cell will only accept a CTD number of exactly 9 digits.  Enter 000 at the end of the charter number to fill the places of a school number." sqref="L1:L2" xr:uid="{00000000-0002-0000-0D00-000001000000}"/>
    <dataValidation type="textLength" operator="equal" allowBlank="1" showInputMessage="1" showErrorMessage="1" promptTitle="CTD Number" prompt="This cell will only accept a CTD number of exactly 9 digits.  Enter 000 at the end of the charter number to fill the places of a school number." sqref="JH1:JH2 TD1:TD2 ACZ1:ACZ2 AMV1:AMV2 AWR1:AWR2 BGN1:BGN2 BQJ1:BQJ2 CAF1:CAF2 CKB1:CKB2 CTX1:CTX2 DDT1:DDT2 DNP1:DNP2 DXL1:DXL2 EHH1:EHH2 ERD1:ERD2 FAZ1:FAZ2 FKV1:FKV2 FUR1:FUR2 GEN1:GEN2 GOJ1:GOJ2 GYF1:GYF2 HIB1:HIB2 HRX1:HRX2 IBT1:IBT2 ILP1:ILP2 IVL1:IVL2 JFH1:JFH2 JPD1:JPD2 JYZ1:JYZ2 KIV1:KIV2 KSR1:KSR2 LCN1:LCN2 LMJ1:LMJ2 LWF1:LWF2 MGB1:MGB2 MPX1:MPX2 MZT1:MZT2 NJP1:NJP2 NTL1:NTL2 ODH1:ODH2 OND1:OND2 OWZ1:OWZ2 PGV1:PGV2 PQR1:PQR2 QAN1:QAN2 QKJ1:QKJ2 QUF1:QUF2 REB1:REB2 RNX1:RNX2 RXT1:RXT2 SHP1:SHP2 SRL1:SRL2 TBH1:TBH2 TLD1:TLD2 TUZ1:TUZ2 UEV1:UEV2 UOR1:UOR2 UYN1:UYN2 VIJ1:VIJ2 VSF1:VSF2 WCB1:WCB2 WLX1:WLX2 WVT1:WVT2" xr:uid="{00000000-0002-0000-0D00-000002000000}">
      <formula1>9</formula1>
    </dataValidation>
    <dataValidation type="textLength" operator="equal" allowBlank="1" showInputMessage="1" showErrorMessage="1" promptTitle="CTD Number" prompt="This cell will only accept a CTD number of exactly 9 digits.  Enter 000 at the end of the district number to fill the places of a school number." sqref="JH3:JH4 TD3:TD4 ACZ3:ACZ4 AMV3:AMV4 AWR3:AWR4 BGN3:BGN4 BQJ3:BQJ4 CAF3:CAF4 CKB3:CKB4 CTX3:CTX4 DDT3:DDT4 DNP3:DNP4 DXL3:DXL4 EHH3:EHH4 ERD3:ERD4 FAZ3:FAZ4 FKV3:FKV4 FUR3:FUR4 GEN3:GEN4 GOJ3:GOJ4 GYF3:GYF4 HIB3:HIB4 HRX3:HRX4 IBT3:IBT4 ILP3:ILP4 IVL3:IVL4 JFH3:JFH4 JPD3:JPD4 JYZ3:JYZ4 KIV3:KIV4 KSR3:KSR4 LCN3:LCN4 LMJ3:LMJ4 LWF3:LWF4 MGB3:MGB4 MPX3:MPX4 MZT3:MZT4 NJP3:NJP4 NTL3:NTL4 ODH3:ODH4 OND3:OND4 OWZ3:OWZ4 PGV3:PGV4 PQR3:PQR4 QAN3:QAN4 QKJ3:QKJ4 QUF3:QUF4 REB3:REB4 RNX3:RNX4 RXT3:RXT4 SHP3:SHP4 SRL3:SRL4 TBH3:TBH4 TLD3:TLD4 TUZ3:TUZ4 UEV3:UEV4 UOR3:UOR4 UYN3:UYN4 VIJ3:VIJ4 VSF3:VSF4 WCB3:WCB4 WLX3:WLX4 WVT3:WVT4" xr:uid="{00000000-0002-0000-0D00-000003000000}">
      <formula1>9</formula1>
    </dataValidation>
    <dataValidation type="list" allowBlank="1" showInputMessage="1" showErrorMessage="1" sqref="F26 F29:F30" xr:uid="{00000000-0002-0000-0D00-000004000000}">
      <formula1>$AA$25:$AA$26</formula1>
    </dataValidation>
  </dataValidations>
  <pageMargins left="0.7" right="0.7" top="0.75" bottom="0.75" header="0.3" footer="0.3"/>
  <pageSetup scale="55" orientation="landscape" r:id="rId1"/>
  <headerFooter>
    <oddFooter>&amp;LRev. 8/26 Arizona Department of Education and Auditor General&amp;CFY 2026</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293F4-B000-4C4C-9537-728E81288F93}">
  <dimension ref="A1:J99"/>
  <sheetViews>
    <sheetView showGridLines="0" workbookViewId="0">
      <selection activeCell="B1" sqref="B1"/>
    </sheetView>
  </sheetViews>
  <sheetFormatPr defaultColWidth="9.6640625" defaultRowHeight="13.8" x14ac:dyDescent="0.25"/>
  <cols>
    <col min="1" max="1" width="25.6640625" style="130" customWidth="1"/>
    <col min="2" max="2" width="76.6640625" style="130" customWidth="1"/>
    <col min="3" max="3" width="23.6640625" style="130" customWidth="1"/>
    <col min="4" max="4" width="26.77734375" style="130" customWidth="1"/>
    <col min="5" max="5" width="45.77734375" style="130" customWidth="1"/>
    <col min="6" max="9" width="9.6640625" style="130" customWidth="1"/>
    <col min="10" max="10" width="8.77734375" style="130" hidden="1" customWidth="1"/>
    <col min="11" max="11" width="9.6640625" style="130" customWidth="1"/>
    <col min="12" max="16384" width="9.6640625" style="130"/>
  </cols>
  <sheetData>
    <row r="1" spans="1:10" x14ac:dyDescent="0.25">
      <c r="A1" s="75" t="s">
        <v>3</v>
      </c>
      <c r="B1" s="129" t="str">
        <f>'Cover Page'!D1</f>
        <v>Edge School, Inc., The</v>
      </c>
    </row>
    <row r="2" spans="1:10" x14ac:dyDescent="0.25">
      <c r="A2" s="131" t="s">
        <v>2</v>
      </c>
      <c r="B2" s="132" t="str">
        <f>'Cover Page'!R1</f>
        <v>108653000</v>
      </c>
    </row>
    <row r="3" spans="1:10" x14ac:dyDescent="0.25">
      <c r="A3" s="131" t="s">
        <v>1</v>
      </c>
      <c r="B3" s="129" t="str">
        <f>'Cover Page'!M1</f>
        <v>Pima</v>
      </c>
    </row>
    <row r="4" spans="1:10" x14ac:dyDescent="0.25">
      <c r="D4" s="803"/>
      <c r="E4" s="803"/>
    </row>
    <row r="6" spans="1:10" x14ac:dyDescent="0.25">
      <c r="A6" s="133" t="s">
        <v>663</v>
      </c>
      <c r="B6" s="134" t="s">
        <v>664</v>
      </c>
      <c r="C6" s="133" t="s">
        <v>665</v>
      </c>
      <c r="D6" s="133" t="s">
        <v>666</v>
      </c>
      <c r="E6" s="133" t="s">
        <v>667</v>
      </c>
    </row>
    <row r="7" spans="1:10" x14ac:dyDescent="0.25">
      <c r="A7" s="135" t="s">
        <v>668</v>
      </c>
      <c r="B7" s="596"/>
      <c r="C7" s="136" t="str">
        <f>B2</f>
        <v>108653000</v>
      </c>
      <c r="D7" s="137"/>
      <c r="E7" s="138"/>
      <c r="F7" s="130" t="s">
        <v>1131</v>
      </c>
      <c r="J7" s="130" t="s">
        <v>669</v>
      </c>
    </row>
    <row r="8" spans="1:10" ht="13.5" customHeight="1" x14ac:dyDescent="0.25">
      <c r="A8" s="139" t="s">
        <v>670</v>
      </c>
      <c r="B8" s="597"/>
      <c r="C8" s="597"/>
      <c r="D8" s="137"/>
      <c r="E8" s="135"/>
      <c r="J8" s="130" t="s">
        <v>671</v>
      </c>
    </row>
    <row r="9" spans="1:10" x14ac:dyDescent="0.25">
      <c r="A9" s="135" t="s">
        <v>674</v>
      </c>
      <c r="B9" s="597" t="s">
        <v>672</v>
      </c>
      <c r="C9" s="597" t="s">
        <v>1132</v>
      </c>
      <c r="D9" s="137"/>
      <c r="E9" s="597"/>
      <c r="F9" s="130" t="s">
        <v>1133</v>
      </c>
      <c r="J9" s="130" t="s">
        <v>673</v>
      </c>
    </row>
    <row r="10" spans="1:10" x14ac:dyDescent="0.25">
      <c r="A10" s="135" t="s">
        <v>676</v>
      </c>
      <c r="B10" s="135" t="s">
        <v>1134</v>
      </c>
      <c r="C10" s="136" t="s">
        <v>1135</v>
      </c>
      <c r="D10" s="137"/>
      <c r="E10" s="138"/>
      <c r="F10" s="130" t="s">
        <v>1136</v>
      </c>
      <c r="J10" s="130" t="s">
        <v>675</v>
      </c>
    </row>
    <row r="11" spans="1:10" x14ac:dyDescent="0.25">
      <c r="A11" s="135" t="s">
        <v>676</v>
      </c>
      <c r="B11" s="135"/>
      <c r="C11" s="136"/>
      <c r="D11" s="137"/>
      <c r="E11" s="138"/>
      <c r="J11" s="130" t="s">
        <v>677</v>
      </c>
    </row>
    <row r="12" spans="1:10" x14ac:dyDescent="0.25">
      <c r="A12" s="135" t="s">
        <v>678</v>
      </c>
      <c r="B12" s="135"/>
      <c r="C12" s="136"/>
      <c r="D12" s="137"/>
      <c r="E12" s="138"/>
      <c r="J12" s="130" t="s">
        <v>679</v>
      </c>
    </row>
    <row r="13" spans="1:10" x14ac:dyDescent="0.25">
      <c r="A13" s="135" t="s">
        <v>680</v>
      </c>
      <c r="B13" s="135"/>
      <c r="C13" s="136"/>
      <c r="D13" s="137"/>
      <c r="E13" s="138"/>
      <c r="J13" s="130" t="s">
        <v>681</v>
      </c>
    </row>
    <row r="14" spans="1:10" x14ac:dyDescent="0.25">
      <c r="A14" s="135" t="s">
        <v>682</v>
      </c>
      <c r="B14" s="135"/>
      <c r="C14" s="136"/>
      <c r="D14" s="137"/>
      <c r="E14" s="138"/>
      <c r="J14" s="130" t="s">
        <v>683</v>
      </c>
    </row>
    <row r="15" spans="1:10" x14ac:dyDescent="0.25">
      <c r="A15" s="135" t="s">
        <v>684</v>
      </c>
      <c r="B15" s="135"/>
      <c r="C15" s="136"/>
      <c r="D15" s="137"/>
      <c r="E15" s="138"/>
      <c r="J15" s="130" t="s">
        <v>685</v>
      </c>
    </row>
    <row r="16" spans="1:10" x14ac:dyDescent="0.25">
      <c r="A16" s="135" t="s">
        <v>686</v>
      </c>
      <c r="B16" s="135"/>
      <c r="C16" s="136"/>
      <c r="D16" s="137"/>
      <c r="E16" s="138"/>
      <c r="J16" s="130" t="s">
        <v>687</v>
      </c>
    </row>
    <row r="17" spans="1:10" x14ac:dyDescent="0.25">
      <c r="A17" s="135" t="s">
        <v>688</v>
      </c>
      <c r="B17" s="135"/>
      <c r="C17" s="136"/>
      <c r="D17" s="137"/>
      <c r="E17" s="138"/>
      <c r="J17" s="130" t="s">
        <v>689</v>
      </c>
    </row>
    <row r="18" spans="1:10" x14ac:dyDescent="0.25">
      <c r="A18" s="135" t="s">
        <v>690</v>
      </c>
      <c r="B18" s="135"/>
      <c r="C18" s="136"/>
      <c r="D18" s="137"/>
      <c r="E18" s="138"/>
      <c r="J18" s="130" t="s">
        <v>691</v>
      </c>
    </row>
    <row r="19" spans="1:10" x14ac:dyDescent="0.25">
      <c r="A19" s="135" t="s">
        <v>692</v>
      </c>
      <c r="B19" s="135"/>
      <c r="C19" s="136"/>
      <c r="D19" s="137"/>
      <c r="E19" s="138"/>
      <c r="J19" s="130" t="s">
        <v>693</v>
      </c>
    </row>
    <row r="20" spans="1:10" x14ac:dyDescent="0.25">
      <c r="A20" s="135" t="s">
        <v>694</v>
      </c>
      <c r="B20" s="135"/>
      <c r="C20" s="136"/>
      <c r="D20" s="137"/>
      <c r="E20" s="138"/>
      <c r="J20" s="130" t="s">
        <v>695</v>
      </c>
    </row>
    <row r="21" spans="1:10" x14ac:dyDescent="0.25">
      <c r="A21" s="135" t="s">
        <v>696</v>
      </c>
      <c r="B21" s="135"/>
      <c r="C21" s="136"/>
      <c r="D21" s="137"/>
      <c r="E21" s="138"/>
      <c r="J21" s="130" t="s">
        <v>697</v>
      </c>
    </row>
    <row r="22" spans="1:10" x14ac:dyDescent="0.25">
      <c r="A22" s="135" t="s">
        <v>698</v>
      </c>
      <c r="B22" s="135"/>
      <c r="C22" s="136"/>
      <c r="D22" s="137"/>
      <c r="E22" s="138"/>
      <c r="J22" s="130" t="s">
        <v>699</v>
      </c>
    </row>
    <row r="23" spans="1:10" x14ac:dyDescent="0.25">
      <c r="A23" s="135" t="s">
        <v>700</v>
      </c>
      <c r="B23" s="135"/>
      <c r="C23" s="136"/>
      <c r="D23" s="137"/>
      <c r="E23" s="138"/>
      <c r="J23" s="130" t="s">
        <v>701</v>
      </c>
    </row>
    <row r="24" spans="1:10" x14ac:dyDescent="0.25">
      <c r="A24" s="135" t="s">
        <v>702</v>
      </c>
      <c r="B24" s="135"/>
      <c r="C24" s="136"/>
      <c r="D24" s="137"/>
      <c r="E24" s="138"/>
      <c r="J24" s="130" t="s">
        <v>703</v>
      </c>
    </row>
    <row r="25" spans="1:10" x14ac:dyDescent="0.25">
      <c r="A25" s="135" t="s">
        <v>704</v>
      </c>
      <c r="B25" s="135"/>
      <c r="C25" s="136"/>
      <c r="D25" s="137"/>
      <c r="E25" s="138"/>
      <c r="J25" s="130" t="s">
        <v>705</v>
      </c>
    </row>
    <row r="26" spans="1:10" x14ac:dyDescent="0.25">
      <c r="A26" s="135" t="s">
        <v>706</v>
      </c>
      <c r="B26" s="135"/>
      <c r="C26" s="136"/>
      <c r="D26" s="137"/>
      <c r="E26" s="138"/>
      <c r="J26" s="130" t="s">
        <v>707</v>
      </c>
    </row>
    <row r="27" spans="1:10" x14ac:dyDescent="0.25">
      <c r="A27" s="135" t="s">
        <v>708</v>
      </c>
      <c r="B27" s="135"/>
      <c r="C27" s="136"/>
      <c r="D27" s="137"/>
      <c r="E27" s="138"/>
      <c r="J27" s="130" t="s">
        <v>709</v>
      </c>
    </row>
    <row r="28" spans="1:10" x14ac:dyDescent="0.25">
      <c r="A28" s="135" t="s">
        <v>710</v>
      </c>
      <c r="B28" s="135"/>
      <c r="C28" s="136"/>
      <c r="D28" s="137"/>
      <c r="E28" s="138"/>
      <c r="J28" s="130" t="s">
        <v>711</v>
      </c>
    </row>
    <row r="29" spans="1:10" x14ac:dyDescent="0.25">
      <c r="A29" s="135" t="s">
        <v>712</v>
      </c>
      <c r="B29" s="135"/>
      <c r="C29" s="136"/>
      <c r="D29" s="137"/>
      <c r="E29" s="138"/>
      <c r="J29" s="130" t="s">
        <v>713</v>
      </c>
    </row>
    <row r="30" spans="1:10" x14ac:dyDescent="0.25">
      <c r="A30" s="135" t="s">
        <v>714</v>
      </c>
      <c r="B30" s="135"/>
      <c r="C30" s="136"/>
      <c r="D30" s="137"/>
      <c r="E30" s="138"/>
      <c r="J30" s="130" t="s">
        <v>715</v>
      </c>
    </row>
    <row r="31" spans="1:10" x14ac:dyDescent="0.25">
      <c r="A31" s="135" t="s">
        <v>716</v>
      </c>
      <c r="B31" s="135"/>
      <c r="C31" s="136"/>
      <c r="D31" s="137"/>
      <c r="E31" s="138"/>
      <c r="J31" s="130" t="s">
        <v>717</v>
      </c>
    </row>
    <row r="32" spans="1:10" x14ac:dyDescent="0.25">
      <c r="A32" s="135" t="s">
        <v>718</v>
      </c>
      <c r="B32" s="135"/>
      <c r="C32" s="136"/>
      <c r="D32" s="137"/>
      <c r="E32" s="138"/>
      <c r="J32" s="130" t="s">
        <v>719</v>
      </c>
    </row>
    <row r="33" spans="1:10" x14ac:dyDescent="0.25">
      <c r="A33" s="135" t="s">
        <v>720</v>
      </c>
      <c r="B33" s="135"/>
      <c r="C33" s="136"/>
      <c r="D33" s="137"/>
      <c r="E33" s="138"/>
      <c r="J33" s="130" t="s">
        <v>721</v>
      </c>
    </row>
    <row r="34" spans="1:10" x14ac:dyDescent="0.25">
      <c r="A34" s="135" t="s">
        <v>722</v>
      </c>
      <c r="B34" s="135"/>
      <c r="C34" s="136"/>
      <c r="D34" s="137"/>
      <c r="E34" s="138"/>
      <c r="J34" s="130" t="s">
        <v>723</v>
      </c>
    </row>
    <row r="35" spans="1:10" hidden="1" x14ac:dyDescent="0.25">
      <c r="A35" s="135" t="s">
        <v>724</v>
      </c>
      <c r="B35" s="135"/>
      <c r="C35" s="136"/>
      <c r="D35" s="137"/>
      <c r="E35" s="138"/>
      <c r="J35" s="130" t="s">
        <v>725</v>
      </c>
    </row>
    <row r="36" spans="1:10" hidden="1" x14ac:dyDescent="0.25">
      <c r="A36" s="135" t="s">
        <v>726</v>
      </c>
      <c r="B36" s="135"/>
      <c r="C36" s="136"/>
      <c r="D36" s="137"/>
      <c r="E36" s="138"/>
      <c r="J36" s="130" t="s">
        <v>727</v>
      </c>
    </row>
    <row r="37" spans="1:10" hidden="1" x14ac:dyDescent="0.25">
      <c r="A37" s="135" t="s">
        <v>728</v>
      </c>
      <c r="B37" s="135"/>
      <c r="C37" s="136"/>
      <c r="D37" s="137"/>
      <c r="E37" s="138"/>
      <c r="J37" s="130" t="s">
        <v>729</v>
      </c>
    </row>
    <row r="38" spans="1:10" hidden="1" x14ac:dyDescent="0.25">
      <c r="A38" s="135" t="s">
        <v>730</v>
      </c>
      <c r="B38" s="135"/>
      <c r="C38" s="136"/>
      <c r="D38" s="137"/>
      <c r="E38" s="138"/>
      <c r="J38" s="130" t="s">
        <v>731</v>
      </c>
    </row>
    <row r="39" spans="1:10" hidden="1" x14ac:dyDescent="0.25">
      <c r="A39" s="135" t="s">
        <v>732</v>
      </c>
      <c r="B39" s="135"/>
      <c r="C39" s="136"/>
      <c r="D39" s="137"/>
      <c r="E39" s="138"/>
      <c r="J39" s="130" t="s">
        <v>733</v>
      </c>
    </row>
    <row r="40" spans="1:10" hidden="1" x14ac:dyDescent="0.25">
      <c r="A40" s="135" t="s">
        <v>734</v>
      </c>
      <c r="B40" s="135"/>
      <c r="C40" s="136"/>
      <c r="D40" s="137"/>
      <c r="E40" s="138"/>
      <c r="J40" s="130" t="s">
        <v>735</v>
      </c>
    </row>
    <row r="41" spans="1:10" hidden="1" x14ac:dyDescent="0.25">
      <c r="A41" s="135" t="s">
        <v>736</v>
      </c>
      <c r="B41" s="135"/>
      <c r="C41" s="136"/>
      <c r="D41" s="137"/>
      <c r="E41" s="138"/>
      <c r="J41" s="130" t="s">
        <v>737</v>
      </c>
    </row>
    <row r="42" spans="1:10" hidden="1" x14ac:dyDescent="0.25">
      <c r="A42" s="135" t="s">
        <v>738</v>
      </c>
      <c r="B42" s="135"/>
      <c r="C42" s="136"/>
      <c r="D42" s="137"/>
      <c r="E42" s="138"/>
      <c r="J42" s="130" t="s">
        <v>739</v>
      </c>
    </row>
    <row r="43" spans="1:10" hidden="1" x14ac:dyDescent="0.25">
      <c r="A43" s="135" t="s">
        <v>740</v>
      </c>
      <c r="B43" s="135"/>
      <c r="C43" s="136"/>
      <c r="D43" s="137"/>
      <c r="E43" s="138"/>
      <c r="J43" s="130" t="s">
        <v>741</v>
      </c>
    </row>
    <row r="44" spans="1:10" hidden="1" x14ac:dyDescent="0.25">
      <c r="A44" s="135" t="s">
        <v>742</v>
      </c>
      <c r="B44" s="135"/>
      <c r="C44" s="136"/>
      <c r="D44" s="137"/>
      <c r="E44" s="138"/>
      <c r="J44" s="130" t="s">
        <v>743</v>
      </c>
    </row>
    <row r="45" spans="1:10" hidden="1" x14ac:dyDescent="0.25">
      <c r="A45" s="135" t="s">
        <v>744</v>
      </c>
      <c r="B45" s="135"/>
      <c r="C45" s="136"/>
      <c r="D45" s="137"/>
      <c r="E45" s="138"/>
      <c r="J45" s="130" t="s">
        <v>745</v>
      </c>
    </row>
    <row r="46" spans="1:10" hidden="1" x14ac:dyDescent="0.25">
      <c r="A46" s="135" t="s">
        <v>746</v>
      </c>
      <c r="B46" s="135"/>
      <c r="C46" s="136"/>
      <c r="D46" s="137"/>
      <c r="E46" s="138"/>
      <c r="J46" s="130" t="s">
        <v>747</v>
      </c>
    </row>
    <row r="47" spans="1:10" hidden="1" x14ac:dyDescent="0.25">
      <c r="A47" s="135" t="s">
        <v>748</v>
      </c>
      <c r="B47" s="135"/>
      <c r="C47" s="136"/>
      <c r="D47" s="137"/>
      <c r="E47" s="138"/>
      <c r="J47" s="130" t="s">
        <v>749</v>
      </c>
    </row>
    <row r="48" spans="1:10" hidden="1" x14ac:dyDescent="0.25">
      <c r="A48" s="135" t="s">
        <v>750</v>
      </c>
      <c r="B48" s="135"/>
      <c r="C48" s="136"/>
      <c r="D48" s="137"/>
      <c r="E48" s="138"/>
      <c r="J48" s="130" t="s">
        <v>751</v>
      </c>
    </row>
    <row r="49" spans="1:10" hidden="1" x14ac:dyDescent="0.25">
      <c r="A49" s="135" t="s">
        <v>752</v>
      </c>
      <c r="B49" s="135"/>
      <c r="C49" s="136"/>
      <c r="D49" s="137"/>
      <c r="E49" s="138"/>
      <c r="J49" s="130" t="s">
        <v>753</v>
      </c>
    </row>
    <row r="50" spans="1:10" hidden="1" x14ac:dyDescent="0.25">
      <c r="A50" s="135" t="s">
        <v>754</v>
      </c>
      <c r="B50" s="135"/>
      <c r="C50" s="136"/>
      <c r="D50" s="137"/>
      <c r="E50" s="138"/>
      <c r="J50" s="130" t="s">
        <v>755</v>
      </c>
    </row>
    <row r="51" spans="1:10" hidden="1" x14ac:dyDescent="0.25">
      <c r="A51" s="135" t="s">
        <v>756</v>
      </c>
      <c r="B51" s="135"/>
      <c r="C51" s="136"/>
      <c r="D51" s="137"/>
      <c r="E51" s="138"/>
      <c r="J51" s="130" t="s">
        <v>757</v>
      </c>
    </row>
    <row r="52" spans="1:10" hidden="1" x14ac:dyDescent="0.25">
      <c r="A52" s="135" t="s">
        <v>758</v>
      </c>
      <c r="B52" s="135"/>
      <c r="C52" s="136"/>
      <c r="D52" s="137"/>
      <c r="E52" s="138"/>
      <c r="J52" s="130" t="s">
        <v>759</v>
      </c>
    </row>
    <row r="53" spans="1:10" hidden="1" x14ac:dyDescent="0.25">
      <c r="A53" s="135" t="s">
        <v>760</v>
      </c>
      <c r="B53" s="135"/>
      <c r="C53" s="136"/>
      <c r="D53" s="137"/>
      <c r="E53" s="138"/>
      <c r="J53" s="130" t="s">
        <v>761</v>
      </c>
    </row>
    <row r="54" spans="1:10" hidden="1" x14ac:dyDescent="0.25">
      <c r="A54" s="135" t="s">
        <v>762</v>
      </c>
      <c r="B54" s="135"/>
      <c r="C54" s="136"/>
      <c r="D54" s="137"/>
      <c r="E54" s="138"/>
      <c r="J54" s="130" t="s">
        <v>763</v>
      </c>
    </row>
    <row r="55" spans="1:10" hidden="1" x14ac:dyDescent="0.25">
      <c r="A55" s="135" t="s">
        <v>764</v>
      </c>
      <c r="B55" s="135"/>
      <c r="C55" s="136"/>
      <c r="D55" s="137"/>
      <c r="E55" s="138"/>
      <c r="J55" s="130" t="s">
        <v>765</v>
      </c>
    </row>
    <row r="56" spans="1:10" hidden="1" x14ac:dyDescent="0.25">
      <c r="A56" s="135" t="s">
        <v>766</v>
      </c>
      <c r="B56" s="135"/>
      <c r="C56" s="136"/>
      <c r="D56" s="137"/>
      <c r="E56" s="138"/>
      <c r="J56" s="130" t="s">
        <v>767</v>
      </c>
    </row>
    <row r="57" spans="1:10" hidden="1" x14ac:dyDescent="0.25">
      <c r="A57" s="135" t="s">
        <v>768</v>
      </c>
      <c r="B57" s="135"/>
      <c r="C57" s="136"/>
      <c r="D57" s="137"/>
      <c r="E57" s="138"/>
      <c r="J57" s="130" t="s">
        <v>769</v>
      </c>
    </row>
    <row r="58" spans="1:10" hidden="1" x14ac:dyDescent="0.25">
      <c r="A58" s="135" t="s">
        <v>770</v>
      </c>
      <c r="B58" s="135"/>
      <c r="C58" s="136"/>
      <c r="D58" s="137"/>
      <c r="E58" s="138"/>
      <c r="J58" s="130" t="s">
        <v>771</v>
      </c>
    </row>
    <row r="59" spans="1:10" hidden="1" x14ac:dyDescent="0.25">
      <c r="A59" s="135" t="s">
        <v>772</v>
      </c>
      <c r="B59" s="135"/>
      <c r="C59" s="136"/>
      <c r="D59" s="137"/>
      <c r="E59" s="138"/>
      <c r="J59" s="130" t="s">
        <v>773</v>
      </c>
    </row>
    <row r="60" spans="1:10" hidden="1" x14ac:dyDescent="0.25">
      <c r="A60" s="135" t="s">
        <v>774</v>
      </c>
      <c r="B60" s="135"/>
      <c r="C60" s="136"/>
      <c r="D60" s="137"/>
      <c r="E60" s="138"/>
      <c r="J60" s="130" t="s">
        <v>775</v>
      </c>
    </row>
    <row r="61" spans="1:10" hidden="1" x14ac:dyDescent="0.25">
      <c r="A61" s="135" t="s">
        <v>776</v>
      </c>
      <c r="B61" s="135"/>
      <c r="C61" s="136"/>
      <c r="D61" s="137"/>
      <c r="E61" s="138"/>
      <c r="J61" s="130" t="s">
        <v>777</v>
      </c>
    </row>
    <row r="62" spans="1:10" hidden="1" x14ac:dyDescent="0.25">
      <c r="A62" s="135" t="s">
        <v>778</v>
      </c>
      <c r="B62" s="135"/>
      <c r="C62" s="136"/>
      <c r="D62" s="137"/>
      <c r="E62" s="138"/>
      <c r="J62" s="130" t="s">
        <v>779</v>
      </c>
    </row>
    <row r="63" spans="1:10" hidden="1" x14ac:dyDescent="0.25">
      <c r="A63" s="135" t="s">
        <v>780</v>
      </c>
      <c r="B63" s="135"/>
      <c r="C63" s="136"/>
      <c r="D63" s="137"/>
      <c r="E63" s="138"/>
      <c r="J63" s="130" t="s">
        <v>781</v>
      </c>
    </row>
    <row r="64" spans="1:10" hidden="1" x14ac:dyDescent="0.25">
      <c r="A64" s="135" t="s">
        <v>782</v>
      </c>
      <c r="B64" s="135"/>
      <c r="C64" s="136"/>
      <c r="D64" s="137"/>
      <c r="E64" s="138"/>
      <c r="J64" s="130" t="s">
        <v>783</v>
      </c>
    </row>
    <row r="65" spans="1:10" hidden="1" x14ac:dyDescent="0.25">
      <c r="A65" s="135" t="s">
        <v>784</v>
      </c>
      <c r="B65" s="135"/>
      <c r="C65" s="136"/>
      <c r="D65" s="137"/>
      <c r="E65" s="138"/>
      <c r="J65" s="130" t="s">
        <v>785</v>
      </c>
    </row>
    <row r="66" spans="1:10" hidden="1" x14ac:dyDescent="0.25">
      <c r="A66" s="135" t="s">
        <v>786</v>
      </c>
      <c r="B66" s="135"/>
      <c r="C66" s="136"/>
      <c r="D66" s="137"/>
      <c r="E66" s="138"/>
      <c r="J66" s="130" t="s">
        <v>787</v>
      </c>
    </row>
    <row r="67" spans="1:10" hidden="1" x14ac:dyDescent="0.25">
      <c r="A67" s="135" t="s">
        <v>788</v>
      </c>
      <c r="B67" s="135"/>
      <c r="C67" s="136"/>
      <c r="D67" s="137"/>
      <c r="E67" s="138"/>
      <c r="J67" s="130" t="s">
        <v>789</v>
      </c>
    </row>
    <row r="68" spans="1:10" hidden="1" x14ac:dyDescent="0.25">
      <c r="A68" s="135" t="s">
        <v>790</v>
      </c>
      <c r="B68" s="135"/>
      <c r="C68" s="136"/>
      <c r="D68" s="137"/>
      <c r="E68" s="138"/>
      <c r="J68" s="130" t="s">
        <v>791</v>
      </c>
    </row>
    <row r="69" spans="1:10" hidden="1" x14ac:dyDescent="0.25">
      <c r="A69" s="135" t="s">
        <v>792</v>
      </c>
      <c r="B69" s="135"/>
      <c r="C69" s="136"/>
      <c r="D69" s="137"/>
      <c r="E69" s="138"/>
      <c r="J69" s="130" t="s">
        <v>793</v>
      </c>
    </row>
    <row r="70" spans="1:10" hidden="1" x14ac:dyDescent="0.25">
      <c r="A70" s="135" t="s">
        <v>794</v>
      </c>
      <c r="B70" s="135"/>
      <c r="C70" s="136"/>
      <c r="D70" s="137"/>
      <c r="E70" s="138"/>
      <c r="J70" s="130" t="s">
        <v>795</v>
      </c>
    </row>
    <row r="71" spans="1:10" hidden="1" x14ac:dyDescent="0.25">
      <c r="A71" s="135" t="s">
        <v>796</v>
      </c>
      <c r="B71" s="135"/>
      <c r="C71" s="136"/>
      <c r="D71" s="137"/>
      <c r="E71" s="138"/>
      <c r="J71" s="130" t="s">
        <v>797</v>
      </c>
    </row>
    <row r="72" spans="1:10" hidden="1" x14ac:dyDescent="0.25">
      <c r="A72" s="135" t="s">
        <v>798</v>
      </c>
      <c r="B72" s="135"/>
      <c r="C72" s="136"/>
      <c r="D72" s="137"/>
      <c r="E72" s="138"/>
      <c r="J72" s="130" t="s">
        <v>799</v>
      </c>
    </row>
    <row r="73" spans="1:10" hidden="1" x14ac:dyDescent="0.25">
      <c r="A73" s="135" t="s">
        <v>800</v>
      </c>
      <c r="B73" s="135"/>
      <c r="C73" s="136"/>
      <c r="D73" s="137"/>
      <c r="E73" s="138"/>
      <c r="J73" s="130" t="s">
        <v>801</v>
      </c>
    </row>
    <row r="74" spans="1:10" hidden="1" x14ac:dyDescent="0.25">
      <c r="A74" s="135" t="s">
        <v>802</v>
      </c>
      <c r="B74" s="135"/>
      <c r="C74" s="136"/>
      <c r="D74" s="137"/>
      <c r="E74" s="138"/>
      <c r="J74" s="130" t="s">
        <v>803</v>
      </c>
    </row>
    <row r="75" spans="1:10" hidden="1" x14ac:dyDescent="0.25">
      <c r="A75" s="135" t="s">
        <v>804</v>
      </c>
      <c r="B75" s="135"/>
      <c r="C75" s="136"/>
      <c r="D75" s="137"/>
      <c r="E75" s="138"/>
      <c r="J75" s="130" t="s">
        <v>805</v>
      </c>
    </row>
    <row r="76" spans="1:10" hidden="1" x14ac:dyDescent="0.25">
      <c r="A76" s="135" t="s">
        <v>806</v>
      </c>
      <c r="B76" s="135"/>
      <c r="C76" s="136"/>
      <c r="D76" s="137"/>
      <c r="E76" s="138"/>
      <c r="J76" s="130" t="s">
        <v>807</v>
      </c>
    </row>
    <row r="77" spans="1:10" hidden="1" x14ac:dyDescent="0.25">
      <c r="A77" s="135" t="s">
        <v>808</v>
      </c>
      <c r="B77" s="135"/>
      <c r="C77" s="136"/>
      <c r="D77" s="137"/>
      <c r="E77" s="138"/>
      <c r="J77" s="130" t="s">
        <v>809</v>
      </c>
    </row>
    <row r="78" spans="1:10" hidden="1" x14ac:dyDescent="0.25">
      <c r="A78" s="135" t="s">
        <v>810</v>
      </c>
      <c r="B78" s="135"/>
      <c r="C78" s="136"/>
      <c r="D78" s="137"/>
      <c r="E78" s="138"/>
      <c r="J78" s="130" t="s">
        <v>811</v>
      </c>
    </row>
    <row r="79" spans="1:10" hidden="1" x14ac:dyDescent="0.25">
      <c r="A79" s="135" t="s">
        <v>812</v>
      </c>
      <c r="B79" s="135"/>
      <c r="C79" s="136"/>
      <c r="D79" s="137"/>
      <c r="E79" s="138"/>
      <c r="J79" s="130" t="s">
        <v>813</v>
      </c>
    </row>
    <row r="80" spans="1:10" hidden="1" x14ac:dyDescent="0.25">
      <c r="A80" s="135" t="s">
        <v>814</v>
      </c>
      <c r="B80" s="135"/>
      <c r="C80" s="136"/>
      <c r="D80" s="137"/>
      <c r="E80" s="138"/>
      <c r="J80" s="130" t="s">
        <v>815</v>
      </c>
    </row>
    <row r="81" spans="1:10" hidden="1" x14ac:dyDescent="0.25">
      <c r="A81" s="135" t="s">
        <v>816</v>
      </c>
      <c r="B81" s="135"/>
      <c r="C81" s="136"/>
      <c r="D81" s="137"/>
      <c r="E81" s="138"/>
      <c r="J81" s="130" t="s">
        <v>817</v>
      </c>
    </row>
    <row r="82" spans="1:10" hidden="1" x14ac:dyDescent="0.25">
      <c r="A82" s="135" t="s">
        <v>818</v>
      </c>
      <c r="B82" s="135"/>
      <c r="C82" s="136"/>
      <c r="D82" s="137"/>
      <c r="E82" s="138"/>
      <c r="J82" s="130" t="s">
        <v>819</v>
      </c>
    </row>
    <row r="83" spans="1:10" hidden="1" x14ac:dyDescent="0.25">
      <c r="A83" s="135" t="s">
        <v>820</v>
      </c>
      <c r="B83" s="135"/>
      <c r="C83" s="136"/>
      <c r="D83" s="137"/>
      <c r="E83" s="138"/>
      <c r="J83" s="130" t="s">
        <v>821</v>
      </c>
    </row>
    <row r="84" spans="1:10" hidden="1" x14ac:dyDescent="0.25">
      <c r="A84" s="135" t="s">
        <v>822</v>
      </c>
      <c r="B84" s="135"/>
      <c r="C84" s="136"/>
      <c r="D84" s="137"/>
      <c r="E84" s="138"/>
      <c r="J84" s="130" t="s">
        <v>823</v>
      </c>
    </row>
    <row r="85" spans="1:10" hidden="1" x14ac:dyDescent="0.25">
      <c r="A85" s="135" t="s">
        <v>824</v>
      </c>
      <c r="B85" s="135"/>
      <c r="C85" s="136"/>
      <c r="D85" s="137"/>
      <c r="E85" s="138"/>
      <c r="J85" s="130" t="s">
        <v>825</v>
      </c>
    </row>
    <row r="86" spans="1:10" hidden="1" x14ac:dyDescent="0.25">
      <c r="A86" s="135" t="s">
        <v>826</v>
      </c>
      <c r="B86" s="135"/>
      <c r="C86" s="136"/>
      <c r="D86" s="137"/>
      <c r="E86" s="138"/>
      <c r="J86" s="130" t="s">
        <v>827</v>
      </c>
    </row>
    <row r="87" spans="1:10" hidden="1" x14ac:dyDescent="0.25">
      <c r="A87" s="135" t="s">
        <v>828</v>
      </c>
      <c r="B87" s="135"/>
      <c r="C87" s="136"/>
      <c r="D87" s="137"/>
      <c r="E87" s="138"/>
      <c r="J87" s="130" t="s">
        <v>829</v>
      </c>
    </row>
    <row r="88" spans="1:10" hidden="1" x14ac:dyDescent="0.25">
      <c r="A88" s="135" t="s">
        <v>830</v>
      </c>
      <c r="B88" s="135"/>
      <c r="C88" s="136"/>
      <c r="D88" s="137"/>
      <c r="E88" s="138"/>
      <c r="J88" s="130" t="s">
        <v>831</v>
      </c>
    </row>
    <row r="89" spans="1:10" hidden="1" x14ac:dyDescent="0.25">
      <c r="A89" s="135" t="s">
        <v>832</v>
      </c>
      <c r="B89" s="135"/>
      <c r="C89" s="136"/>
      <c r="D89" s="137"/>
      <c r="E89" s="138"/>
      <c r="J89" s="130" t="s">
        <v>833</v>
      </c>
    </row>
    <row r="90" spans="1:10" hidden="1" x14ac:dyDescent="0.25">
      <c r="A90" s="135" t="s">
        <v>834</v>
      </c>
      <c r="B90" s="135"/>
      <c r="C90" s="136"/>
      <c r="D90" s="137"/>
      <c r="E90" s="138"/>
      <c r="J90" s="130" t="s">
        <v>835</v>
      </c>
    </row>
    <row r="91" spans="1:10" hidden="1" x14ac:dyDescent="0.25">
      <c r="A91" s="135" t="s">
        <v>836</v>
      </c>
      <c r="B91" s="135"/>
      <c r="C91" s="136"/>
      <c r="D91" s="137"/>
      <c r="E91" s="138"/>
      <c r="J91" s="130" t="s">
        <v>837</v>
      </c>
    </row>
    <row r="92" spans="1:10" hidden="1" x14ac:dyDescent="0.25">
      <c r="A92" s="135" t="s">
        <v>838</v>
      </c>
      <c r="B92" s="135"/>
      <c r="C92" s="136"/>
      <c r="D92" s="137"/>
      <c r="E92" s="138"/>
      <c r="J92" s="130" t="s">
        <v>839</v>
      </c>
    </row>
    <row r="93" spans="1:10" hidden="1" x14ac:dyDescent="0.25">
      <c r="A93" s="135" t="s">
        <v>840</v>
      </c>
      <c r="B93" s="135"/>
      <c r="C93" s="136"/>
      <c r="D93" s="137"/>
      <c r="E93" s="138"/>
      <c r="J93" s="130" t="s">
        <v>841</v>
      </c>
    </row>
    <row r="94" spans="1:10" hidden="1" x14ac:dyDescent="0.25">
      <c r="A94" s="135" t="s">
        <v>842</v>
      </c>
      <c r="B94" s="135"/>
      <c r="C94" s="136"/>
      <c r="D94" s="137"/>
      <c r="E94" s="138"/>
      <c r="J94" s="130" t="s">
        <v>843</v>
      </c>
    </row>
    <row r="95" spans="1:10" hidden="1" x14ac:dyDescent="0.25">
      <c r="A95" s="135" t="s">
        <v>844</v>
      </c>
      <c r="B95" s="135"/>
      <c r="C95" s="136"/>
      <c r="D95" s="137"/>
      <c r="E95" s="138"/>
      <c r="J95" s="130" t="s">
        <v>845</v>
      </c>
    </row>
    <row r="96" spans="1:10" hidden="1" x14ac:dyDescent="0.25">
      <c r="A96" s="135" t="s">
        <v>846</v>
      </c>
      <c r="B96" s="135"/>
      <c r="C96" s="136"/>
      <c r="D96" s="137"/>
      <c r="E96" s="138"/>
      <c r="J96" s="130" t="s">
        <v>847</v>
      </c>
    </row>
    <row r="97" spans="1:10" hidden="1" x14ac:dyDescent="0.25">
      <c r="A97" s="135" t="s">
        <v>848</v>
      </c>
      <c r="B97" s="135"/>
      <c r="C97" s="136"/>
      <c r="D97" s="137"/>
      <c r="E97" s="138"/>
      <c r="J97" s="130" t="s">
        <v>849</v>
      </c>
    </row>
    <row r="98" spans="1:10" hidden="1" x14ac:dyDescent="0.25">
      <c r="A98" s="135" t="s">
        <v>850</v>
      </c>
      <c r="B98" s="135"/>
      <c r="C98" s="136"/>
      <c r="D98" s="137"/>
      <c r="E98" s="138"/>
      <c r="J98" s="130" t="s">
        <v>851</v>
      </c>
    </row>
    <row r="99" spans="1:10" hidden="1" x14ac:dyDescent="0.25">
      <c r="A99" s="135" t="s">
        <v>852</v>
      </c>
      <c r="B99" s="135"/>
      <c r="C99" s="136"/>
      <c r="D99" s="137"/>
      <c r="E99" s="138"/>
      <c r="J99" s="130" t="s">
        <v>853</v>
      </c>
    </row>
  </sheetData>
  <sheetProtection algorithmName="SHA-512" hashValue="GlDKua1jFjXqO5oofnXliLSKLIQ/CLvjYa27OkZe6MoOWIl9eP/GluNTcWRgnP53d5kLMNjaWuVIsHmFvxtV6Q==" saltValue="UFZTQfuK68B71KEIu+mtdg==" spinCount="100000" sheet="1" objects="1"/>
  <mergeCells count="1">
    <mergeCell ref="D4:E4"/>
  </mergeCells>
  <conditionalFormatting sqref="D10:D24">
    <cfRule type="expression" dxfId="11" priority="1" stopIfTrue="1">
      <formula>AND($B10&lt;&gt;"",$D10="")</formula>
    </cfRule>
  </conditionalFormatting>
  <dataValidations count="6">
    <dataValidation allowBlank="1" showInputMessage="1" showErrorMessage="1" prompt="Enter the primary unit code for Charterwide, Private School, and each school. Only 1 unit code should be entered for each, and a primary unit code can only be used once. Please refer to the USFRCS, page III-E-4 for guidance." sqref="D7" xr:uid="{00000000-0002-0000-0E00-000000000000}"/>
    <dataValidation allowBlank="1" showInputMessage="1" showErrorMessage="1" prompt="Click on this line for detailed instructions." sqref="A1" xr:uid="{00000000-0002-0000-0E00-000001000000}"/>
    <dataValidation type="textLength" operator="equal" allowBlank="1" showInputMessage="1" showErrorMessage="1" error="This cell will only accept entries equal to 9 digits." prompt="This cell will only accept entries equal to 9 digits. This number should not contain any slashes, dashes, etc." sqref="C10:C99" xr:uid="{00000000-0002-0000-0E00-000002000000}">
      <formula1>9</formula1>
    </dataValidation>
    <dataValidation allowBlank="1" showInputMessage="1" showErrorMessage="1" prompt="Enter the primary unit code for Districtwide, Private School, CTED (Member Districts) and each school. Only 1 unit code should be entered for each, and a primary unit code can only be used once." sqref="D25:D99" xr:uid="{00000000-0002-0000-0E00-000003000000}"/>
    <dataValidation operator="equal" allowBlank="1" showInputMessage="1" showErrorMessage="1" error="This cell will only accept entries equal to 9 digits." sqref="B2 C7" xr:uid="{00000000-0002-0000-0E00-000004000000}"/>
    <dataValidation type="whole" allowBlank="1" showInputMessage="1" showErrorMessage="1" errorTitle="Invalid primary unit code" error="Primary unit code should be a 3 digit number" prompt="Enter the primary unit code for Charterwide, Private School, and each school. Only 1 unit code should be entered for each, and a primary unit code can only be used once. Please refer to the USFRCS, page III-E-4 for guidance." sqref="D8:D24" xr:uid="{00000000-0002-0000-0E00-000005000000}">
      <formula1>100</formula1>
      <formula2>999</formula2>
    </dataValidation>
  </dataValidations>
  <pageMargins left="0.7" right="0.7" top="0.75" bottom="0.75" header="0.3" footer="0.3"/>
  <pageSetup scale="68" orientation="landscape" r:id="rId1"/>
  <headerFooter>
    <oddFooter>&amp;LRev. 8/26 Arizona Department of Education and Auditor General&amp;CFY 2026</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C2CBE-2C82-46A1-A9FD-F3420802E110}">
  <sheetPr>
    <pageSetUpPr fitToPage="1"/>
  </sheetPr>
  <dimension ref="A1:Y37000"/>
  <sheetViews>
    <sheetView showGridLines="0" workbookViewId="0"/>
  </sheetViews>
  <sheetFormatPr defaultColWidth="9.6640625" defaultRowHeight="14.4" x14ac:dyDescent="0.3"/>
  <cols>
    <col min="1" max="1" width="48" style="99" customWidth="1"/>
    <col min="2" max="2" width="45" style="99" customWidth="1"/>
    <col min="3" max="3" width="38.21875" style="99" customWidth="1"/>
    <col min="4" max="4" width="38" style="99" customWidth="1"/>
    <col min="5" max="5" width="40.21875" style="99" customWidth="1"/>
    <col min="6" max="6" width="43" style="99" customWidth="1"/>
    <col min="7" max="7" width="17.33203125" style="107" customWidth="1"/>
    <col min="8" max="8" width="24.6640625" style="99" bestFit="1" customWidth="1"/>
    <col min="9" max="9" width="22.33203125" style="99" bestFit="1" customWidth="1"/>
    <col min="10" max="10" width="16.33203125" style="99" bestFit="1" customWidth="1"/>
    <col min="11" max="11" width="13.33203125" style="99" bestFit="1" customWidth="1"/>
    <col min="12" max="12" width="9.6640625" style="99" customWidth="1"/>
    <col min="13" max="13" width="55.88671875" style="99" customWidth="1"/>
    <col min="14" max="14" width="55.33203125" style="99" customWidth="1"/>
    <col min="15" max="15" width="45.33203125" style="99" customWidth="1"/>
    <col min="16" max="16" width="90.109375" style="99" customWidth="1"/>
    <col min="17" max="24" width="9.6640625" style="99" customWidth="1"/>
    <col min="25" max="25" width="21.33203125" style="99" hidden="1" customWidth="1"/>
    <col min="26" max="26" width="9.6640625" style="99" customWidth="1"/>
    <col min="27" max="16384" width="9.6640625" style="99"/>
  </cols>
  <sheetData>
    <row r="1" spans="1:25" ht="48" customHeight="1" x14ac:dyDescent="0.3">
      <c r="A1" s="598" t="s">
        <v>854</v>
      </c>
      <c r="B1" s="598" t="s">
        <v>855</v>
      </c>
      <c r="C1" s="598" t="s">
        <v>856</v>
      </c>
      <c r="D1" s="598" t="s">
        <v>857</v>
      </c>
      <c r="E1" s="598" t="s">
        <v>858</v>
      </c>
      <c r="F1" s="598" t="s">
        <v>859</v>
      </c>
      <c r="G1" s="599" t="s">
        <v>860</v>
      </c>
      <c r="H1" s="598" t="s">
        <v>861</v>
      </c>
      <c r="I1" s="598" t="s">
        <v>862</v>
      </c>
      <c r="J1" s="598" t="s">
        <v>863</v>
      </c>
      <c r="K1" s="598" t="s">
        <v>864</v>
      </c>
      <c r="L1" s="598" t="s">
        <v>865</v>
      </c>
      <c r="M1" s="600" t="s">
        <v>866</v>
      </c>
      <c r="N1" s="600" t="s">
        <v>867</v>
      </c>
      <c r="O1" s="600" t="s">
        <v>868</v>
      </c>
      <c r="P1" s="600" t="s">
        <v>869</v>
      </c>
    </row>
    <row r="2" spans="1:25" ht="14.25" customHeight="1" x14ac:dyDescent="0.3">
      <c r="A2" s="100" t="s">
        <v>1137</v>
      </c>
      <c r="B2" s="101"/>
      <c r="C2" s="101"/>
      <c r="D2" s="101"/>
      <c r="E2" s="101"/>
      <c r="F2" s="102" t="s">
        <v>1138</v>
      </c>
      <c r="G2" s="103">
        <v>0</v>
      </c>
      <c r="H2" s="101" t="s">
        <v>871</v>
      </c>
      <c r="I2" s="101" t="s">
        <v>875</v>
      </c>
      <c r="J2" s="101" t="s">
        <v>876</v>
      </c>
      <c r="K2" s="101" t="s">
        <v>881</v>
      </c>
      <c r="L2" s="101" t="s">
        <v>1133</v>
      </c>
      <c r="Y2" s="99" t="s">
        <v>870</v>
      </c>
    </row>
    <row r="3" spans="1:25" ht="14.25" customHeight="1" x14ac:dyDescent="0.3">
      <c r="A3" s="101" t="s">
        <v>1139</v>
      </c>
      <c r="B3" s="101"/>
      <c r="C3" s="101"/>
      <c r="D3" s="101"/>
      <c r="E3" s="101"/>
      <c r="F3" s="102" t="s">
        <v>1140</v>
      </c>
      <c r="G3" s="103">
        <v>410.29</v>
      </c>
      <c r="H3" s="101" t="s">
        <v>871</v>
      </c>
      <c r="I3" s="101" t="s">
        <v>875</v>
      </c>
      <c r="J3" s="101" t="s">
        <v>884</v>
      </c>
      <c r="K3" s="101" t="s">
        <v>885</v>
      </c>
      <c r="L3" s="101" t="s">
        <v>1133</v>
      </c>
      <c r="M3" s="601" t="s">
        <v>871</v>
      </c>
      <c r="N3" s="602" t="s">
        <v>870</v>
      </c>
      <c r="O3" s="602" t="s">
        <v>870</v>
      </c>
      <c r="P3" s="602" t="s">
        <v>870</v>
      </c>
      <c r="Y3" s="99" t="s">
        <v>24</v>
      </c>
    </row>
    <row r="4" spans="1:25" ht="14.25" customHeight="1" x14ac:dyDescent="0.3">
      <c r="A4" s="101" t="s">
        <v>1141</v>
      </c>
      <c r="B4" s="101"/>
      <c r="C4" s="101"/>
      <c r="D4" s="101"/>
      <c r="E4" s="101"/>
      <c r="F4" s="102" t="s">
        <v>1140</v>
      </c>
      <c r="G4" s="103">
        <v>232.91</v>
      </c>
      <c r="H4" s="101" t="s">
        <v>871</v>
      </c>
      <c r="I4" s="101" t="s">
        <v>875</v>
      </c>
      <c r="J4" s="101" t="s">
        <v>884</v>
      </c>
      <c r="K4" s="101" t="s">
        <v>885</v>
      </c>
      <c r="L4" s="101" t="s">
        <v>1133</v>
      </c>
      <c r="M4" s="602" t="s">
        <v>872</v>
      </c>
      <c r="N4" s="602" t="s">
        <v>24</v>
      </c>
      <c r="O4" s="602" t="s">
        <v>24</v>
      </c>
      <c r="P4" s="602" t="s">
        <v>873</v>
      </c>
      <c r="Y4" s="99">
        <f>'School listing'!D7</f>
        <v>0</v>
      </c>
    </row>
    <row r="5" spans="1:25" ht="14.25" customHeight="1" x14ac:dyDescent="0.3">
      <c r="A5" s="603" t="s">
        <v>1142</v>
      </c>
      <c r="B5" s="603"/>
      <c r="C5" s="603"/>
      <c r="D5" s="603"/>
      <c r="E5" s="603"/>
      <c r="F5" s="603" t="s">
        <v>1140</v>
      </c>
      <c r="G5" s="103">
        <v>12.02</v>
      </c>
      <c r="H5" s="101" t="s">
        <v>871</v>
      </c>
      <c r="I5" s="101" t="s">
        <v>875</v>
      </c>
      <c r="J5" s="101" t="s">
        <v>900</v>
      </c>
      <c r="K5" s="101" t="s">
        <v>885</v>
      </c>
      <c r="L5" s="603" t="s">
        <v>1133</v>
      </c>
      <c r="M5" s="602" t="s">
        <v>874</v>
      </c>
      <c r="N5" s="604" t="s">
        <v>875</v>
      </c>
      <c r="O5" s="602" t="s">
        <v>876</v>
      </c>
      <c r="P5" s="602" t="s">
        <v>877</v>
      </c>
      <c r="Y5" s="99">
        <f>'School listing'!D8</f>
        <v>0</v>
      </c>
    </row>
    <row r="6" spans="1:25" ht="14.25" customHeight="1" x14ac:dyDescent="0.3">
      <c r="A6" s="101" t="s">
        <v>1143</v>
      </c>
      <c r="B6" s="101"/>
      <c r="C6" s="101"/>
      <c r="D6" s="101"/>
      <c r="E6" s="101"/>
      <c r="F6" s="102" t="s">
        <v>1140</v>
      </c>
      <c r="G6" s="103">
        <v>517.84</v>
      </c>
      <c r="H6" s="101" t="s">
        <v>871</v>
      </c>
      <c r="I6" s="101" t="s">
        <v>875</v>
      </c>
      <c r="J6" s="101" t="s">
        <v>904</v>
      </c>
      <c r="K6" s="101" t="s">
        <v>885</v>
      </c>
      <c r="L6" s="101" t="s">
        <v>1133</v>
      </c>
      <c r="M6" s="602" t="s">
        <v>878</v>
      </c>
      <c r="N6" s="604" t="s">
        <v>879</v>
      </c>
      <c r="O6" s="602" t="s">
        <v>880</v>
      </c>
      <c r="P6" s="602" t="s">
        <v>881</v>
      </c>
      <c r="Y6" s="99">
        <f>'School listing'!D9</f>
        <v>0</v>
      </c>
    </row>
    <row r="7" spans="1:25" ht="14.25" customHeight="1" x14ac:dyDescent="0.3">
      <c r="A7" s="101" t="s">
        <v>1143</v>
      </c>
      <c r="B7" s="101"/>
      <c r="C7" s="101"/>
      <c r="D7" s="101"/>
      <c r="E7" s="101"/>
      <c r="F7" s="102" t="s">
        <v>1140</v>
      </c>
      <c r="G7" s="103">
        <v>0</v>
      </c>
      <c r="H7" s="101" t="s">
        <v>871</v>
      </c>
      <c r="I7" s="101" t="s">
        <v>875</v>
      </c>
      <c r="J7" s="101" t="s">
        <v>904</v>
      </c>
      <c r="K7" s="101" t="s">
        <v>885</v>
      </c>
      <c r="L7" s="101" t="s">
        <v>1133</v>
      </c>
      <c r="M7" s="602" t="s">
        <v>882</v>
      </c>
      <c r="N7" s="605" t="s">
        <v>883</v>
      </c>
      <c r="O7" s="602" t="s">
        <v>884</v>
      </c>
      <c r="P7" s="602" t="s">
        <v>885</v>
      </c>
      <c r="Y7" s="99">
        <f>'School listing'!D10</f>
        <v>0</v>
      </c>
    </row>
    <row r="8" spans="1:25" ht="14.25" customHeight="1" x14ac:dyDescent="0.3">
      <c r="A8" s="101" t="s">
        <v>1139</v>
      </c>
      <c r="B8" s="101"/>
      <c r="C8" s="101"/>
      <c r="D8" s="101"/>
      <c r="E8" s="101"/>
      <c r="F8" s="102" t="s">
        <v>1140</v>
      </c>
      <c r="G8" s="103">
        <v>0</v>
      </c>
      <c r="H8" s="101" t="s">
        <v>871</v>
      </c>
      <c r="I8" s="101" t="s">
        <v>875</v>
      </c>
      <c r="J8" s="101" t="s">
        <v>884</v>
      </c>
      <c r="K8" s="101" t="s">
        <v>885</v>
      </c>
      <c r="L8" s="101" t="s">
        <v>1133</v>
      </c>
      <c r="M8" s="602" t="s">
        <v>886</v>
      </c>
      <c r="N8" s="605" t="s">
        <v>887</v>
      </c>
      <c r="O8" s="602" t="s">
        <v>888</v>
      </c>
      <c r="P8" s="602" t="s">
        <v>889</v>
      </c>
      <c r="Y8" s="99">
        <f>'School listing'!D11</f>
        <v>0</v>
      </c>
    </row>
    <row r="9" spans="1:25" ht="14.25" customHeight="1" x14ac:dyDescent="0.3">
      <c r="A9" s="101" t="s">
        <v>1144</v>
      </c>
      <c r="B9" s="101"/>
      <c r="C9" s="104"/>
      <c r="D9" s="101"/>
      <c r="E9" s="101"/>
      <c r="F9" s="102" t="s">
        <v>1145</v>
      </c>
      <c r="G9" s="103">
        <v>-250</v>
      </c>
      <c r="H9" s="101" t="s">
        <v>871</v>
      </c>
      <c r="I9" s="101" t="s">
        <v>24</v>
      </c>
      <c r="J9" s="101" t="s">
        <v>24</v>
      </c>
      <c r="K9" s="101" t="s">
        <v>953</v>
      </c>
      <c r="L9" s="101" t="s">
        <v>1133</v>
      </c>
      <c r="M9" s="602" t="s">
        <v>890</v>
      </c>
      <c r="N9" s="605" t="s">
        <v>891</v>
      </c>
      <c r="O9" s="602" t="s">
        <v>892</v>
      </c>
      <c r="P9" s="602" t="s">
        <v>893</v>
      </c>
      <c r="Y9" s="99">
        <f>'School listing'!D12</f>
        <v>0</v>
      </c>
    </row>
    <row r="10" spans="1:25" x14ac:dyDescent="0.3">
      <c r="A10" s="99" t="s">
        <v>1146</v>
      </c>
      <c r="F10" s="105" t="s">
        <v>1145</v>
      </c>
      <c r="G10" s="103">
        <v>-1000</v>
      </c>
      <c r="H10" s="101" t="s">
        <v>871</v>
      </c>
      <c r="I10" s="101" t="s">
        <v>24</v>
      </c>
      <c r="J10" s="101" t="s">
        <v>24</v>
      </c>
      <c r="K10" s="101" t="s">
        <v>953</v>
      </c>
      <c r="L10" s="101" t="s">
        <v>1133</v>
      </c>
      <c r="M10" s="602" t="s">
        <v>894</v>
      </c>
      <c r="N10" s="604" t="s">
        <v>895</v>
      </c>
      <c r="O10" s="602" t="s">
        <v>896</v>
      </c>
      <c r="P10" s="602" t="s">
        <v>897</v>
      </c>
      <c r="Y10" s="99">
        <f>'School listing'!D13</f>
        <v>0</v>
      </c>
    </row>
    <row r="11" spans="1:25" x14ac:dyDescent="0.3">
      <c r="A11" s="99" t="s">
        <v>1147</v>
      </c>
      <c r="F11" s="99" t="s">
        <v>1148</v>
      </c>
      <c r="G11" s="103">
        <v>-2</v>
      </c>
      <c r="H11" s="101" t="s">
        <v>871</v>
      </c>
      <c r="I11" s="101" t="s">
        <v>24</v>
      </c>
      <c r="J11" s="101" t="s">
        <v>24</v>
      </c>
      <c r="K11" s="101" t="s">
        <v>933</v>
      </c>
      <c r="L11" s="101" t="s">
        <v>1133</v>
      </c>
      <c r="M11" s="602" t="s">
        <v>898</v>
      </c>
      <c r="N11" s="605" t="s">
        <v>899</v>
      </c>
      <c r="O11" s="602" t="s">
        <v>900</v>
      </c>
      <c r="P11" s="602" t="s">
        <v>901</v>
      </c>
      <c r="Y11" s="99">
        <f>'School listing'!D14</f>
        <v>0</v>
      </c>
    </row>
    <row r="12" spans="1:25" x14ac:dyDescent="0.3">
      <c r="A12" s="99" t="s">
        <v>1149</v>
      </c>
      <c r="F12" s="99" t="s">
        <v>1150</v>
      </c>
      <c r="G12" s="103">
        <v>925</v>
      </c>
      <c r="H12" s="101" t="s">
        <v>871</v>
      </c>
      <c r="I12" s="101" t="s">
        <v>875</v>
      </c>
      <c r="J12" s="101" t="s">
        <v>876</v>
      </c>
      <c r="K12" s="101" t="s">
        <v>881</v>
      </c>
      <c r="L12" s="101" t="s">
        <v>1133</v>
      </c>
      <c r="M12" s="602" t="s">
        <v>902</v>
      </c>
      <c r="N12" s="605" t="s">
        <v>903</v>
      </c>
      <c r="O12" s="602" t="s">
        <v>904</v>
      </c>
      <c r="P12" s="602" t="s">
        <v>905</v>
      </c>
      <c r="Y12" s="99">
        <f>'School listing'!D15</f>
        <v>0</v>
      </c>
    </row>
    <row r="13" spans="1:25" x14ac:dyDescent="0.3">
      <c r="A13" s="99" t="s">
        <v>1149</v>
      </c>
      <c r="F13" s="99" t="s">
        <v>1150</v>
      </c>
      <c r="G13" s="103">
        <v>450</v>
      </c>
      <c r="H13" s="101" t="s">
        <v>871</v>
      </c>
      <c r="I13" s="101" t="s">
        <v>875</v>
      </c>
      <c r="J13" s="101" t="s">
        <v>876</v>
      </c>
      <c r="K13" s="101" t="s">
        <v>881</v>
      </c>
      <c r="L13" s="101" t="s">
        <v>1136</v>
      </c>
      <c r="M13" s="602" t="s">
        <v>906</v>
      </c>
      <c r="N13" s="602" t="s">
        <v>907</v>
      </c>
      <c r="O13" s="602" t="s">
        <v>908</v>
      </c>
      <c r="P13" s="602" t="s">
        <v>909</v>
      </c>
      <c r="Y13" s="99">
        <f>'School listing'!D16</f>
        <v>0</v>
      </c>
    </row>
    <row r="14" spans="1:25" x14ac:dyDescent="0.3">
      <c r="A14" s="99" t="s">
        <v>1151</v>
      </c>
      <c r="F14" s="99" t="s">
        <v>1152</v>
      </c>
      <c r="G14" s="103">
        <v>-14420.97</v>
      </c>
      <c r="H14" s="101" t="s">
        <v>952</v>
      </c>
      <c r="I14" s="101" t="s">
        <v>24</v>
      </c>
      <c r="J14" s="101" t="s">
        <v>24</v>
      </c>
      <c r="K14" s="101" t="s">
        <v>979</v>
      </c>
      <c r="L14" s="101" t="s">
        <v>1133</v>
      </c>
      <c r="M14" s="602" t="s">
        <v>910</v>
      </c>
      <c r="N14" s="602" t="s">
        <v>911</v>
      </c>
      <c r="O14" s="602" t="s">
        <v>912</v>
      </c>
      <c r="P14" s="602" t="s">
        <v>913</v>
      </c>
      <c r="Y14" s="99">
        <f>'School listing'!D17</f>
        <v>0</v>
      </c>
    </row>
    <row r="15" spans="1:25" x14ac:dyDescent="0.3">
      <c r="A15" s="99" t="s">
        <v>1153</v>
      </c>
      <c r="F15" s="99" t="s">
        <v>1152</v>
      </c>
      <c r="G15" s="103">
        <v>1925</v>
      </c>
      <c r="H15" s="101" t="s">
        <v>952</v>
      </c>
      <c r="I15" s="101" t="s">
        <v>875</v>
      </c>
      <c r="J15" s="101" t="s">
        <v>876</v>
      </c>
      <c r="K15" s="101" t="s">
        <v>873</v>
      </c>
      <c r="L15" s="101" t="s">
        <v>1133</v>
      </c>
      <c r="M15" s="602" t="s">
        <v>914</v>
      </c>
      <c r="N15" s="602" t="s">
        <v>915</v>
      </c>
      <c r="O15" s="602" t="s">
        <v>916</v>
      </c>
      <c r="P15" s="606" t="s">
        <v>917</v>
      </c>
      <c r="Y15" s="99">
        <f>'School listing'!D18</f>
        <v>0</v>
      </c>
    </row>
    <row r="16" spans="1:25" x14ac:dyDescent="0.3">
      <c r="A16" s="99" t="s">
        <v>1154</v>
      </c>
      <c r="B16" s="106"/>
      <c r="F16" s="99" t="s">
        <v>1152</v>
      </c>
      <c r="G16" s="103">
        <v>1100</v>
      </c>
      <c r="H16" s="101" t="s">
        <v>952</v>
      </c>
      <c r="I16" s="101" t="s">
        <v>875</v>
      </c>
      <c r="J16" s="101" t="s">
        <v>876</v>
      </c>
      <c r="K16" s="101" t="s">
        <v>873</v>
      </c>
      <c r="L16" s="101" t="s">
        <v>1133</v>
      </c>
      <c r="M16" s="602" t="s">
        <v>918</v>
      </c>
      <c r="N16" s="602" t="s">
        <v>919</v>
      </c>
      <c r="O16" s="602" t="s">
        <v>920</v>
      </c>
      <c r="P16" s="606" t="s">
        <v>921</v>
      </c>
      <c r="Y16" s="99">
        <f>'School listing'!D19</f>
        <v>0</v>
      </c>
    </row>
    <row r="17" spans="1:25" x14ac:dyDescent="0.3">
      <c r="A17" s="99" t="s">
        <v>1155</v>
      </c>
      <c r="B17" s="106"/>
      <c r="F17" s="99" t="s">
        <v>1152</v>
      </c>
      <c r="G17" s="103">
        <v>605</v>
      </c>
      <c r="H17" s="101" t="s">
        <v>952</v>
      </c>
      <c r="I17" s="101" t="s">
        <v>875</v>
      </c>
      <c r="J17" s="101" t="s">
        <v>876</v>
      </c>
      <c r="K17" s="101" t="s">
        <v>877</v>
      </c>
      <c r="L17" s="101" t="s">
        <v>1133</v>
      </c>
      <c r="M17" s="602" t="s">
        <v>922</v>
      </c>
      <c r="N17" s="602" t="s">
        <v>923</v>
      </c>
      <c r="O17" s="602" t="s">
        <v>924</v>
      </c>
      <c r="P17" s="606" t="s">
        <v>925</v>
      </c>
      <c r="Y17" s="99">
        <f>'School listing'!D20</f>
        <v>0</v>
      </c>
    </row>
    <row r="18" spans="1:25" x14ac:dyDescent="0.3">
      <c r="A18" s="99" t="s">
        <v>1156</v>
      </c>
      <c r="B18" s="106"/>
      <c r="F18" s="99" t="s">
        <v>1152</v>
      </c>
      <c r="G18" s="103">
        <v>2343.75</v>
      </c>
      <c r="H18" s="101" t="s">
        <v>952</v>
      </c>
      <c r="I18" s="101" t="s">
        <v>875</v>
      </c>
      <c r="J18" s="101" t="s">
        <v>876</v>
      </c>
      <c r="K18" s="101" t="s">
        <v>885</v>
      </c>
      <c r="L18" s="101" t="s">
        <v>1133</v>
      </c>
      <c r="M18" s="602" t="s">
        <v>926</v>
      </c>
      <c r="N18" s="602" t="s">
        <v>927</v>
      </c>
      <c r="O18" s="602" t="s">
        <v>928</v>
      </c>
      <c r="P18" s="606" t="s">
        <v>929</v>
      </c>
      <c r="Y18" s="99">
        <f>'School listing'!D21</f>
        <v>0</v>
      </c>
    </row>
    <row r="19" spans="1:25" x14ac:dyDescent="0.3">
      <c r="A19" s="99" t="s">
        <v>1157</v>
      </c>
      <c r="F19" s="99" t="s">
        <v>1152</v>
      </c>
      <c r="G19" s="103">
        <v>500</v>
      </c>
      <c r="H19" s="101" t="s">
        <v>952</v>
      </c>
      <c r="I19" s="101" t="s">
        <v>875</v>
      </c>
      <c r="J19" s="101" t="s">
        <v>884</v>
      </c>
      <c r="K19" s="101" t="s">
        <v>873</v>
      </c>
      <c r="L19" s="101" t="s">
        <v>1133</v>
      </c>
      <c r="M19" s="602" t="s">
        <v>930</v>
      </c>
      <c r="N19" s="602" t="s">
        <v>931</v>
      </c>
      <c r="O19" s="602" t="s">
        <v>932</v>
      </c>
      <c r="P19" s="606" t="s">
        <v>933</v>
      </c>
      <c r="Y19" s="99">
        <f>'School listing'!D22</f>
        <v>0</v>
      </c>
    </row>
    <row r="20" spans="1:25" x14ac:dyDescent="0.3">
      <c r="A20" s="99" t="s">
        <v>1158</v>
      </c>
      <c r="F20" s="99" t="s">
        <v>1152</v>
      </c>
      <c r="G20" s="103">
        <v>110</v>
      </c>
      <c r="H20" s="101" t="s">
        <v>952</v>
      </c>
      <c r="I20" s="101" t="s">
        <v>875</v>
      </c>
      <c r="J20" s="101" t="s">
        <v>884</v>
      </c>
      <c r="K20" s="101" t="s">
        <v>877</v>
      </c>
      <c r="L20" s="101" t="s">
        <v>1133</v>
      </c>
      <c r="M20" s="602" t="s">
        <v>934</v>
      </c>
      <c r="N20" s="602" t="s">
        <v>935</v>
      </c>
      <c r="O20" s="602" t="s">
        <v>936</v>
      </c>
      <c r="P20" s="606" t="s">
        <v>937</v>
      </c>
      <c r="Y20" s="99">
        <f>'School listing'!D23</f>
        <v>0</v>
      </c>
    </row>
    <row r="21" spans="1:25" x14ac:dyDescent="0.3">
      <c r="A21" s="99" t="s">
        <v>1159</v>
      </c>
      <c r="F21" s="99" t="s">
        <v>1152</v>
      </c>
      <c r="G21" s="103">
        <v>3500</v>
      </c>
      <c r="H21" s="101" t="s">
        <v>952</v>
      </c>
      <c r="I21" s="101" t="s">
        <v>875</v>
      </c>
      <c r="J21" s="101" t="s">
        <v>884</v>
      </c>
      <c r="K21" s="101" t="s">
        <v>885</v>
      </c>
      <c r="L21" s="101" t="s">
        <v>1133</v>
      </c>
      <c r="M21" s="602" t="s">
        <v>938</v>
      </c>
      <c r="N21" s="602" t="s">
        <v>939</v>
      </c>
      <c r="O21" s="602" t="s">
        <v>940</v>
      </c>
      <c r="P21" s="606" t="s">
        <v>941</v>
      </c>
      <c r="Y21" s="99">
        <f>'School listing'!D24</f>
        <v>0</v>
      </c>
    </row>
    <row r="22" spans="1:25" x14ac:dyDescent="0.3">
      <c r="A22" s="99" t="s">
        <v>1160</v>
      </c>
      <c r="F22" s="99" t="s">
        <v>1152</v>
      </c>
      <c r="G22" s="103">
        <v>3219</v>
      </c>
      <c r="H22" s="101" t="s">
        <v>952</v>
      </c>
      <c r="I22" s="101" t="s">
        <v>875</v>
      </c>
      <c r="J22" s="101" t="s">
        <v>888</v>
      </c>
      <c r="K22" s="101" t="s">
        <v>881</v>
      </c>
      <c r="L22" s="101" t="s">
        <v>1133</v>
      </c>
      <c r="M22" s="602" t="s">
        <v>942</v>
      </c>
      <c r="P22" s="606" t="s">
        <v>943</v>
      </c>
    </row>
    <row r="23" spans="1:25" x14ac:dyDescent="0.3">
      <c r="A23" s="99" t="s">
        <v>1161</v>
      </c>
      <c r="F23" s="99" t="s">
        <v>1152</v>
      </c>
      <c r="G23" s="103">
        <v>1068.22</v>
      </c>
      <c r="H23" s="101" t="s">
        <v>952</v>
      </c>
      <c r="I23" s="101" t="s">
        <v>875</v>
      </c>
      <c r="J23" s="101" t="s">
        <v>908</v>
      </c>
      <c r="K23" s="101" t="s">
        <v>913</v>
      </c>
      <c r="L23" s="101" t="s">
        <v>1133</v>
      </c>
      <c r="M23" s="602" t="s">
        <v>944</v>
      </c>
      <c r="P23" s="606" t="s">
        <v>945</v>
      </c>
    </row>
    <row r="24" spans="1:25" x14ac:dyDescent="0.3">
      <c r="A24" s="99" t="s">
        <v>1162</v>
      </c>
      <c r="F24" s="99" t="s">
        <v>1152</v>
      </c>
      <c r="G24" s="103">
        <v>50</v>
      </c>
      <c r="H24" s="101" t="s">
        <v>952</v>
      </c>
      <c r="I24" s="101" t="s">
        <v>879</v>
      </c>
      <c r="J24" s="101" t="s">
        <v>876</v>
      </c>
      <c r="K24" s="101" t="s">
        <v>873</v>
      </c>
      <c r="L24" s="101" t="s">
        <v>1133</v>
      </c>
      <c r="M24" s="602" t="s">
        <v>946</v>
      </c>
      <c r="P24" s="606" t="s">
        <v>947</v>
      </c>
    </row>
    <row r="25" spans="1:25" x14ac:dyDescent="0.3">
      <c r="A25" s="99" t="s">
        <v>1151</v>
      </c>
      <c r="F25" s="99" t="s">
        <v>1163</v>
      </c>
      <c r="G25" s="103">
        <v>-13980</v>
      </c>
      <c r="H25" s="101" t="s">
        <v>952</v>
      </c>
      <c r="I25" s="101" t="s">
        <v>24</v>
      </c>
      <c r="J25" s="101" t="s">
        <v>24</v>
      </c>
      <c r="K25" s="101" t="s">
        <v>979</v>
      </c>
      <c r="L25" s="101" t="s">
        <v>1136</v>
      </c>
      <c r="M25" s="602" t="s">
        <v>948</v>
      </c>
      <c r="P25" s="606" t="s">
        <v>949</v>
      </c>
    </row>
    <row r="26" spans="1:25" x14ac:dyDescent="0.3">
      <c r="A26" s="99" t="s">
        <v>1153</v>
      </c>
      <c r="F26" s="99" t="s">
        <v>1163</v>
      </c>
      <c r="G26" s="103">
        <v>1925</v>
      </c>
      <c r="H26" s="101" t="s">
        <v>952</v>
      </c>
      <c r="I26" s="101" t="s">
        <v>875</v>
      </c>
      <c r="J26" s="101" t="s">
        <v>876</v>
      </c>
      <c r="K26" s="101" t="s">
        <v>873</v>
      </c>
      <c r="L26" s="101" t="s">
        <v>1136</v>
      </c>
      <c r="M26" s="602" t="s">
        <v>950</v>
      </c>
      <c r="P26" s="606" t="s">
        <v>951</v>
      </c>
    </row>
    <row r="27" spans="1:25" x14ac:dyDescent="0.3">
      <c r="A27" s="99" t="s">
        <v>1154</v>
      </c>
      <c r="F27" s="99" t="s">
        <v>1163</v>
      </c>
      <c r="G27" s="103">
        <v>1100</v>
      </c>
      <c r="H27" s="101" t="s">
        <v>952</v>
      </c>
      <c r="I27" s="101" t="s">
        <v>875</v>
      </c>
      <c r="J27" s="101" t="s">
        <v>876</v>
      </c>
      <c r="K27" s="101" t="s">
        <v>873</v>
      </c>
      <c r="L27" s="101" t="s">
        <v>1136</v>
      </c>
      <c r="M27" s="602" t="s">
        <v>952</v>
      </c>
      <c r="P27" s="606" t="s">
        <v>953</v>
      </c>
    </row>
    <row r="28" spans="1:25" x14ac:dyDescent="0.3">
      <c r="A28" s="99" t="s">
        <v>1155</v>
      </c>
      <c r="F28" s="99" t="s">
        <v>1163</v>
      </c>
      <c r="G28" s="103">
        <v>605</v>
      </c>
      <c r="H28" s="101" t="s">
        <v>952</v>
      </c>
      <c r="I28" s="101" t="s">
        <v>875</v>
      </c>
      <c r="J28" s="101" t="s">
        <v>876</v>
      </c>
      <c r="K28" s="101" t="s">
        <v>877</v>
      </c>
      <c r="L28" s="101" t="s">
        <v>1136</v>
      </c>
      <c r="M28" s="602" t="s">
        <v>954</v>
      </c>
      <c r="P28" s="606" t="s">
        <v>955</v>
      </c>
    </row>
    <row r="29" spans="1:25" x14ac:dyDescent="0.3">
      <c r="A29" s="99" t="s">
        <v>1156</v>
      </c>
      <c r="F29" s="99" t="s">
        <v>1163</v>
      </c>
      <c r="G29" s="103">
        <v>1200</v>
      </c>
      <c r="H29" s="101" t="s">
        <v>952</v>
      </c>
      <c r="I29" s="101" t="s">
        <v>875</v>
      </c>
      <c r="J29" s="101" t="s">
        <v>876</v>
      </c>
      <c r="K29" s="101" t="s">
        <v>885</v>
      </c>
      <c r="L29" s="101" t="s">
        <v>1136</v>
      </c>
      <c r="M29" s="602" t="s">
        <v>956</v>
      </c>
      <c r="P29" s="606" t="s">
        <v>957</v>
      </c>
    </row>
    <row r="30" spans="1:25" x14ac:dyDescent="0.3">
      <c r="A30" s="99" t="s">
        <v>1157</v>
      </c>
      <c r="F30" s="99" t="s">
        <v>1163</v>
      </c>
      <c r="G30" s="103">
        <v>300</v>
      </c>
      <c r="H30" s="101" t="s">
        <v>952</v>
      </c>
      <c r="I30" s="101" t="s">
        <v>875</v>
      </c>
      <c r="J30" s="101" t="s">
        <v>884</v>
      </c>
      <c r="K30" s="101" t="s">
        <v>873</v>
      </c>
      <c r="L30" s="101" t="s">
        <v>1136</v>
      </c>
      <c r="M30" s="602" t="s">
        <v>958</v>
      </c>
      <c r="P30" s="606" t="s">
        <v>959</v>
      </c>
    </row>
    <row r="31" spans="1:25" x14ac:dyDescent="0.3">
      <c r="A31" s="99" t="s">
        <v>1158</v>
      </c>
      <c r="F31" s="99" t="s">
        <v>1163</v>
      </c>
      <c r="G31" s="103">
        <v>60</v>
      </c>
      <c r="H31" s="101" t="s">
        <v>952</v>
      </c>
      <c r="I31" s="101" t="s">
        <v>875</v>
      </c>
      <c r="J31" s="101" t="s">
        <v>884</v>
      </c>
      <c r="K31" s="101" t="s">
        <v>877</v>
      </c>
      <c r="L31" s="101" t="s">
        <v>1136</v>
      </c>
      <c r="M31" s="602" t="s">
        <v>960</v>
      </c>
      <c r="P31" s="606" t="s">
        <v>961</v>
      </c>
    </row>
    <row r="32" spans="1:25" x14ac:dyDescent="0.3">
      <c r="A32" s="99" t="s">
        <v>1159</v>
      </c>
      <c r="F32" s="99" t="s">
        <v>1163</v>
      </c>
      <c r="G32" s="103">
        <v>2500</v>
      </c>
      <c r="H32" s="101" t="s">
        <v>952</v>
      </c>
      <c r="I32" s="101" t="s">
        <v>875</v>
      </c>
      <c r="J32" s="101" t="s">
        <v>884</v>
      </c>
      <c r="K32" s="101" t="s">
        <v>885</v>
      </c>
      <c r="L32" s="101" t="s">
        <v>1136</v>
      </c>
      <c r="M32" s="602" t="s">
        <v>962</v>
      </c>
      <c r="P32" s="606" t="s">
        <v>963</v>
      </c>
    </row>
    <row r="33" spans="1:16" x14ac:dyDescent="0.3">
      <c r="A33" s="99" t="s">
        <v>1164</v>
      </c>
      <c r="F33" s="99" t="s">
        <v>1163</v>
      </c>
      <c r="G33" s="103">
        <v>1050</v>
      </c>
      <c r="H33" s="101" t="s">
        <v>952</v>
      </c>
      <c r="I33" s="101" t="s">
        <v>875</v>
      </c>
      <c r="J33" s="101" t="s">
        <v>888</v>
      </c>
      <c r="K33" s="101" t="s">
        <v>873</v>
      </c>
      <c r="L33" s="101" t="s">
        <v>1136</v>
      </c>
      <c r="M33" s="602" t="s">
        <v>964</v>
      </c>
      <c r="P33" s="606" t="s">
        <v>965</v>
      </c>
    </row>
    <row r="34" spans="1:16" x14ac:dyDescent="0.3">
      <c r="A34" s="99" t="s">
        <v>1165</v>
      </c>
      <c r="F34" s="99" t="s">
        <v>1163</v>
      </c>
      <c r="G34" s="103">
        <v>210</v>
      </c>
      <c r="H34" s="101" t="s">
        <v>952</v>
      </c>
      <c r="I34" s="101" t="s">
        <v>875</v>
      </c>
      <c r="J34" s="101" t="s">
        <v>888</v>
      </c>
      <c r="K34" s="101" t="s">
        <v>877</v>
      </c>
      <c r="L34" s="101" t="s">
        <v>1136</v>
      </c>
      <c r="M34" s="602" t="s">
        <v>966</v>
      </c>
      <c r="P34" s="606" t="s">
        <v>967</v>
      </c>
    </row>
    <row r="35" spans="1:16" x14ac:dyDescent="0.3">
      <c r="A35" s="99" t="s">
        <v>1160</v>
      </c>
      <c r="F35" s="99" t="s">
        <v>1163</v>
      </c>
      <c r="G35" s="103">
        <v>4409</v>
      </c>
      <c r="H35" s="101" t="s">
        <v>952</v>
      </c>
      <c r="I35" s="101" t="s">
        <v>875</v>
      </c>
      <c r="J35" s="101" t="s">
        <v>888</v>
      </c>
      <c r="K35" s="101" t="s">
        <v>881</v>
      </c>
      <c r="L35" s="101" t="s">
        <v>1136</v>
      </c>
      <c r="M35" s="602" t="s">
        <v>968</v>
      </c>
      <c r="P35" s="606" t="s">
        <v>969</v>
      </c>
    </row>
    <row r="36" spans="1:16" x14ac:dyDescent="0.3">
      <c r="A36" s="99" t="s">
        <v>1161</v>
      </c>
      <c r="F36" s="99" t="s">
        <v>1163</v>
      </c>
      <c r="G36" s="103">
        <v>621</v>
      </c>
      <c r="H36" s="101" t="s">
        <v>952</v>
      </c>
      <c r="I36" s="101" t="s">
        <v>875</v>
      </c>
      <c r="J36" s="101" t="s">
        <v>908</v>
      </c>
      <c r="K36" s="101" t="s">
        <v>913</v>
      </c>
      <c r="L36" s="101" t="s">
        <v>1136</v>
      </c>
      <c r="M36" s="602" t="s">
        <v>970</v>
      </c>
      <c r="P36" s="606" t="s">
        <v>971</v>
      </c>
    </row>
    <row r="37" spans="1:16" x14ac:dyDescent="0.3">
      <c r="A37" s="99" t="s">
        <v>1166</v>
      </c>
      <c r="F37" s="99" t="s">
        <v>1167</v>
      </c>
      <c r="G37" s="103">
        <v>49840.5</v>
      </c>
      <c r="H37" s="101" t="s">
        <v>871</v>
      </c>
      <c r="I37" s="101" t="s">
        <v>875</v>
      </c>
      <c r="J37" s="101" t="s">
        <v>884</v>
      </c>
      <c r="K37" s="101" t="s">
        <v>873</v>
      </c>
      <c r="L37" s="101" t="s">
        <v>1133</v>
      </c>
      <c r="M37" s="602" t="s">
        <v>972</v>
      </c>
      <c r="P37" s="606" t="s">
        <v>973</v>
      </c>
    </row>
    <row r="38" spans="1:16" x14ac:dyDescent="0.3">
      <c r="A38" s="99" t="s">
        <v>1158</v>
      </c>
      <c r="F38" s="99" t="s">
        <v>1167</v>
      </c>
      <c r="G38" s="103">
        <v>14909.5</v>
      </c>
      <c r="H38" s="101" t="s">
        <v>871</v>
      </c>
      <c r="I38" s="101" t="s">
        <v>875</v>
      </c>
      <c r="J38" s="101" t="s">
        <v>884</v>
      </c>
      <c r="K38" s="101" t="s">
        <v>877</v>
      </c>
      <c r="L38" s="101" t="s">
        <v>1133</v>
      </c>
      <c r="M38" s="602" t="s">
        <v>974</v>
      </c>
      <c r="P38" s="606" t="s">
        <v>975</v>
      </c>
    </row>
    <row r="39" spans="1:16" x14ac:dyDescent="0.3">
      <c r="A39" s="99" t="s">
        <v>1168</v>
      </c>
      <c r="F39" s="99" t="s">
        <v>1169</v>
      </c>
      <c r="G39" s="103">
        <v>-22753.23</v>
      </c>
      <c r="H39" s="101" t="s">
        <v>914</v>
      </c>
      <c r="I39" s="101" t="s">
        <v>24</v>
      </c>
      <c r="J39" s="101" t="s">
        <v>24</v>
      </c>
      <c r="K39" s="101" t="s">
        <v>979</v>
      </c>
      <c r="L39" s="101" t="s">
        <v>1133</v>
      </c>
      <c r="M39" s="602" t="s">
        <v>976</v>
      </c>
      <c r="P39" s="606" t="s">
        <v>977</v>
      </c>
    </row>
    <row r="40" spans="1:16" x14ac:dyDescent="0.3">
      <c r="A40" s="99" t="s">
        <v>1161</v>
      </c>
      <c r="F40" s="99" t="s">
        <v>1169</v>
      </c>
      <c r="G40" s="103">
        <v>1683.47</v>
      </c>
      <c r="H40" s="101" t="s">
        <v>914</v>
      </c>
      <c r="I40" s="101" t="s">
        <v>879</v>
      </c>
      <c r="J40" s="101" t="s">
        <v>908</v>
      </c>
      <c r="K40" s="101" t="s">
        <v>913</v>
      </c>
      <c r="L40" s="101" t="s">
        <v>1133</v>
      </c>
      <c r="M40" s="602" t="s">
        <v>978</v>
      </c>
      <c r="P40" s="606" t="s">
        <v>979</v>
      </c>
    </row>
    <row r="41" spans="1:16" x14ac:dyDescent="0.3">
      <c r="A41" s="99" t="s">
        <v>1170</v>
      </c>
      <c r="F41" s="99" t="s">
        <v>1169</v>
      </c>
      <c r="G41" s="103">
        <v>10560</v>
      </c>
      <c r="H41" s="101" t="s">
        <v>914</v>
      </c>
      <c r="I41" s="101" t="s">
        <v>879</v>
      </c>
      <c r="J41" s="101" t="s">
        <v>876</v>
      </c>
      <c r="K41" s="101" t="s">
        <v>873</v>
      </c>
      <c r="L41" s="101" t="s">
        <v>1133</v>
      </c>
      <c r="M41" s="602" t="s">
        <v>980</v>
      </c>
      <c r="P41" s="606" t="s">
        <v>981</v>
      </c>
    </row>
    <row r="42" spans="1:16" x14ac:dyDescent="0.3">
      <c r="A42" s="99" t="s">
        <v>1171</v>
      </c>
      <c r="F42" s="99" t="s">
        <v>1169</v>
      </c>
      <c r="G42" s="107">
        <v>2112</v>
      </c>
      <c r="H42" s="99" t="s">
        <v>914</v>
      </c>
      <c r="I42" s="101" t="s">
        <v>879</v>
      </c>
      <c r="J42" s="99" t="s">
        <v>876</v>
      </c>
      <c r="K42" s="99" t="s">
        <v>877</v>
      </c>
      <c r="L42" s="99" t="s">
        <v>1133</v>
      </c>
      <c r="P42" s="606" t="s">
        <v>982</v>
      </c>
    </row>
    <row r="43" spans="1:16" x14ac:dyDescent="0.3">
      <c r="A43" s="99" t="s">
        <v>1172</v>
      </c>
      <c r="F43" s="99" t="s">
        <v>1169</v>
      </c>
      <c r="G43" s="107">
        <v>8397.76</v>
      </c>
      <c r="H43" s="99" t="s">
        <v>914</v>
      </c>
      <c r="I43" s="101" t="s">
        <v>879</v>
      </c>
      <c r="J43" s="99" t="s">
        <v>884</v>
      </c>
      <c r="K43" s="99" t="s">
        <v>881</v>
      </c>
      <c r="L43" s="99" t="s">
        <v>1133</v>
      </c>
      <c r="P43" s="606" t="s">
        <v>983</v>
      </c>
    </row>
    <row r="44" spans="1:16" x14ac:dyDescent="0.3">
      <c r="A44" s="99" t="s">
        <v>1168</v>
      </c>
      <c r="F44" s="99" t="s">
        <v>1173</v>
      </c>
      <c r="G44" s="107">
        <v>-7983.36</v>
      </c>
      <c r="H44" s="99" t="s">
        <v>914</v>
      </c>
      <c r="I44" s="101" t="s">
        <v>24</v>
      </c>
      <c r="J44" s="99" t="s">
        <v>24</v>
      </c>
      <c r="K44" s="99" t="s">
        <v>979</v>
      </c>
      <c r="L44" s="99" t="s">
        <v>1136</v>
      </c>
      <c r="P44" s="606" t="s">
        <v>984</v>
      </c>
    </row>
    <row r="45" spans="1:16" x14ac:dyDescent="0.3">
      <c r="A45" s="99" t="s">
        <v>1161</v>
      </c>
      <c r="F45" s="99" t="s">
        <v>1173</v>
      </c>
      <c r="G45" s="107">
        <v>591.36</v>
      </c>
      <c r="H45" s="99" t="s">
        <v>914</v>
      </c>
      <c r="I45" s="101" t="s">
        <v>879</v>
      </c>
      <c r="J45" s="99" t="s">
        <v>908</v>
      </c>
      <c r="K45" s="99" t="s">
        <v>913</v>
      </c>
      <c r="L45" s="99" t="s">
        <v>1136</v>
      </c>
    </row>
    <row r="46" spans="1:16" x14ac:dyDescent="0.3">
      <c r="A46" s="99" t="s">
        <v>1170</v>
      </c>
      <c r="F46" s="99" t="s">
        <v>1173</v>
      </c>
      <c r="G46" s="107">
        <v>6160</v>
      </c>
      <c r="H46" s="99" t="s">
        <v>914</v>
      </c>
      <c r="I46" s="101" t="s">
        <v>879</v>
      </c>
      <c r="J46" s="99" t="s">
        <v>876</v>
      </c>
      <c r="K46" s="99" t="s">
        <v>873</v>
      </c>
      <c r="L46" s="99" t="s">
        <v>1136</v>
      </c>
    </row>
    <row r="47" spans="1:16" x14ac:dyDescent="0.3">
      <c r="A47" s="99" t="s">
        <v>1171</v>
      </c>
      <c r="F47" s="99" t="s">
        <v>1173</v>
      </c>
      <c r="G47" s="107">
        <v>1232</v>
      </c>
      <c r="H47" s="99" t="s">
        <v>914</v>
      </c>
      <c r="I47" s="101" t="s">
        <v>879</v>
      </c>
      <c r="J47" s="99" t="s">
        <v>876</v>
      </c>
      <c r="K47" s="99" t="s">
        <v>877</v>
      </c>
      <c r="L47" s="99" t="s">
        <v>1136</v>
      </c>
    </row>
    <row r="48" spans="1:16" x14ac:dyDescent="0.3">
      <c r="A48" s="99" t="s">
        <v>1156</v>
      </c>
      <c r="F48" s="99" t="s">
        <v>1174</v>
      </c>
      <c r="G48" s="107">
        <v>5685.45</v>
      </c>
      <c r="H48" s="99" t="s">
        <v>874</v>
      </c>
      <c r="I48" s="101" t="s">
        <v>875</v>
      </c>
      <c r="J48" s="99" t="s">
        <v>876</v>
      </c>
      <c r="K48" s="99" t="s">
        <v>885</v>
      </c>
      <c r="L48" s="99" t="s">
        <v>1133</v>
      </c>
    </row>
    <row r="49" spans="1:12" x14ac:dyDescent="0.3">
      <c r="A49" s="99" t="s">
        <v>1166</v>
      </c>
      <c r="F49" s="99" t="s">
        <v>1174</v>
      </c>
      <c r="G49" s="107">
        <v>6185.24</v>
      </c>
      <c r="H49" s="99" t="s">
        <v>874</v>
      </c>
      <c r="I49" s="101" t="s">
        <v>875</v>
      </c>
      <c r="J49" s="99" t="s">
        <v>884</v>
      </c>
      <c r="K49" s="99" t="s">
        <v>873</v>
      </c>
      <c r="L49" s="99" t="s">
        <v>1133</v>
      </c>
    </row>
    <row r="50" spans="1:12" x14ac:dyDescent="0.3">
      <c r="A50" s="99" t="s">
        <v>1158</v>
      </c>
      <c r="F50" s="99" t="s">
        <v>1174</v>
      </c>
      <c r="G50" s="107">
        <v>1215.3900000000001</v>
      </c>
      <c r="H50" s="99" t="s">
        <v>874</v>
      </c>
      <c r="I50" s="101" t="s">
        <v>875</v>
      </c>
      <c r="J50" s="99" t="s">
        <v>884</v>
      </c>
      <c r="K50" s="99" t="s">
        <v>877</v>
      </c>
      <c r="L50" s="99" t="s">
        <v>1133</v>
      </c>
    </row>
    <row r="51" spans="1:12" x14ac:dyDescent="0.3">
      <c r="A51" s="99" t="s">
        <v>1156</v>
      </c>
      <c r="F51" s="99" t="s">
        <v>1175</v>
      </c>
      <c r="G51" s="107">
        <v>2842.72</v>
      </c>
      <c r="H51" s="99" t="s">
        <v>874</v>
      </c>
      <c r="I51" s="101" t="s">
        <v>875</v>
      </c>
      <c r="J51" s="99" t="s">
        <v>876</v>
      </c>
      <c r="K51" s="99" t="s">
        <v>885</v>
      </c>
      <c r="L51" s="99" t="s">
        <v>1136</v>
      </c>
    </row>
    <row r="52" spans="1:12" x14ac:dyDescent="0.3">
      <c r="A52" s="99" t="s">
        <v>1176</v>
      </c>
      <c r="F52" s="99" t="s">
        <v>1177</v>
      </c>
      <c r="G52" s="107">
        <v>-10364.629999999999</v>
      </c>
      <c r="H52" s="99" t="s">
        <v>874</v>
      </c>
      <c r="I52" s="101" t="s">
        <v>24</v>
      </c>
      <c r="J52" s="99" t="s">
        <v>24</v>
      </c>
      <c r="K52" s="99" t="s">
        <v>973</v>
      </c>
      <c r="L52" s="99" t="s">
        <v>1133</v>
      </c>
    </row>
    <row r="53" spans="1:12" x14ac:dyDescent="0.3">
      <c r="A53" s="99" t="s">
        <v>1144</v>
      </c>
      <c r="F53" s="99" t="s">
        <v>1178</v>
      </c>
      <c r="G53" s="107">
        <v>-500</v>
      </c>
      <c r="H53" s="99" t="s">
        <v>871</v>
      </c>
      <c r="I53" s="101" t="s">
        <v>24</v>
      </c>
      <c r="J53" s="99" t="s">
        <v>24</v>
      </c>
      <c r="K53" s="99" t="s">
        <v>953</v>
      </c>
      <c r="L53" s="99" t="s">
        <v>1133</v>
      </c>
    </row>
    <row r="54" spans="1:12" x14ac:dyDescent="0.3">
      <c r="A54" s="99" t="s">
        <v>1141</v>
      </c>
      <c r="F54" s="99" t="s">
        <v>1178</v>
      </c>
      <c r="G54" s="107">
        <v>500</v>
      </c>
      <c r="H54" s="99" t="s">
        <v>871</v>
      </c>
      <c r="I54" s="101" t="s">
        <v>875</v>
      </c>
      <c r="J54" s="99" t="s">
        <v>884</v>
      </c>
      <c r="K54" s="99" t="s">
        <v>885</v>
      </c>
      <c r="L54" s="99" t="s">
        <v>1133</v>
      </c>
    </row>
    <row r="55" spans="1:12" x14ac:dyDescent="0.3">
      <c r="A55" s="99" t="s">
        <v>1179</v>
      </c>
      <c r="F55" s="99" t="s">
        <v>1180</v>
      </c>
      <c r="G55" s="107">
        <v>-1575.61</v>
      </c>
      <c r="H55" s="99" t="s">
        <v>976</v>
      </c>
      <c r="I55" s="101" t="s">
        <v>24</v>
      </c>
      <c r="J55" s="99" t="s">
        <v>24</v>
      </c>
      <c r="K55" s="99" t="s">
        <v>971</v>
      </c>
      <c r="L55" s="99" t="s">
        <v>1133</v>
      </c>
    </row>
    <row r="56" spans="1:12" x14ac:dyDescent="0.3">
      <c r="A56" s="99" t="s">
        <v>1181</v>
      </c>
      <c r="F56" s="99" t="s">
        <v>1180</v>
      </c>
      <c r="G56" s="107">
        <v>1575.61</v>
      </c>
      <c r="H56" s="99" t="s">
        <v>976</v>
      </c>
      <c r="I56" s="101" t="s">
        <v>875</v>
      </c>
      <c r="J56" s="99" t="s">
        <v>936</v>
      </c>
      <c r="K56" s="99" t="s">
        <v>889</v>
      </c>
      <c r="L56" s="99" t="s">
        <v>1133</v>
      </c>
    </row>
    <row r="57" spans="1:12" x14ac:dyDescent="0.3">
      <c r="A57" s="99" t="s">
        <v>1144</v>
      </c>
      <c r="F57" s="99" t="s">
        <v>1182</v>
      </c>
      <c r="G57" s="107">
        <v>-500</v>
      </c>
      <c r="H57" s="99" t="s">
        <v>871</v>
      </c>
      <c r="I57" s="101" t="s">
        <v>24</v>
      </c>
      <c r="J57" s="99" t="s">
        <v>24</v>
      </c>
      <c r="K57" s="99" t="s">
        <v>953</v>
      </c>
      <c r="L57" s="99" t="s">
        <v>1133</v>
      </c>
    </row>
    <row r="58" spans="1:12" x14ac:dyDescent="0.3">
      <c r="A58" s="99" t="s">
        <v>1141</v>
      </c>
      <c r="F58" s="99" t="s">
        <v>1182</v>
      </c>
      <c r="G58" s="107">
        <v>307.7</v>
      </c>
      <c r="H58" s="99" t="s">
        <v>871</v>
      </c>
      <c r="I58" s="101" t="s">
        <v>875</v>
      </c>
      <c r="J58" s="99" t="s">
        <v>884</v>
      </c>
      <c r="K58" s="99" t="s">
        <v>885</v>
      </c>
      <c r="L58" s="99" t="s">
        <v>1133</v>
      </c>
    </row>
    <row r="59" spans="1:12" x14ac:dyDescent="0.3">
      <c r="A59" s="99" t="s">
        <v>1143</v>
      </c>
      <c r="F59" s="99" t="s">
        <v>1182</v>
      </c>
      <c r="G59" s="107">
        <v>192.3</v>
      </c>
      <c r="H59" s="99" t="s">
        <v>871</v>
      </c>
      <c r="I59" s="101" t="s">
        <v>875</v>
      </c>
      <c r="J59" s="99" t="s">
        <v>904</v>
      </c>
      <c r="K59" s="99" t="s">
        <v>885</v>
      </c>
      <c r="L59" s="99" t="s">
        <v>1133</v>
      </c>
    </row>
    <row r="60" spans="1:12" x14ac:dyDescent="0.3">
      <c r="A60" s="99" t="s">
        <v>1183</v>
      </c>
      <c r="F60" s="99" t="s">
        <v>1184</v>
      </c>
      <c r="G60" s="107">
        <v>-10000</v>
      </c>
      <c r="H60" s="99" t="s">
        <v>894</v>
      </c>
      <c r="I60" s="101" t="s">
        <v>24</v>
      </c>
      <c r="J60" s="99" t="s">
        <v>24</v>
      </c>
      <c r="K60" s="99" t="s">
        <v>979</v>
      </c>
      <c r="L60" s="99" t="s">
        <v>1133</v>
      </c>
    </row>
    <row r="61" spans="1:12" x14ac:dyDescent="0.3">
      <c r="A61" s="99" t="s">
        <v>1166</v>
      </c>
      <c r="F61" s="99" t="s">
        <v>1184</v>
      </c>
      <c r="G61" s="107">
        <v>8333.33</v>
      </c>
      <c r="H61" s="99" t="s">
        <v>894</v>
      </c>
      <c r="I61" s="101" t="s">
        <v>875</v>
      </c>
      <c r="J61" s="99" t="s">
        <v>884</v>
      </c>
      <c r="K61" s="99" t="s">
        <v>873</v>
      </c>
      <c r="L61" s="99" t="s">
        <v>1133</v>
      </c>
    </row>
    <row r="62" spans="1:12" x14ac:dyDescent="0.3">
      <c r="A62" s="99" t="s">
        <v>1158</v>
      </c>
      <c r="F62" s="99" t="s">
        <v>1184</v>
      </c>
      <c r="G62" s="107">
        <v>1666.67</v>
      </c>
      <c r="H62" s="99" t="s">
        <v>894</v>
      </c>
      <c r="I62" s="101" t="s">
        <v>875</v>
      </c>
      <c r="J62" s="99" t="s">
        <v>884</v>
      </c>
      <c r="K62" s="99" t="s">
        <v>877</v>
      </c>
      <c r="L62" s="99" t="s">
        <v>1133</v>
      </c>
    </row>
    <row r="63" spans="1:12" x14ac:dyDescent="0.3">
      <c r="A63" s="99" t="s">
        <v>1185</v>
      </c>
      <c r="F63" s="99" t="s">
        <v>1186</v>
      </c>
      <c r="G63" s="107">
        <v>-48163.11</v>
      </c>
      <c r="H63" s="99" t="s">
        <v>886</v>
      </c>
      <c r="I63" s="101" t="s">
        <v>24</v>
      </c>
      <c r="J63" s="99" t="s">
        <v>24</v>
      </c>
      <c r="K63" s="99" t="s">
        <v>979</v>
      </c>
      <c r="L63" s="99" t="s">
        <v>1133</v>
      </c>
    </row>
    <row r="64" spans="1:12" x14ac:dyDescent="0.3">
      <c r="A64" s="99" t="s">
        <v>1153</v>
      </c>
      <c r="F64" s="99" t="s">
        <v>1186</v>
      </c>
      <c r="G64" s="107">
        <v>34366.660000000003</v>
      </c>
      <c r="H64" s="99" t="s">
        <v>886</v>
      </c>
      <c r="I64" s="101" t="s">
        <v>875</v>
      </c>
      <c r="J64" s="99" t="s">
        <v>876</v>
      </c>
      <c r="K64" s="99" t="s">
        <v>873</v>
      </c>
      <c r="L64" s="99" t="s">
        <v>1133</v>
      </c>
    </row>
    <row r="65" spans="1:12" x14ac:dyDescent="0.3">
      <c r="A65" s="99" t="s">
        <v>1155</v>
      </c>
      <c r="F65" s="99" t="s">
        <v>1186</v>
      </c>
      <c r="G65" s="107">
        <v>10310</v>
      </c>
      <c r="H65" s="99" t="s">
        <v>886</v>
      </c>
      <c r="I65" s="101" t="s">
        <v>875</v>
      </c>
      <c r="J65" s="99" t="s">
        <v>876</v>
      </c>
      <c r="K65" s="99" t="s">
        <v>877</v>
      </c>
      <c r="L65" s="99" t="s">
        <v>1133</v>
      </c>
    </row>
    <row r="66" spans="1:12" x14ac:dyDescent="0.3">
      <c r="A66" s="99" t="s">
        <v>1139</v>
      </c>
      <c r="F66" s="99" t="s">
        <v>1186</v>
      </c>
      <c r="G66" s="107">
        <v>75</v>
      </c>
      <c r="H66" s="99" t="s">
        <v>886</v>
      </c>
      <c r="I66" s="101" t="s">
        <v>875</v>
      </c>
      <c r="J66" s="99" t="s">
        <v>884</v>
      </c>
      <c r="K66" s="99" t="s">
        <v>885</v>
      </c>
      <c r="L66" s="99" t="s">
        <v>1133</v>
      </c>
    </row>
    <row r="67" spans="1:12" x14ac:dyDescent="0.3">
      <c r="A67" s="99" t="s">
        <v>1161</v>
      </c>
      <c r="F67" s="99" t="s">
        <v>1186</v>
      </c>
      <c r="G67" s="107">
        <v>3411.45</v>
      </c>
      <c r="H67" s="99" t="s">
        <v>886</v>
      </c>
      <c r="I67" s="101" t="s">
        <v>875</v>
      </c>
      <c r="J67" s="99" t="s">
        <v>908</v>
      </c>
      <c r="K67" s="99" t="s">
        <v>913</v>
      </c>
      <c r="L67" s="99" t="s">
        <v>1133</v>
      </c>
    </row>
    <row r="68" spans="1:12" x14ac:dyDescent="0.3">
      <c r="A68" s="99" t="s">
        <v>1185</v>
      </c>
      <c r="F68" s="99" t="s">
        <v>1187</v>
      </c>
      <c r="G68" s="107">
        <v>-585.59</v>
      </c>
      <c r="H68" s="99" t="s">
        <v>886</v>
      </c>
      <c r="I68" s="101" t="s">
        <v>24</v>
      </c>
      <c r="J68" s="99" t="s">
        <v>24</v>
      </c>
      <c r="K68" s="99" t="s">
        <v>979</v>
      </c>
      <c r="L68" s="99" t="s">
        <v>1133</v>
      </c>
    </row>
    <row r="69" spans="1:12" x14ac:dyDescent="0.3">
      <c r="A69" s="99" t="s">
        <v>1161</v>
      </c>
      <c r="F69" s="99" t="s">
        <v>1187</v>
      </c>
      <c r="G69" s="107">
        <v>585.59</v>
      </c>
      <c r="H69" s="99" t="s">
        <v>886</v>
      </c>
      <c r="I69" s="101" t="s">
        <v>875</v>
      </c>
      <c r="J69" s="99" t="s">
        <v>908</v>
      </c>
      <c r="K69" s="99" t="s">
        <v>913</v>
      </c>
      <c r="L69" s="99" t="s">
        <v>1133</v>
      </c>
    </row>
    <row r="70" spans="1:12" x14ac:dyDescent="0.3">
      <c r="A70" s="99" t="s">
        <v>1188</v>
      </c>
      <c r="F70" s="99" t="s">
        <v>1189</v>
      </c>
      <c r="G70" s="107">
        <v>175.64</v>
      </c>
      <c r="H70" s="99" t="s">
        <v>871</v>
      </c>
      <c r="I70" s="101" t="s">
        <v>875</v>
      </c>
      <c r="J70" s="99" t="s">
        <v>908</v>
      </c>
      <c r="K70" s="99" t="s">
        <v>893</v>
      </c>
      <c r="L70" s="99" t="s">
        <v>1133</v>
      </c>
    </row>
    <row r="71" spans="1:12" x14ac:dyDescent="0.3">
      <c r="A71" s="99" t="s">
        <v>1190</v>
      </c>
      <c r="F71" s="99" t="s">
        <v>1189</v>
      </c>
      <c r="G71" s="107">
        <v>0</v>
      </c>
      <c r="H71" s="99" t="s">
        <v>871</v>
      </c>
      <c r="I71" s="101" t="s">
        <v>875</v>
      </c>
      <c r="J71" s="99" t="s">
        <v>912</v>
      </c>
      <c r="K71" s="99" t="s">
        <v>881</v>
      </c>
      <c r="L71" s="99" t="s">
        <v>1133</v>
      </c>
    </row>
    <row r="72" spans="1:12" x14ac:dyDescent="0.3">
      <c r="A72" s="99" t="s">
        <v>1149</v>
      </c>
      <c r="F72" s="99" t="s">
        <v>1191</v>
      </c>
      <c r="G72" s="107">
        <v>254</v>
      </c>
      <c r="H72" s="99" t="s">
        <v>871</v>
      </c>
      <c r="I72" s="101" t="s">
        <v>875</v>
      </c>
      <c r="J72" s="99" t="s">
        <v>876</v>
      </c>
      <c r="K72" s="99" t="s">
        <v>881</v>
      </c>
      <c r="L72" s="99" t="s">
        <v>1133</v>
      </c>
    </row>
    <row r="73" spans="1:12" x14ac:dyDescent="0.3">
      <c r="A73" s="99" t="s">
        <v>1137</v>
      </c>
      <c r="F73" s="99" t="s">
        <v>1191</v>
      </c>
      <c r="G73" s="107">
        <v>1680.97</v>
      </c>
      <c r="H73" s="99" t="s">
        <v>871</v>
      </c>
      <c r="I73" s="101" t="s">
        <v>875</v>
      </c>
      <c r="J73" s="99" t="s">
        <v>876</v>
      </c>
      <c r="K73" s="99" t="s">
        <v>881</v>
      </c>
      <c r="L73" s="99" t="s">
        <v>1133</v>
      </c>
    </row>
    <row r="74" spans="1:12" x14ac:dyDescent="0.3">
      <c r="A74" s="99" t="s">
        <v>1192</v>
      </c>
      <c r="F74" s="99" t="s">
        <v>1191</v>
      </c>
      <c r="G74" s="107">
        <v>991.08</v>
      </c>
      <c r="H74" s="99" t="s">
        <v>871</v>
      </c>
      <c r="I74" s="101" t="s">
        <v>875</v>
      </c>
      <c r="J74" s="99" t="s">
        <v>876</v>
      </c>
      <c r="K74" s="99" t="s">
        <v>885</v>
      </c>
      <c r="L74" s="99" t="s">
        <v>1133</v>
      </c>
    </row>
    <row r="75" spans="1:12" x14ac:dyDescent="0.3">
      <c r="A75" s="99" t="s">
        <v>1137</v>
      </c>
      <c r="F75" s="99" t="s">
        <v>1193</v>
      </c>
      <c r="G75" s="107">
        <v>2047.06</v>
      </c>
      <c r="H75" s="99" t="s">
        <v>871</v>
      </c>
      <c r="I75" s="101" t="s">
        <v>875</v>
      </c>
      <c r="J75" s="99" t="s">
        <v>876</v>
      </c>
      <c r="K75" s="99" t="s">
        <v>881</v>
      </c>
      <c r="L75" s="99" t="s">
        <v>1136</v>
      </c>
    </row>
    <row r="76" spans="1:12" x14ac:dyDescent="0.3">
      <c r="A76" s="99" t="s">
        <v>1192</v>
      </c>
      <c r="F76" s="99" t="s">
        <v>1193</v>
      </c>
      <c r="G76" s="107">
        <v>117.05</v>
      </c>
      <c r="H76" s="99" t="s">
        <v>871</v>
      </c>
      <c r="I76" s="101" t="s">
        <v>875</v>
      </c>
      <c r="J76" s="99" t="s">
        <v>876</v>
      </c>
      <c r="K76" s="99" t="s">
        <v>885</v>
      </c>
      <c r="L76" s="99" t="s">
        <v>1136</v>
      </c>
    </row>
    <row r="77" spans="1:12" x14ac:dyDescent="0.3">
      <c r="A77" s="99" t="s">
        <v>1194</v>
      </c>
      <c r="F77" s="99" t="s">
        <v>1195</v>
      </c>
      <c r="G77" s="107">
        <v>-9723.35</v>
      </c>
      <c r="H77" s="99" t="s">
        <v>871</v>
      </c>
      <c r="I77" s="101" t="s">
        <v>24</v>
      </c>
      <c r="J77" s="99" t="s">
        <v>24</v>
      </c>
      <c r="K77" s="99" t="s">
        <v>945</v>
      </c>
      <c r="L77" s="99" t="s">
        <v>1133</v>
      </c>
    </row>
    <row r="78" spans="1:12" x14ac:dyDescent="0.3">
      <c r="A78" s="99" t="s">
        <v>1194</v>
      </c>
      <c r="F78" s="99" t="s">
        <v>1195</v>
      </c>
      <c r="G78" s="107">
        <v>-2164.11</v>
      </c>
      <c r="H78" s="99" t="s">
        <v>871</v>
      </c>
      <c r="I78" s="101" t="s">
        <v>24</v>
      </c>
      <c r="J78" s="99" t="s">
        <v>24</v>
      </c>
      <c r="K78" s="99" t="s">
        <v>945</v>
      </c>
      <c r="L78" s="99" t="s">
        <v>1136</v>
      </c>
    </row>
    <row r="79" spans="1:12" x14ac:dyDescent="0.3">
      <c r="A79" s="99" t="s">
        <v>1196</v>
      </c>
      <c r="F79" s="99" t="s">
        <v>1197</v>
      </c>
      <c r="G79" s="107">
        <v>-3000</v>
      </c>
      <c r="H79" s="99" t="s">
        <v>871</v>
      </c>
      <c r="I79" s="101" t="s">
        <v>24</v>
      </c>
      <c r="J79" s="99" t="s">
        <v>24</v>
      </c>
      <c r="K79" s="99" t="s">
        <v>953</v>
      </c>
      <c r="L79" s="99" t="s">
        <v>1133</v>
      </c>
    </row>
    <row r="80" spans="1:12" x14ac:dyDescent="0.3">
      <c r="A80" s="99" t="s">
        <v>1166</v>
      </c>
      <c r="F80" s="99" t="s">
        <v>1197</v>
      </c>
      <c r="G80" s="107">
        <v>3000</v>
      </c>
      <c r="H80" s="99" t="s">
        <v>871</v>
      </c>
      <c r="I80" s="101" t="s">
        <v>875</v>
      </c>
      <c r="J80" s="99" t="s">
        <v>884</v>
      </c>
      <c r="K80" s="99" t="s">
        <v>873</v>
      </c>
      <c r="L80" s="99" t="s">
        <v>1133</v>
      </c>
    </row>
    <row r="81" spans="1:12" x14ac:dyDescent="0.3">
      <c r="A81" s="99" t="s">
        <v>1196</v>
      </c>
      <c r="F81" s="99" t="s">
        <v>1198</v>
      </c>
      <c r="G81" s="107">
        <v>-15000</v>
      </c>
      <c r="H81" s="99" t="s">
        <v>871</v>
      </c>
      <c r="I81" s="101" t="s">
        <v>24</v>
      </c>
      <c r="J81" s="99" t="s">
        <v>24</v>
      </c>
      <c r="K81" s="99" t="s">
        <v>953</v>
      </c>
      <c r="L81" s="99" t="s">
        <v>1133</v>
      </c>
    </row>
    <row r="82" spans="1:12" x14ac:dyDescent="0.3">
      <c r="A82" s="99" t="s">
        <v>1166</v>
      </c>
      <c r="F82" s="99" t="s">
        <v>1198</v>
      </c>
      <c r="G82" s="107">
        <v>33859.24</v>
      </c>
      <c r="H82" s="99" t="s">
        <v>871</v>
      </c>
      <c r="I82" s="101" t="s">
        <v>875</v>
      </c>
      <c r="J82" s="99" t="s">
        <v>884</v>
      </c>
      <c r="K82" s="99" t="s">
        <v>873</v>
      </c>
      <c r="L82" s="99" t="s">
        <v>1133</v>
      </c>
    </row>
    <row r="83" spans="1:12" x14ac:dyDescent="0.3">
      <c r="A83" s="99" t="s">
        <v>1158</v>
      </c>
      <c r="F83" s="99" t="s">
        <v>1198</v>
      </c>
      <c r="G83" s="107">
        <v>6140.76</v>
      </c>
      <c r="H83" s="99" t="s">
        <v>871</v>
      </c>
      <c r="I83" s="101" t="s">
        <v>875</v>
      </c>
      <c r="J83" s="99" t="s">
        <v>884</v>
      </c>
      <c r="K83" s="99" t="s">
        <v>877</v>
      </c>
      <c r="L83" s="99" t="s">
        <v>1133</v>
      </c>
    </row>
    <row r="84" spans="1:12" x14ac:dyDescent="0.3">
      <c r="A84" s="99" t="s">
        <v>1196</v>
      </c>
      <c r="F84" s="99" t="s">
        <v>1199</v>
      </c>
      <c r="G84" s="107">
        <v>-488.33</v>
      </c>
      <c r="H84" s="99" t="s">
        <v>871</v>
      </c>
      <c r="I84" s="101" t="s">
        <v>24</v>
      </c>
      <c r="J84" s="99" t="s">
        <v>24</v>
      </c>
      <c r="K84" s="99" t="s">
        <v>953</v>
      </c>
      <c r="L84" s="99" t="s">
        <v>1136</v>
      </c>
    </row>
    <row r="85" spans="1:12" x14ac:dyDescent="0.3">
      <c r="A85" s="99" t="s">
        <v>1144</v>
      </c>
      <c r="F85" s="99" t="s">
        <v>1199</v>
      </c>
      <c r="G85" s="107">
        <v>-250</v>
      </c>
      <c r="H85" s="99" t="s">
        <v>871</v>
      </c>
      <c r="I85" s="101" t="s">
        <v>24</v>
      </c>
      <c r="J85" s="99" t="s">
        <v>24</v>
      </c>
      <c r="K85" s="99" t="s">
        <v>953</v>
      </c>
      <c r="L85" s="99" t="s">
        <v>1136</v>
      </c>
    </row>
    <row r="86" spans="1:12" x14ac:dyDescent="0.3">
      <c r="A86" s="99" t="s">
        <v>1200</v>
      </c>
      <c r="F86" s="99" t="s">
        <v>1199</v>
      </c>
      <c r="G86" s="107">
        <v>245.92</v>
      </c>
      <c r="H86" s="99" t="s">
        <v>871</v>
      </c>
      <c r="I86" s="101" t="s">
        <v>875</v>
      </c>
      <c r="J86" s="99" t="s">
        <v>876</v>
      </c>
      <c r="K86" s="99" t="s">
        <v>885</v>
      </c>
      <c r="L86" s="99" t="s">
        <v>1136</v>
      </c>
    </row>
    <row r="87" spans="1:12" x14ac:dyDescent="0.3">
      <c r="A87" s="99" t="s">
        <v>1201</v>
      </c>
      <c r="F87" s="99" t="s">
        <v>1199</v>
      </c>
      <c r="G87" s="107">
        <v>107.5</v>
      </c>
      <c r="H87" s="99" t="s">
        <v>871</v>
      </c>
      <c r="I87" s="101" t="s">
        <v>875</v>
      </c>
      <c r="J87" s="99" t="s">
        <v>888</v>
      </c>
      <c r="K87" s="99" t="s">
        <v>885</v>
      </c>
      <c r="L87" s="99" t="s">
        <v>1136</v>
      </c>
    </row>
    <row r="88" spans="1:12" x14ac:dyDescent="0.3">
      <c r="A88" s="99" t="s">
        <v>1143</v>
      </c>
      <c r="F88" s="99" t="s">
        <v>1199</v>
      </c>
      <c r="G88" s="107">
        <v>310.82</v>
      </c>
      <c r="H88" s="99" t="s">
        <v>871</v>
      </c>
      <c r="I88" s="101" t="s">
        <v>875</v>
      </c>
      <c r="J88" s="99" t="s">
        <v>904</v>
      </c>
      <c r="K88" s="99" t="s">
        <v>885</v>
      </c>
      <c r="L88" s="99" t="s">
        <v>1136</v>
      </c>
    </row>
    <row r="89" spans="1:12" x14ac:dyDescent="0.3">
      <c r="A89" s="99" t="s">
        <v>1202</v>
      </c>
      <c r="F89" s="99" t="s">
        <v>1199</v>
      </c>
      <c r="G89" s="107">
        <v>74.09</v>
      </c>
      <c r="H89" s="99" t="s">
        <v>871</v>
      </c>
      <c r="I89" s="101" t="s">
        <v>879</v>
      </c>
      <c r="J89" s="99" t="s">
        <v>876</v>
      </c>
      <c r="K89" s="99" t="s">
        <v>881</v>
      </c>
      <c r="L89" s="99" t="s">
        <v>1136</v>
      </c>
    </row>
    <row r="90" spans="1:12" x14ac:dyDescent="0.3">
      <c r="A90" s="99" t="s">
        <v>1203</v>
      </c>
      <c r="F90" s="99" t="s">
        <v>1204</v>
      </c>
      <c r="G90" s="107">
        <v>39000</v>
      </c>
      <c r="H90" s="99" t="s">
        <v>872</v>
      </c>
      <c r="I90" s="101" t="s">
        <v>875</v>
      </c>
      <c r="J90" s="99" t="s">
        <v>876</v>
      </c>
      <c r="K90" s="99" t="s">
        <v>873</v>
      </c>
      <c r="L90" s="99" t="s">
        <v>1136</v>
      </c>
    </row>
    <row r="91" spans="1:12" x14ac:dyDescent="0.3">
      <c r="A91" s="99" t="s">
        <v>1205</v>
      </c>
      <c r="F91" s="99" t="s">
        <v>1204</v>
      </c>
      <c r="G91" s="107">
        <v>7800</v>
      </c>
      <c r="H91" s="99" t="s">
        <v>872</v>
      </c>
      <c r="I91" s="101" t="s">
        <v>875</v>
      </c>
      <c r="J91" s="99" t="s">
        <v>876</v>
      </c>
      <c r="K91" s="99" t="s">
        <v>877</v>
      </c>
      <c r="L91" s="99" t="s">
        <v>1136</v>
      </c>
    </row>
    <row r="92" spans="1:12" x14ac:dyDescent="0.3">
      <c r="A92" s="99" t="s">
        <v>1203</v>
      </c>
      <c r="F92" s="99" t="s">
        <v>1206</v>
      </c>
      <c r="G92" s="107">
        <v>92289.64</v>
      </c>
      <c r="H92" s="99" t="s">
        <v>872</v>
      </c>
      <c r="I92" s="101" t="s">
        <v>875</v>
      </c>
      <c r="J92" s="99" t="s">
        <v>876</v>
      </c>
      <c r="K92" s="99" t="s">
        <v>873</v>
      </c>
      <c r="L92" s="99" t="s">
        <v>1133</v>
      </c>
    </row>
    <row r="93" spans="1:12" x14ac:dyDescent="0.3">
      <c r="A93" s="99" t="s">
        <v>1205</v>
      </c>
      <c r="F93" s="99" t="s">
        <v>1206</v>
      </c>
      <c r="G93" s="107">
        <v>18365.240000000002</v>
      </c>
      <c r="H93" s="99" t="s">
        <v>872</v>
      </c>
      <c r="I93" s="101" t="s">
        <v>875</v>
      </c>
      <c r="J93" s="99" t="s">
        <v>876</v>
      </c>
      <c r="K93" s="99" t="s">
        <v>877</v>
      </c>
      <c r="L93" s="99" t="s">
        <v>1133</v>
      </c>
    </row>
    <row r="94" spans="1:12" x14ac:dyDescent="0.3">
      <c r="A94" s="99" t="s">
        <v>1207</v>
      </c>
      <c r="F94" s="99" t="s">
        <v>1206</v>
      </c>
      <c r="G94" s="107">
        <v>16623</v>
      </c>
      <c r="H94" s="99" t="s">
        <v>872</v>
      </c>
      <c r="I94" s="101" t="s">
        <v>875</v>
      </c>
      <c r="J94" s="99" t="s">
        <v>876</v>
      </c>
      <c r="K94" s="99" t="s">
        <v>873</v>
      </c>
      <c r="L94" s="99" t="s">
        <v>1133</v>
      </c>
    </row>
    <row r="95" spans="1:12" x14ac:dyDescent="0.3">
      <c r="A95" s="99" t="s">
        <v>1208</v>
      </c>
      <c r="F95" s="99" t="s">
        <v>1206</v>
      </c>
      <c r="G95" s="107">
        <v>3324.6</v>
      </c>
      <c r="H95" s="99" t="s">
        <v>872</v>
      </c>
      <c r="I95" s="101" t="s">
        <v>875</v>
      </c>
      <c r="J95" s="99" t="s">
        <v>876</v>
      </c>
      <c r="K95" s="99" t="s">
        <v>877</v>
      </c>
      <c r="L95" s="99" t="s">
        <v>1133</v>
      </c>
    </row>
    <row r="96" spans="1:12" x14ac:dyDescent="0.3">
      <c r="A96" s="99" t="s">
        <v>1209</v>
      </c>
      <c r="F96" s="99" t="s">
        <v>1210</v>
      </c>
      <c r="G96" s="107">
        <v>-164100.28</v>
      </c>
      <c r="H96" s="99" t="s">
        <v>872</v>
      </c>
      <c r="I96" s="101" t="s">
        <v>24</v>
      </c>
      <c r="J96" s="99" t="s">
        <v>24</v>
      </c>
      <c r="K96" s="99" t="s">
        <v>973</v>
      </c>
      <c r="L96" s="99" t="s">
        <v>1133</v>
      </c>
    </row>
    <row r="97" spans="1:12" x14ac:dyDescent="0.3">
      <c r="A97" s="99" t="s">
        <v>1211</v>
      </c>
      <c r="F97" s="99" t="s">
        <v>1212</v>
      </c>
      <c r="G97" s="107">
        <v>-6431.25</v>
      </c>
      <c r="H97" s="99" t="s">
        <v>871</v>
      </c>
      <c r="I97" s="101" t="s">
        <v>24</v>
      </c>
      <c r="J97" s="99" t="s">
        <v>24</v>
      </c>
      <c r="K97" s="99" t="s">
        <v>953</v>
      </c>
      <c r="L97" s="99" t="s">
        <v>1133</v>
      </c>
    </row>
    <row r="98" spans="1:12" x14ac:dyDescent="0.3">
      <c r="A98" s="99" t="s">
        <v>1213</v>
      </c>
      <c r="F98" s="99" t="s">
        <v>1212</v>
      </c>
      <c r="G98" s="107">
        <v>-107706.76</v>
      </c>
      <c r="H98" s="99" t="s">
        <v>871</v>
      </c>
      <c r="I98" s="101" t="s">
        <v>24</v>
      </c>
      <c r="J98" s="99" t="s">
        <v>24</v>
      </c>
      <c r="K98" s="99" t="s">
        <v>953</v>
      </c>
      <c r="L98" s="99" t="s">
        <v>1133</v>
      </c>
    </row>
    <row r="99" spans="1:12" x14ac:dyDescent="0.3">
      <c r="A99" s="99" t="s">
        <v>1196</v>
      </c>
      <c r="F99" s="99" t="s">
        <v>1212</v>
      </c>
      <c r="G99" s="107">
        <v>-8197.89</v>
      </c>
      <c r="H99" s="99" t="s">
        <v>871</v>
      </c>
      <c r="I99" s="101" t="s">
        <v>24</v>
      </c>
      <c r="J99" s="99" t="s">
        <v>24</v>
      </c>
      <c r="K99" s="99" t="s">
        <v>953</v>
      </c>
      <c r="L99" s="99" t="s">
        <v>1133</v>
      </c>
    </row>
    <row r="100" spans="1:12" x14ac:dyDescent="0.3">
      <c r="A100" s="99" t="s">
        <v>1214</v>
      </c>
      <c r="F100" s="99" t="s">
        <v>1212</v>
      </c>
      <c r="G100" s="107">
        <v>-13744.62</v>
      </c>
      <c r="H100" s="99" t="s">
        <v>871</v>
      </c>
      <c r="I100" s="101" t="s">
        <v>24</v>
      </c>
      <c r="J100" s="99" t="s">
        <v>24</v>
      </c>
      <c r="K100" s="99" t="s">
        <v>953</v>
      </c>
      <c r="L100" s="99" t="s">
        <v>1133</v>
      </c>
    </row>
    <row r="101" spans="1:12" x14ac:dyDescent="0.3">
      <c r="A101" s="99" t="s">
        <v>1215</v>
      </c>
      <c r="F101" s="99" t="s">
        <v>1212</v>
      </c>
      <c r="G101" s="107">
        <v>-4479.87</v>
      </c>
      <c r="H101" s="99" t="s">
        <v>871</v>
      </c>
      <c r="I101" s="101" t="s">
        <v>24</v>
      </c>
      <c r="J101" s="99" t="s">
        <v>24</v>
      </c>
      <c r="K101" s="99" t="s">
        <v>953</v>
      </c>
      <c r="L101" s="99" t="s">
        <v>1133</v>
      </c>
    </row>
    <row r="102" spans="1:12" x14ac:dyDescent="0.3">
      <c r="A102" s="99" t="s">
        <v>1216</v>
      </c>
      <c r="F102" s="99" t="s">
        <v>1212</v>
      </c>
      <c r="G102" s="107">
        <v>-1193.8</v>
      </c>
      <c r="H102" s="99" t="s">
        <v>871</v>
      </c>
      <c r="I102" s="101" t="s">
        <v>24</v>
      </c>
      <c r="J102" s="99" t="s">
        <v>24</v>
      </c>
      <c r="K102" s="99" t="s">
        <v>953</v>
      </c>
      <c r="L102" s="99" t="s">
        <v>1133</v>
      </c>
    </row>
    <row r="103" spans="1:12" x14ac:dyDescent="0.3">
      <c r="A103" s="99" t="s">
        <v>1146</v>
      </c>
      <c r="F103" s="99" t="s">
        <v>1212</v>
      </c>
      <c r="G103" s="107">
        <v>-2113.1799999999998</v>
      </c>
      <c r="H103" s="99" t="s">
        <v>871</v>
      </c>
      <c r="I103" s="101" t="s">
        <v>24</v>
      </c>
      <c r="J103" s="99" t="s">
        <v>24</v>
      </c>
      <c r="K103" s="99" t="s">
        <v>953</v>
      </c>
      <c r="L103" s="99" t="s">
        <v>1133</v>
      </c>
    </row>
    <row r="104" spans="1:12" x14ac:dyDescent="0.3">
      <c r="A104" s="99" t="s">
        <v>1217</v>
      </c>
      <c r="F104" s="99" t="s">
        <v>1212</v>
      </c>
      <c r="G104" s="107">
        <v>-896.7</v>
      </c>
      <c r="H104" s="99" t="s">
        <v>871</v>
      </c>
      <c r="I104" s="101" t="s">
        <v>24</v>
      </c>
      <c r="J104" s="99" t="s">
        <v>24</v>
      </c>
      <c r="K104" s="99" t="s">
        <v>953</v>
      </c>
      <c r="L104" s="99" t="s">
        <v>1133</v>
      </c>
    </row>
    <row r="105" spans="1:12" x14ac:dyDescent="0.3">
      <c r="A105" s="99" t="s">
        <v>1218</v>
      </c>
      <c r="F105" s="99" t="s">
        <v>1212</v>
      </c>
      <c r="G105" s="107">
        <v>-8226.0300000000007</v>
      </c>
      <c r="H105" s="99" t="s">
        <v>871</v>
      </c>
      <c r="I105" s="101" t="s">
        <v>24</v>
      </c>
      <c r="J105" s="99" t="s">
        <v>24</v>
      </c>
      <c r="K105" s="99" t="s">
        <v>969</v>
      </c>
      <c r="L105" s="99" t="s">
        <v>1133</v>
      </c>
    </row>
    <row r="106" spans="1:12" x14ac:dyDescent="0.3">
      <c r="A106" s="99" t="s">
        <v>1219</v>
      </c>
      <c r="F106" s="99" t="s">
        <v>1212</v>
      </c>
      <c r="G106" s="107">
        <v>-11217.22</v>
      </c>
      <c r="H106" s="99" t="s">
        <v>871</v>
      </c>
      <c r="I106" s="101" t="s">
        <v>24</v>
      </c>
      <c r="J106" s="99" t="s">
        <v>24</v>
      </c>
      <c r="K106" s="99" t="s">
        <v>969</v>
      </c>
      <c r="L106" s="99" t="s">
        <v>1133</v>
      </c>
    </row>
    <row r="107" spans="1:12" x14ac:dyDescent="0.3">
      <c r="A107" s="99" t="s">
        <v>1220</v>
      </c>
      <c r="F107" s="99" t="s">
        <v>1212</v>
      </c>
      <c r="G107" s="107">
        <v>-1426924.4</v>
      </c>
      <c r="H107" s="99" t="s">
        <v>871</v>
      </c>
      <c r="I107" s="101" t="s">
        <v>24</v>
      </c>
      <c r="J107" s="99" t="s">
        <v>24</v>
      </c>
      <c r="K107" s="99" t="s">
        <v>967</v>
      </c>
      <c r="L107" s="99" t="s">
        <v>1133</v>
      </c>
    </row>
    <row r="108" spans="1:12" x14ac:dyDescent="0.3">
      <c r="A108" s="99" t="s">
        <v>1221</v>
      </c>
      <c r="F108" s="99" t="s">
        <v>1222</v>
      </c>
      <c r="G108" s="107">
        <v>-21595.22</v>
      </c>
      <c r="H108" s="99" t="s">
        <v>952</v>
      </c>
      <c r="I108" s="101" t="s">
        <v>24</v>
      </c>
      <c r="J108" s="99" t="s">
        <v>24</v>
      </c>
      <c r="K108" s="99" t="s">
        <v>979</v>
      </c>
      <c r="L108" s="99" t="s">
        <v>1133</v>
      </c>
    </row>
    <row r="109" spans="1:12" x14ac:dyDescent="0.3">
      <c r="A109" s="99" t="s">
        <v>1223</v>
      </c>
      <c r="G109" s="107">
        <v>0</v>
      </c>
      <c r="H109" s="99" t="s">
        <v>871</v>
      </c>
      <c r="I109" s="101" t="s">
        <v>875</v>
      </c>
      <c r="J109" s="99" t="s">
        <v>940</v>
      </c>
      <c r="K109" s="99" t="s">
        <v>893</v>
      </c>
      <c r="L109" s="99" t="s">
        <v>1133</v>
      </c>
    </row>
    <row r="110" spans="1:12" x14ac:dyDescent="0.3">
      <c r="A110" s="99" t="s">
        <v>1224</v>
      </c>
      <c r="F110" s="99" t="s">
        <v>1225</v>
      </c>
      <c r="G110" s="107">
        <v>173871.8</v>
      </c>
      <c r="H110" s="99" t="s">
        <v>871</v>
      </c>
      <c r="I110" s="101" t="s">
        <v>875</v>
      </c>
      <c r="J110" s="99" t="s">
        <v>940</v>
      </c>
      <c r="K110" s="99" t="s">
        <v>893</v>
      </c>
      <c r="L110" s="99" t="s">
        <v>1133</v>
      </c>
    </row>
    <row r="111" spans="1:12" x14ac:dyDescent="0.3">
      <c r="A111" s="99" t="s">
        <v>1153</v>
      </c>
      <c r="F111" s="99" t="s">
        <v>1226</v>
      </c>
      <c r="G111" s="107">
        <v>52834.080000000002</v>
      </c>
      <c r="H111" s="99" t="s">
        <v>871</v>
      </c>
      <c r="I111" s="101" t="s">
        <v>875</v>
      </c>
      <c r="J111" s="99" t="s">
        <v>876</v>
      </c>
      <c r="K111" s="99" t="s">
        <v>873</v>
      </c>
      <c r="L111" s="99" t="s">
        <v>1136</v>
      </c>
    </row>
    <row r="112" spans="1:12" x14ac:dyDescent="0.3">
      <c r="A112" s="99" t="s">
        <v>1154</v>
      </c>
      <c r="F112" s="99" t="s">
        <v>1226</v>
      </c>
      <c r="G112" s="107">
        <v>31700</v>
      </c>
      <c r="H112" s="99" t="s">
        <v>871</v>
      </c>
      <c r="I112" s="101" t="s">
        <v>875</v>
      </c>
      <c r="J112" s="99" t="s">
        <v>876</v>
      </c>
      <c r="K112" s="99" t="s">
        <v>873</v>
      </c>
      <c r="L112" s="99" t="s">
        <v>1136</v>
      </c>
    </row>
    <row r="113" spans="1:12" x14ac:dyDescent="0.3">
      <c r="A113" s="99" t="s">
        <v>1227</v>
      </c>
      <c r="F113" s="99" t="s">
        <v>1226</v>
      </c>
      <c r="G113" s="107">
        <v>1025</v>
      </c>
      <c r="H113" s="99" t="s">
        <v>871</v>
      </c>
      <c r="I113" s="101" t="s">
        <v>875</v>
      </c>
      <c r="J113" s="99" t="s">
        <v>876</v>
      </c>
      <c r="K113" s="99" t="s">
        <v>873</v>
      </c>
      <c r="L113" s="99" t="s">
        <v>1136</v>
      </c>
    </row>
    <row r="114" spans="1:12" x14ac:dyDescent="0.3">
      <c r="A114" s="99" t="s">
        <v>1155</v>
      </c>
      <c r="F114" s="99" t="s">
        <v>1226</v>
      </c>
      <c r="G114" s="107">
        <v>20754.669999999998</v>
      </c>
      <c r="H114" s="99" t="s">
        <v>871</v>
      </c>
      <c r="I114" s="101" t="s">
        <v>875</v>
      </c>
      <c r="J114" s="99" t="s">
        <v>876</v>
      </c>
      <c r="K114" s="99" t="s">
        <v>877</v>
      </c>
      <c r="L114" s="99" t="s">
        <v>1136</v>
      </c>
    </row>
    <row r="115" spans="1:12" x14ac:dyDescent="0.3">
      <c r="A115" s="99" t="s">
        <v>1149</v>
      </c>
      <c r="F115" s="99" t="s">
        <v>1226</v>
      </c>
      <c r="G115" s="107">
        <v>139.91999999999999</v>
      </c>
      <c r="H115" s="99" t="s">
        <v>871</v>
      </c>
      <c r="I115" s="101" t="s">
        <v>875</v>
      </c>
      <c r="J115" s="99" t="s">
        <v>876</v>
      </c>
      <c r="K115" s="99" t="s">
        <v>881</v>
      </c>
      <c r="L115" s="99" t="s">
        <v>1136</v>
      </c>
    </row>
    <row r="116" spans="1:12" x14ac:dyDescent="0.3">
      <c r="A116" s="99" t="s">
        <v>1228</v>
      </c>
      <c r="F116" s="99" t="s">
        <v>1226</v>
      </c>
      <c r="G116" s="107">
        <v>81.56</v>
      </c>
      <c r="H116" s="99" t="s">
        <v>871</v>
      </c>
      <c r="I116" s="101" t="s">
        <v>875</v>
      </c>
      <c r="J116" s="99" t="s">
        <v>876</v>
      </c>
      <c r="K116" s="99" t="s">
        <v>885</v>
      </c>
      <c r="L116" s="99" t="s">
        <v>1136</v>
      </c>
    </row>
    <row r="117" spans="1:12" x14ac:dyDescent="0.3">
      <c r="A117" s="99" t="s">
        <v>1156</v>
      </c>
      <c r="F117" s="99" t="s">
        <v>1226</v>
      </c>
      <c r="G117" s="107">
        <v>12469.28</v>
      </c>
      <c r="H117" s="99" t="s">
        <v>871</v>
      </c>
      <c r="I117" s="101" t="s">
        <v>875</v>
      </c>
      <c r="J117" s="99" t="s">
        <v>876</v>
      </c>
      <c r="K117" s="99" t="s">
        <v>885</v>
      </c>
      <c r="L117" s="99" t="s">
        <v>1136</v>
      </c>
    </row>
    <row r="118" spans="1:12" x14ac:dyDescent="0.3">
      <c r="A118" s="99" t="s">
        <v>1200</v>
      </c>
      <c r="F118" s="99" t="s">
        <v>1226</v>
      </c>
      <c r="G118" s="107">
        <v>108.61</v>
      </c>
      <c r="H118" s="99" t="s">
        <v>871</v>
      </c>
      <c r="I118" s="101" t="s">
        <v>875</v>
      </c>
      <c r="J118" s="99" t="s">
        <v>876</v>
      </c>
      <c r="K118" s="99" t="s">
        <v>885</v>
      </c>
      <c r="L118" s="99" t="s">
        <v>1136</v>
      </c>
    </row>
    <row r="119" spans="1:12" x14ac:dyDescent="0.3">
      <c r="A119" s="99" t="s">
        <v>1166</v>
      </c>
      <c r="F119" s="99" t="s">
        <v>1226</v>
      </c>
      <c r="G119" s="107">
        <v>0</v>
      </c>
      <c r="H119" s="99" t="s">
        <v>871</v>
      </c>
      <c r="I119" s="101" t="s">
        <v>875</v>
      </c>
      <c r="J119" s="99" t="s">
        <v>884</v>
      </c>
      <c r="K119" s="99" t="s">
        <v>873</v>
      </c>
      <c r="L119" s="99" t="s">
        <v>1136</v>
      </c>
    </row>
    <row r="120" spans="1:12" x14ac:dyDescent="0.3">
      <c r="A120" s="99" t="s">
        <v>1158</v>
      </c>
      <c r="F120" s="99" t="s">
        <v>1226</v>
      </c>
      <c r="G120" s="107">
        <v>3600.7</v>
      </c>
      <c r="H120" s="99" t="s">
        <v>871</v>
      </c>
      <c r="I120" s="101" t="s">
        <v>875</v>
      </c>
      <c r="J120" s="99" t="s">
        <v>884</v>
      </c>
      <c r="K120" s="99" t="s">
        <v>877</v>
      </c>
      <c r="L120" s="99" t="s">
        <v>1136</v>
      </c>
    </row>
    <row r="121" spans="1:12" x14ac:dyDescent="0.3">
      <c r="A121" s="99" t="s">
        <v>1229</v>
      </c>
      <c r="F121" s="99" t="s">
        <v>1226</v>
      </c>
      <c r="G121" s="107">
        <v>498.23</v>
      </c>
      <c r="H121" s="99" t="s">
        <v>871</v>
      </c>
      <c r="I121" s="101" t="s">
        <v>875</v>
      </c>
      <c r="J121" s="99" t="s">
        <v>884</v>
      </c>
      <c r="K121" s="99" t="s">
        <v>881</v>
      </c>
      <c r="L121" s="99" t="s">
        <v>1136</v>
      </c>
    </row>
    <row r="122" spans="1:12" x14ac:dyDescent="0.3">
      <c r="A122" s="99" t="s">
        <v>1230</v>
      </c>
      <c r="F122" s="99" t="s">
        <v>1226</v>
      </c>
      <c r="G122" s="107">
        <v>6945.37</v>
      </c>
      <c r="H122" s="99" t="s">
        <v>871</v>
      </c>
      <c r="I122" s="101" t="s">
        <v>875</v>
      </c>
      <c r="J122" s="99" t="s">
        <v>884</v>
      </c>
      <c r="K122" s="99" t="s">
        <v>881</v>
      </c>
      <c r="L122" s="99" t="s">
        <v>1136</v>
      </c>
    </row>
    <row r="123" spans="1:12" x14ac:dyDescent="0.3">
      <c r="A123" s="99" t="s">
        <v>1231</v>
      </c>
      <c r="F123" s="99" t="s">
        <v>1226</v>
      </c>
      <c r="G123" s="107">
        <v>20.100000000000001</v>
      </c>
      <c r="H123" s="99" t="s">
        <v>871</v>
      </c>
      <c r="I123" s="101" t="s">
        <v>875</v>
      </c>
      <c r="J123" s="99" t="s">
        <v>884</v>
      </c>
      <c r="K123" s="99" t="s">
        <v>881</v>
      </c>
      <c r="L123" s="99" t="s">
        <v>1136</v>
      </c>
    </row>
    <row r="124" spans="1:12" x14ac:dyDescent="0.3">
      <c r="A124" s="99" t="s">
        <v>1141</v>
      </c>
      <c r="F124" s="99" t="s">
        <v>1226</v>
      </c>
      <c r="G124" s="107">
        <v>11.59</v>
      </c>
      <c r="H124" s="99" t="s">
        <v>871</v>
      </c>
      <c r="I124" s="101" t="s">
        <v>875</v>
      </c>
      <c r="J124" s="99" t="s">
        <v>884</v>
      </c>
      <c r="K124" s="99" t="s">
        <v>885</v>
      </c>
      <c r="L124" s="99" t="s">
        <v>1136</v>
      </c>
    </row>
    <row r="125" spans="1:12" x14ac:dyDescent="0.3">
      <c r="A125" s="99" t="s">
        <v>1165</v>
      </c>
      <c r="F125" s="99" t="s">
        <v>1226</v>
      </c>
      <c r="G125" s="107">
        <v>0</v>
      </c>
      <c r="H125" s="99" t="s">
        <v>871</v>
      </c>
      <c r="I125" s="101" t="s">
        <v>875</v>
      </c>
      <c r="J125" s="99" t="s">
        <v>888</v>
      </c>
      <c r="K125" s="99" t="s">
        <v>877</v>
      </c>
      <c r="L125" s="99" t="s">
        <v>1136</v>
      </c>
    </row>
    <row r="126" spans="1:12" x14ac:dyDescent="0.3">
      <c r="A126" s="99" t="s">
        <v>1160</v>
      </c>
      <c r="F126" s="99" t="s">
        <v>1226</v>
      </c>
      <c r="G126" s="107">
        <v>577</v>
      </c>
      <c r="H126" s="99" t="s">
        <v>871</v>
      </c>
      <c r="I126" s="101" t="s">
        <v>875</v>
      </c>
      <c r="J126" s="99" t="s">
        <v>888</v>
      </c>
      <c r="K126" s="99" t="s">
        <v>881</v>
      </c>
      <c r="L126" s="99" t="s">
        <v>1136</v>
      </c>
    </row>
    <row r="127" spans="1:12" x14ac:dyDescent="0.3">
      <c r="A127" s="99" t="s">
        <v>1201</v>
      </c>
      <c r="F127" s="99" t="s">
        <v>1226</v>
      </c>
      <c r="G127" s="107">
        <v>318.7</v>
      </c>
      <c r="H127" s="99" t="s">
        <v>871</v>
      </c>
      <c r="I127" s="101" t="s">
        <v>875</v>
      </c>
      <c r="J127" s="99" t="s">
        <v>888</v>
      </c>
      <c r="K127" s="99" t="s">
        <v>885</v>
      </c>
      <c r="L127" s="99" t="s">
        <v>1136</v>
      </c>
    </row>
    <row r="128" spans="1:12" x14ac:dyDescent="0.3">
      <c r="A128" s="99" t="s">
        <v>1232</v>
      </c>
      <c r="F128" s="99" t="s">
        <v>1226</v>
      </c>
      <c r="G128" s="107">
        <v>3650</v>
      </c>
      <c r="H128" s="99" t="s">
        <v>871</v>
      </c>
      <c r="I128" s="101" t="s">
        <v>875</v>
      </c>
      <c r="J128" s="99" t="s">
        <v>900</v>
      </c>
      <c r="K128" s="99" t="s">
        <v>881</v>
      </c>
      <c r="L128" s="99" t="s">
        <v>1136</v>
      </c>
    </row>
    <row r="129" spans="1:12" x14ac:dyDescent="0.3">
      <c r="A129" s="99" t="s">
        <v>1233</v>
      </c>
      <c r="F129" s="99" t="s">
        <v>1226</v>
      </c>
      <c r="G129" s="107">
        <v>5277.5</v>
      </c>
      <c r="H129" s="99" t="s">
        <v>871</v>
      </c>
      <c r="I129" s="101" t="s">
        <v>875</v>
      </c>
      <c r="J129" s="99" t="s">
        <v>900</v>
      </c>
      <c r="K129" s="99" t="s">
        <v>881</v>
      </c>
      <c r="L129" s="99" t="s">
        <v>1136</v>
      </c>
    </row>
    <row r="130" spans="1:12" x14ac:dyDescent="0.3">
      <c r="A130" s="99" t="s">
        <v>1234</v>
      </c>
      <c r="F130" s="99" t="s">
        <v>1226</v>
      </c>
      <c r="G130" s="107">
        <v>68.34</v>
      </c>
      <c r="H130" s="99" t="s">
        <v>871</v>
      </c>
      <c r="I130" s="101" t="s">
        <v>875</v>
      </c>
      <c r="J130" s="99" t="s">
        <v>900</v>
      </c>
      <c r="K130" s="99" t="s">
        <v>893</v>
      </c>
      <c r="L130" s="99" t="s">
        <v>1136</v>
      </c>
    </row>
    <row r="131" spans="1:12" x14ac:dyDescent="0.3">
      <c r="A131" s="99" t="s">
        <v>1235</v>
      </c>
      <c r="F131" s="99" t="s">
        <v>1226</v>
      </c>
      <c r="G131" s="107">
        <v>23719.84</v>
      </c>
      <c r="H131" s="99" t="s">
        <v>871</v>
      </c>
      <c r="I131" s="101" t="s">
        <v>875</v>
      </c>
      <c r="J131" s="99" t="s">
        <v>904</v>
      </c>
      <c r="K131" s="99" t="s">
        <v>873</v>
      </c>
      <c r="L131" s="99" t="s">
        <v>1136</v>
      </c>
    </row>
    <row r="132" spans="1:12" x14ac:dyDescent="0.3">
      <c r="A132" s="99" t="s">
        <v>1236</v>
      </c>
      <c r="F132" s="99" t="s">
        <v>1226</v>
      </c>
      <c r="G132" s="107">
        <v>9024.2099999999991</v>
      </c>
      <c r="H132" s="99" t="s">
        <v>871</v>
      </c>
      <c r="I132" s="101" t="s">
        <v>875</v>
      </c>
      <c r="J132" s="99" t="s">
        <v>904</v>
      </c>
      <c r="K132" s="99" t="s">
        <v>877</v>
      </c>
      <c r="L132" s="99" t="s">
        <v>1136</v>
      </c>
    </row>
    <row r="133" spans="1:12" x14ac:dyDescent="0.3">
      <c r="A133" s="99" t="s">
        <v>1237</v>
      </c>
      <c r="F133" s="99" t="s">
        <v>1226</v>
      </c>
      <c r="G133" s="107">
        <v>62155.75</v>
      </c>
      <c r="H133" s="99" t="s">
        <v>871</v>
      </c>
      <c r="I133" s="101" t="s">
        <v>875</v>
      </c>
      <c r="J133" s="99" t="s">
        <v>904</v>
      </c>
      <c r="K133" s="99" t="s">
        <v>881</v>
      </c>
      <c r="L133" s="99" t="s">
        <v>1136</v>
      </c>
    </row>
    <row r="134" spans="1:12" x14ac:dyDescent="0.3">
      <c r="A134" s="99" t="s">
        <v>1238</v>
      </c>
      <c r="F134" s="99" t="s">
        <v>1226</v>
      </c>
      <c r="G134" s="107">
        <v>225.98</v>
      </c>
      <c r="H134" s="99" t="s">
        <v>871</v>
      </c>
      <c r="I134" s="101" t="s">
        <v>875</v>
      </c>
      <c r="J134" s="99" t="s">
        <v>904</v>
      </c>
      <c r="K134" s="99" t="s">
        <v>885</v>
      </c>
      <c r="L134" s="99" t="s">
        <v>1136</v>
      </c>
    </row>
    <row r="135" spans="1:12" x14ac:dyDescent="0.3">
      <c r="A135" s="99" t="s">
        <v>1143</v>
      </c>
      <c r="F135" s="99" t="s">
        <v>1226</v>
      </c>
      <c r="G135" s="107">
        <v>203.68</v>
      </c>
      <c r="H135" s="99" t="s">
        <v>871</v>
      </c>
      <c r="I135" s="101" t="s">
        <v>875</v>
      </c>
      <c r="J135" s="99" t="s">
        <v>904</v>
      </c>
      <c r="K135" s="99" t="s">
        <v>885</v>
      </c>
      <c r="L135" s="99" t="s">
        <v>1136</v>
      </c>
    </row>
    <row r="136" spans="1:12" x14ac:dyDescent="0.3">
      <c r="A136" s="99" t="s">
        <v>1239</v>
      </c>
      <c r="F136" s="99" t="s">
        <v>1226</v>
      </c>
      <c r="G136" s="107">
        <v>5441.06</v>
      </c>
      <c r="H136" s="99" t="s">
        <v>871</v>
      </c>
      <c r="I136" s="101" t="s">
        <v>875</v>
      </c>
      <c r="J136" s="99" t="s">
        <v>904</v>
      </c>
      <c r="K136" s="99" t="s">
        <v>893</v>
      </c>
      <c r="L136" s="99" t="s">
        <v>1136</v>
      </c>
    </row>
    <row r="137" spans="1:12" x14ac:dyDescent="0.3">
      <c r="A137" s="99" t="s">
        <v>1240</v>
      </c>
      <c r="F137" s="99" t="s">
        <v>1226</v>
      </c>
      <c r="G137" s="107">
        <v>49.5</v>
      </c>
      <c r="H137" s="99" t="s">
        <v>871</v>
      </c>
      <c r="I137" s="101" t="s">
        <v>875</v>
      </c>
      <c r="J137" s="99" t="s">
        <v>908</v>
      </c>
      <c r="K137" s="99" t="s">
        <v>877</v>
      </c>
      <c r="L137" s="99" t="s">
        <v>1136</v>
      </c>
    </row>
    <row r="138" spans="1:12" x14ac:dyDescent="0.3">
      <c r="A138" s="99" t="s">
        <v>1241</v>
      </c>
      <c r="F138" s="99" t="s">
        <v>1226</v>
      </c>
      <c r="G138" s="107">
        <v>17029.96</v>
      </c>
      <c r="H138" s="99" t="s">
        <v>871</v>
      </c>
      <c r="I138" s="101" t="s">
        <v>875</v>
      </c>
      <c r="J138" s="99" t="s">
        <v>908</v>
      </c>
      <c r="K138" s="99" t="s">
        <v>881</v>
      </c>
      <c r="L138" s="99" t="s">
        <v>1136</v>
      </c>
    </row>
    <row r="139" spans="1:12" x14ac:dyDescent="0.3">
      <c r="A139" s="99" t="s">
        <v>1188</v>
      </c>
      <c r="F139" s="99" t="s">
        <v>1226</v>
      </c>
      <c r="G139" s="107">
        <v>7.68</v>
      </c>
      <c r="H139" s="99" t="s">
        <v>871</v>
      </c>
      <c r="I139" s="101" t="s">
        <v>875</v>
      </c>
      <c r="J139" s="99" t="s">
        <v>908</v>
      </c>
      <c r="K139" s="99" t="s">
        <v>893</v>
      </c>
      <c r="L139" s="99" t="s">
        <v>1136</v>
      </c>
    </row>
    <row r="140" spans="1:12" x14ac:dyDescent="0.3">
      <c r="A140" s="99" t="s">
        <v>1161</v>
      </c>
      <c r="F140" s="99" t="s">
        <v>1226</v>
      </c>
      <c r="G140" s="107">
        <v>0</v>
      </c>
      <c r="H140" s="99" t="s">
        <v>871</v>
      </c>
      <c r="I140" s="101" t="s">
        <v>875</v>
      </c>
      <c r="J140" s="99" t="s">
        <v>908</v>
      </c>
      <c r="K140" s="99" t="s">
        <v>913</v>
      </c>
      <c r="L140" s="99" t="s">
        <v>1136</v>
      </c>
    </row>
    <row r="141" spans="1:12" x14ac:dyDescent="0.3">
      <c r="A141" s="99" t="s">
        <v>1242</v>
      </c>
      <c r="F141" s="99" t="s">
        <v>1226</v>
      </c>
      <c r="G141" s="107">
        <v>13116.31</v>
      </c>
      <c r="H141" s="99" t="s">
        <v>871</v>
      </c>
      <c r="I141" s="101" t="s">
        <v>875</v>
      </c>
      <c r="J141" s="99" t="s">
        <v>912</v>
      </c>
      <c r="K141" s="99" t="s">
        <v>881</v>
      </c>
      <c r="L141" s="99" t="s">
        <v>1136</v>
      </c>
    </row>
    <row r="142" spans="1:12" x14ac:dyDescent="0.3">
      <c r="A142" s="99" t="s">
        <v>1243</v>
      </c>
      <c r="F142" s="99" t="s">
        <v>1226</v>
      </c>
      <c r="G142" s="107">
        <v>400</v>
      </c>
      <c r="H142" s="99" t="s">
        <v>871</v>
      </c>
      <c r="I142" s="101" t="s">
        <v>875</v>
      </c>
      <c r="J142" s="99" t="s">
        <v>912</v>
      </c>
      <c r="K142" s="99" t="s">
        <v>881</v>
      </c>
      <c r="L142" s="99" t="s">
        <v>1136</v>
      </c>
    </row>
    <row r="143" spans="1:12" x14ac:dyDescent="0.3">
      <c r="A143" s="99" t="s">
        <v>1244</v>
      </c>
      <c r="F143" s="99" t="s">
        <v>1226</v>
      </c>
      <c r="G143" s="107">
        <v>1154</v>
      </c>
      <c r="H143" s="99" t="s">
        <v>871</v>
      </c>
      <c r="I143" s="101" t="s">
        <v>875</v>
      </c>
      <c r="J143" s="99" t="s">
        <v>912</v>
      </c>
      <c r="K143" s="99" t="s">
        <v>881</v>
      </c>
      <c r="L143" s="99" t="s">
        <v>1136</v>
      </c>
    </row>
    <row r="144" spans="1:12" x14ac:dyDescent="0.3">
      <c r="A144" s="99" t="s">
        <v>1245</v>
      </c>
      <c r="F144" s="99" t="s">
        <v>1226</v>
      </c>
      <c r="G144" s="107">
        <v>11496</v>
      </c>
      <c r="H144" s="99" t="s">
        <v>871</v>
      </c>
      <c r="I144" s="101" t="s">
        <v>875</v>
      </c>
      <c r="J144" s="99" t="s">
        <v>912</v>
      </c>
      <c r="K144" s="99" t="s">
        <v>881</v>
      </c>
      <c r="L144" s="99" t="s">
        <v>1136</v>
      </c>
    </row>
    <row r="145" spans="1:12" x14ac:dyDescent="0.3">
      <c r="A145" s="99" t="s">
        <v>1246</v>
      </c>
      <c r="F145" s="99" t="s">
        <v>1226</v>
      </c>
      <c r="G145" s="107">
        <v>839.76</v>
      </c>
      <c r="H145" s="99" t="s">
        <v>871</v>
      </c>
      <c r="I145" s="101" t="s">
        <v>875</v>
      </c>
      <c r="J145" s="99" t="s">
        <v>912</v>
      </c>
      <c r="K145" s="99" t="s">
        <v>881</v>
      </c>
      <c r="L145" s="99" t="s">
        <v>1136</v>
      </c>
    </row>
    <row r="146" spans="1:12" x14ac:dyDescent="0.3">
      <c r="A146" s="99" t="s">
        <v>1247</v>
      </c>
      <c r="F146" s="99" t="s">
        <v>1226</v>
      </c>
      <c r="G146" s="107">
        <v>225.95</v>
      </c>
      <c r="H146" s="99" t="s">
        <v>871</v>
      </c>
      <c r="I146" s="101" t="s">
        <v>875</v>
      </c>
      <c r="J146" s="99" t="s">
        <v>912</v>
      </c>
      <c r="K146" s="99" t="s">
        <v>881</v>
      </c>
      <c r="L146" s="99" t="s">
        <v>1136</v>
      </c>
    </row>
    <row r="147" spans="1:12" x14ac:dyDescent="0.3">
      <c r="A147" s="99" t="s">
        <v>1248</v>
      </c>
      <c r="F147" s="99" t="s">
        <v>1226</v>
      </c>
      <c r="G147" s="107">
        <v>746.13</v>
      </c>
      <c r="H147" s="99" t="s">
        <v>871</v>
      </c>
      <c r="I147" s="101" t="s">
        <v>875</v>
      </c>
      <c r="J147" s="99" t="s">
        <v>912</v>
      </c>
      <c r="K147" s="99" t="s">
        <v>881</v>
      </c>
      <c r="L147" s="99" t="s">
        <v>1136</v>
      </c>
    </row>
    <row r="148" spans="1:12" x14ac:dyDescent="0.3">
      <c r="A148" s="99" t="s">
        <v>1249</v>
      </c>
      <c r="F148" s="99" t="s">
        <v>1226</v>
      </c>
      <c r="G148" s="107">
        <v>66555</v>
      </c>
      <c r="H148" s="99" t="s">
        <v>871</v>
      </c>
      <c r="I148" s="101" t="s">
        <v>875</v>
      </c>
      <c r="J148" s="99" t="s">
        <v>912</v>
      </c>
      <c r="K148" s="99" t="s">
        <v>881</v>
      </c>
      <c r="L148" s="99" t="s">
        <v>1136</v>
      </c>
    </row>
    <row r="149" spans="1:12" x14ac:dyDescent="0.3">
      <c r="A149" s="99" t="s">
        <v>1250</v>
      </c>
      <c r="F149" s="99" t="s">
        <v>1226</v>
      </c>
      <c r="G149" s="107">
        <v>6148</v>
      </c>
      <c r="H149" s="99" t="s">
        <v>871</v>
      </c>
      <c r="I149" s="101" t="s">
        <v>875</v>
      </c>
      <c r="J149" s="99" t="s">
        <v>912</v>
      </c>
      <c r="K149" s="99" t="s">
        <v>881</v>
      </c>
      <c r="L149" s="99" t="s">
        <v>1136</v>
      </c>
    </row>
    <row r="150" spans="1:12" x14ac:dyDescent="0.3">
      <c r="A150" s="99" t="s">
        <v>1251</v>
      </c>
      <c r="F150" s="99" t="s">
        <v>1226</v>
      </c>
      <c r="G150" s="107">
        <v>4644.58</v>
      </c>
      <c r="H150" s="99" t="s">
        <v>871</v>
      </c>
      <c r="I150" s="101" t="s">
        <v>875</v>
      </c>
      <c r="J150" s="99" t="s">
        <v>912</v>
      </c>
      <c r="K150" s="99" t="s">
        <v>881</v>
      </c>
      <c r="L150" s="99" t="s">
        <v>1136</v>
      </c>
    </row>
    <row r="151" spans="1:12" x14ac:dyDescent="0.3">
      <c r="A151" s="99" t="s">
        <v>1252</v>
      </c>
      <c r="F151" s="99" t="s">
        <v>1253</v>
      </c>
      <c r="G151" s="107">
        <v>296.95</v>
      </c>
      <c r="H151" s="99" t="s">
        <v>952</v>
      </c>
      <c r="I151" s="101" t="s">
        <v>875</v>
      </c>
      <c r="J151" s="99" t="s">
        <v>912</v>
      </c>
      <c r="K151" s="99" t="s">
        <v>885</v>
      </c>
      <c r="L151" s="99" t="s">
        <v>1136</v>
      </c>
    </row>
    <row r="152" spans="1:12" x14ac:dyDescent="0.3">
      <c r="A152" s="99" t="s">
        <v>1254</v>
      </c>
      <c r="F152" s="99" t="s">
        <v>1226</v>
      </c>
      <c r="G152" s="107">
        <v>854.48</v>
      </c>
      <c r="H152" s="99" t="s">
        <v>871</v>
      </c>
      <c r="I152" s="101" t="s">
        <v>875</v>
      </c>
      <c r="J152" s="99" t="s">
        <v>912</v>
      </c>
      <c r="K152" s="99" t="s">
        <v>885</v>
      </c>
      <c r="L152" s="99" t="s">
        <v>1136</v>
      </c>
    </row>
    <row r="153" spans="1:12" x14ac:dyDescent="0.3">
      <c r="A153" s="99" t="s">
        <v>1255</v>
      </c>
      <c r="F153" s="99" t="s">
        <v>1226</v>
      </c>
      <c r="G153" s="107">
        <v>5442.56</v>
      </c>
      <c r="H153" s="99" t="s">
        <v>871</v>
      </c>
      <c r="I153" s="101" t="s">
        <v>875</v>
      </c>
      <c r="J153" s="99" t="s">
        <v>912</v>
      </c>
      <c r="K153" s="99" t="s">
        <v>885</v>
      </c>
      <c r="L153" s="99" t="s">
        <v>1136</v>
      </c>
    </row>
    <row r="154" spans="1:12" x14ac:dyDescent="0.3">
      <c r="A154" s="99" t="s">
        <v>1256</v>
      </c>
      <c r="F154" s="99" t="s">
        <v>1226</v>
      </c>
      <c r="G154" s="107">
        <v>570.41999999999996</v>
      </c>
      <c r="H154" s="99" t="s">
        <v>871</v>
      </c>
      <c r="I154" s="101" t="s">
        <v>875</v>
      </c>
      <c r="J154" s="99" t="s">
        <v>912</v>
      </c>
      <c r="K154" s="99" t="s">
        <v>885</v>
      </c>
      <c r="L154" s="99" t="s">
        <v>1136</v>
      </c>
    </row>
    <row r="155" spans="1:12" x14ac:dyDescent="0.3">
      <c r="A155" s="99" t="s">
        <v>1257</v>
      </c>
      <c r="F155" s="99" t="s">
        <v>1253</v>
      </c>
      <c r="G155" s="107">
        <v>387.97</v>
      </c>
      <c r="H155" s="99" t="s">
        <v>952</v>
      </c>
      <c r="I155" s="101" t="s">
        <v>875</v>
      </c>
      <c r="J155" s="99" t="s">
        <v>912</v>
      </c>
      <c r="K155" s="99" t="s">
        <v>885</v>
      </c>
      <c r="L155" s="99" t="s">
        <v>1136</v>
      </c>
    </row>
    <row r="156" spans="1:12" x14ac:dyDescent="0.3">
      <c r="A156" s="99" t="s">
        <v>1258</v>
      </c>
      <c r="F156" s="99" t="s">
        <v>1226</v>
      </c>
      <c r="G156" s="107">
        <v>565</v>
      </c>
      <c r="H156" s="99" t="s">
        <v>871</v>
      </c>
      <c r="I156" s="101" t="s">
        <v>879</v>
      </c>
      <c r="J156" s="99" t="s">
        <v>876</v>
      </c>
      <c r="K156" s="99" t="s">
        <v>873</v>
      </c>
      <c r="L156" s="99" t="s">
        <v>1136</v>
      </c>
    </row>
    <row r="157" spans="1:12" x14ac:dyDescent="0.3">
      <c r="A157" s="99" t="s">
        <v>1170</v>
      </c>
      <c r="F157" s="99" t="s">
        <v>1226</v>
      </c>
      <c r="G157" s="107">
        <v>4470</v>
      </c>
      <c r="H157" s="99" t="s">
        <v>871</v>
      </c>
      <c r="I157" s="101" t="s">
        <v>879</v>
      </c>
      <c r="J157" s="99" t="s">
        <v>876</v>
      </c>
      <c r="K157" s="99" t="s">
        <v>873</v>
      </c>
      <c r="L157" s="99" t="s">
        <v>1136</v>
      </c>
    </row>
    <row r="158" spans="1:12" x14ac:dyDescent="0.3">
      <c r="A158" s="99" t="s">
        <v>1259</v>
      </c>
      <c r="F158" s="99" t="s">
        <v>1226</v>
      </c>
      <c r="G158" s="107">
        <v>53999.92</v>
      </c>
      <c r="H158" s="99" t="s">
        <v>871</v>
      </c>
      <c r="I158" s="101" t="s">
        <v>879</v>
      </c>
      <c r="J158" s="99" t="s">
        <v>876</v>
      </c>
      <c r="K158" s="99" t="s">
        <v>873</v>
      </c>
      <c r="L158" s="99" t="s">
        <v>1136</v>
      </c>
    </row>
    <row r="159" spans="1:12" x14ac:dyDescent="0.3">
      <c r="A159" s="99" t="s">
        <v>1171</v>
      </c>
      <c r="F159" s="99" t="s">
        <v>1226</v>
      </c>
      <c r="G159" s="107">
        <v>15455.47</v>
      </c>
      <c r="H159" s="99" t="s">
        <v>871</v>
      </c>
      <c r="I159" s="101" t="s">
        <v>879</v>
      </c>
      <c r="J159" s="99" t="s">
        <v>876</v>
      </c>
      <c r="K159" s="99" t="s">
        <v>877</v>
      </c>
      <c r="L159" s="99" t="s">
        <v>1136</v>
      </c>
    </row>
    <row r="160" spans="1:12" x14ac:dyDescent="0.3">
      <c r="A160" s="99" t="s">
        <v>1260</v>
      </c>
      <c r="F160" s="99" t="s">
        <v>1226</v>
      </c>
      <c r="G160" s="107">
        <v>10.86</v>
      </c>
      <c r="H160" s="99" t="s">
        <v>871</v>
      </c>
      <c r="I160" s="101" t="s">
        <v>879</v>
      </c>
      <c r="J160" s="99" t="s">
        <v>876</v>
      </c>
      <c r="K160" s="99" t="s">
        <v>885</v>
      </c>
      <c r="L160" s="99" t="s">
        <v>1136</v>
      </c>
    </row>
    <row r="161" spans="1:12" x14ac:dyDescent="0.3">
      <c r="A161" s="99" t="s">
        <v>1172</v>
      </c>
      <c r="F161" s="99" t="s">
        <v>1226</v>
      </c>
      <c r="G161" s="107">
        <v>3335.25</v>
      </c>
      <c r="H161" s="99" t="s">
        <v>871</v>
      </c>
      <c r="I161" s="101" t="s">
        <v>879</v>
      </c>
      <c r="J161" s="99" t="s">
        <v>884</v>
      </c>
      <c r="K161" s="99" t="s">
        <v>881</v>
      </c>
      <c r="L161" s="99" t="s">
        <v>1136</v>
      </c>
    </row>
    <row r="162" spans="1:12" x14ac:dyDescent="0.3">
      <c r="A162" s="99" t="s">
        <v>1261</v>
      </c>
      <c r="F162" s="99" t="s">
        <v>1226</v>
      </c>
      <c r="G162" s="107">
        <v>681.78</v>
      </c>
      <c r="H162" s="99" t="s">
        <v>871</v>
      </c>
      <c r="I162" s="101" t="s">
        <v>879</v>
      </c>
      <c r="J162" s="99" t="s">
        <v>884</v>
      </c>
      <c r="K162" s="99" t="s">
        <v>885</v>
      </c>
      <c r="L162" s="99" t="s">
        <v>1136</v>
      </c>
    </row>
    <row r="163" spans="1:12" x14ac:dyDescent="0.3">
      <c r="A163" s="99" t="s">
        <v>1262</v>
      </c>
      <c r="F163" s="99" t="s">
        <v>1226</v>
      </c>
      <c r="G163" s="107">
        <v>0</v>
      </c>
      <c r="H163" s="99" t="s">
        <v>871</v>
      </c>
      <c r="I163" s="101" t="s">
        <v>879</v>
      </c>
      <c r="J163" s="99" t="s">
        <v>888</v>
      </c>
      <c r="K163" s="99" t="s">
        <v>877</v>
      </c>
      <c r="L163" s="99" t="s">
        <v>1136</v>
      </c>
    </row>
    <row r="164" spans="1:12" x14ac:dyDescent="0.3">
      <c r="A164" s="99" t="s">
        <v>1263</v>
      </c>
      <c r="F164" s="99" t="s">
        <v>1226</v>
      </c>
      <c r="G164" s="107">
        <v>3193.75</v>
      </c>
      <c r="H164" s="99" t="s">
        <v>871</v>
      </c>
      <c r="I164" s="101" t="s">
        <v>879</v>
      </c>
      <c r="J164" s="99" t="s">
        <v>888</v>
      </c>
      <c r="K164" s="99" t="s">
        <v>881</v>
      </c>
      <c r="L164" s="99" t="s">
        <v>1136</v>
      </c>
    </row>
    <row r="165" spans="1:12" x14ac:dyDescent="0.3">
      <c r="A165" s="99" t="s">
        <v>1264</v>
      </c>
      <c r="F165" s="99" t="s">
        <v>1226</v>
      </c>
      <c r="G165" s="107">
        <v>600</v>
      </c>
      <c r="H165" s="99" t="s">
        <v>871</v>
      </c>
      <c r="I165" s="101" t="s">
        <v>879</v>
      </c>
      <c r="J165" s="99" t="s">
        <v>888</v>
      </c>
      <c r="K165" s="99" t="s">
        <v>881</v>
      </c>
      <c r="L165" s="99" t="s">
        <v>1136</v>
      </c>
    </row>
    <row r="166" spans="1:12" x14ac:dyDescent="0.3">
      <c r="A166" s="99" t="s">
        <v>1265</v>
      </c>
      <c r="F166" s="99" t="s">
        <v>1226</v>
      </c>
      <c r="G166" s="107">
        <v>574.5</v>
      </c>
      <c r="H166" s="99" t="s">
        <v>871</v>
      </c>
      <c r="I166" s="101" t="s">
        <v>879</v>
      </c>
      <c r="J166" s="99" t="s">
        <v>888</v>
      </c>
      <c r="K166" s="99" t="s">
        <v>881</v>
      </c>
      <c r="L166" s="99" t="s">
        <v>1136</v>
      </c>
    </row>
    <row r="167" spans="1:12" x14ac:dyDescent="0.3">
      <c r="A167" s="99" t="s">
        <v>1266</v>
      </c>
      <c r="F167" s="99" t="s">
        <v>1226</v>
      </c>
      <c r="G167" s="107">
        <v>1160.4100000000001</v>
      </c>
      <c r="H167" s="99" t="s">
        <v>871</v>
      </c>
      <c r="I167" s="101" t="s">
        <v>919</v>
      </c>
      <c r="J167" s="99" t="s">
        <v>876</v>
      </c>
      <c r="K167" s="99" t="s">
        <v>885</v>
      </c>
      <c r="L167" s="99" t="s">
        <v>1136</v>
      </c>
    </row>
    <row r="168" spans="1:12" x14ac:dyDescent="0.3">
      <c r="A168" s="99" t="s">
        <v>1251</v>
      </c>
      <c r="F168" s="99" t="s">
        <v>1253</v>
      </c>
      <c r="G168" s="107">
        <v>5184</v>
      </c>
      <c r="H168" s="99" t="s">
        <v>952</v>
      </c>
      <c r="I168" s="101" t="s">
        <v>875</v>
      </c>
      <c r="J168" s="99" t="s">
        <v>912</v>
      </c>
      <c r="K168" s="99" t="s">
        <v>881</v>
      </c>
      <c r="L168" s="99" t="s">
        <v>1136</v>
      </c>
    </row>
    <row r="169" spans="1:12" x14ac:dyDescent="0.3">
      <c r="A169" s="99" t="s">
        <v>1181</v>
      </c>
      <c r="F169" s="99" t="s">
        <v>1253</v>
      </c>
      <c r="G169" s="107">
        <v>2778.2</v>
      </c>
      <c r="H169" s="99" t="s">
        <v>952</v>
      </c>
      <c r="I169" s="101" t="s">
        <v>875</v>
      </c>
      <c r="J169" s="99" t="s">
        <v>936</v>
      </c>
      <c r="K169" s="99" t="s">
        <v>889</v>
      </c>
      <c r="L169" s="99" t="s">
        <v>1136</v>
      </c>
    </row>
    <row r="170" spans="1:12" x14ac:dyDescent="0.3">
      <c r="A170" s="99" t="s">
        <v>1256</v>
      </c>
      <c r="F170" s="99" t="s">
        <v>1253</v>
      </c>
      <c r="G170" s="107">
        <v>240</v>
      </c>
      <c r="H170" s="99" t="s">
        <v>952</v>
      </c>
      <c r="I170" s="101" t="s">
        <v>875</v>
      </c>
      <c r="J170" s="99" t="s">
        <v>912</v>
      </c>
      <c r="K170" s="99" t="s">
        <v>885</v>
      </c>
      <c r="L170" s="99" t="s">
        <v>1136</v>
      </c>
    </row>
    <row r="171" spans="1:12" x14ac:dyDescent="0.3">
      <c r="A171" s="99" t="s">
        <v>1242</v>
      </c>
      <c r="F171" s="99" t="s">
        <v>1253</v>
      </c>
      <c r="G171" s="107">
        <v>1807.16</v>
      </c>
      <c r="H171" s="99" t="s">
        <v>952</v>
      </c>
      <c r="I171" s="101" t="s">
        <v>875</v>
      </c>
      <c r="J171" s="99" t="s">
        <v>912</v>
      </c>
      <c r="K171" s="99" t="s">
        <v>881</v>
      </c>
      <c r="L171" s="99" t="s">
        <v>1136</v>
      </c>
    </row>
    <row r="172" spans="1:12" x14ac:dyDescent="0.3">
      <c r="A172" s="99" t="s">
        <v>1153</v>
      </c>
      <c r="F172" s="99" t="s">
        <v>1225</v>
      </c>
      <c r="G172" s="107">
        <v>103784.97</v>
      </c>
      <c r="H172" s="99" t="s">
        <v>871</v>
      </c>
      <c r="I172" s="101" t="s">
        <v>875</v>
      </c>
      <c r="J172" s="99" t="s">
        <v>876</v>
      </c>
      <c r="K172" s="99" t="s">
        <v>873</v>
      </c>
      <c r="L172" s="99" t="s">
        <v>1133</v>
      </c>
    </row>
    <row r="173" spans="1:12" x14ac:dyDescent="0.3">
      <c r="A173" s="99" t="s">
        <v>1227</v>
      </c>
      <c r="F173" s="99" t="s">
        <v>1225</v>
      </c>
      <c r="G173" s="107">
        <v>1310</v>
      </c>
      <c r="H173" s="99" t="s">
        <v>871</v>
      </c>
      <c r="I173" s="101" t="s">
        <v>875</v>
      </c>
      <c r="J173" s="99" t="s">
        <v>876</v>
      </c>
      <c r="K173" s="99" t="s">
        <v>873</v>
      </c>
      <c r="L173" s="99" t="s">
        <v>1133</v>
      </c>
    </row>
    <row r="174" spans="1:12" x14ac:dyDescent="0.3">
      <c r="A174" s="99" t="s">
        <v>1155</v>
      </c>
      <c r="F174" s="99" t="s">
        <v>1225</v>
      </c>
      <c r="G174" s="107">
        <v>51608.36</v>
      </c>
      <c r="H174" s="99" t="s">
        <v>871</v>
      </c>
      <c r="I174" s="101" t="s">
        <v>875</v>
      </c>
      <c r="J174" s="99" t="s">
        <v>876</v>
      </c>
      <c r="K174" s="99" t="s">
        <v>877</v>
      </c>
      <c r="L174" s="99" t="s">
        <v>1133</v>
      </c>
    </row>
    <row r="175" spans="1:12" x14ac:dyDescent="0.3">
      <c r="A175" s="99" t="s">
        <v>1149</v>
      </c>
      <c r="F175" s="99" t="s">
        <v>1225</v>
      </c>
      <c r="G175" s="107">
        <v>146.30000000000001</v>
      </c>
      <c r="H175" s="99" t="s">
        <v>871</v>
      </c>
      <c r="I175" s="101" t="s">
        <v>875</v>
      </c>
      <c r="J175" s="99" t="s">
        <v>876</v>
      </c>
      <c r="K175" s="99" t="s">
        <v>881</v>
      </c>
      <c r="L175" s="99" t="s">
        <v>1133</v>
      </c>
    </row>
    <row r="176" spans="1:12" x14ac:dyDescent="0.3">
      <c r="A176" s="99" t="s">
        <v>1228</v>
      </c>
      <c r="F176" s="99" t="s">
        <v>1225</v>
      </c>
      <c r="G176" s="107">
        <v>995.87</v>
      </c>
      <c r="H176" s="99" t="s">
        <v>871</v>
      </c>
      <c r="I176" s="101" t="s">
        <v>875</v>
      </c>
      <c r="J176" s="99" t="s">
        <v>876</v>
      </c>
      <c r="K176" s="99" t="s">
        <v>885</v>
      </c>
      <c r="L176" s="99" t="s">
        <v>1133</v>
      </c>
    </row>
    <row r="177" spans="1:12" x14ac:dyDescent="0.3">
      <c r="A177" s="99" t="s">
        <v>1267</v>
      </c>
      <c r="F177" s="99" t="s">
        <v>1225</v>
      </c>
      <c r="G177" s="107">
        <v>106.1</v>
      </c>
      <c r="H177" s="99" t="s">
        <v>871</v>
      </c>
      <c r="I177" s="101" t="s">
        <v>875</v>
      </c>
      <c r="J177" s="99" t="s">
        <v>876</v>
      </c>
      <c r="K177" s="99" t="s">
        <v>885</v>
      </c>
      <c r="L177" s="99" t="s">
        <v>1133</v>
      </c>
    </row>
    <row r="178" spans="1:12" x14ac:dyDescent="0.3">
      <c r="A178" s="99" t="s">
        <v>1156</v>
      </c>
      <c r="F178" s="99" t="s">
        <v>1225</v>
      </c>
      <c r="G178" s="107">
        <v>18483.759999999998</v>
      </c>
      <c r="H178" s="99" t="s">
        <v>871</v>
      </c>
      <c r="I178" s="101" t="s">
        <v>875</v>
      </c>
      <c r="J178" s="99" t="s">
        <v>876</v>
      </c>
      <c r="K178" s="99" t="s">
        <v>885</v>
      </c>
      <c r="L178" s="99" t="s">
        <v>1133</v>
      </c>
    </row>
    <row r="179" spans="1:12" x14ac:dyDescent="0.3">
      <c r="A179" s="99" t="s">
        <v>1268</v>
      </c>
      <c r="F179" s="99" t="s">
        <v>1225</v>
      </c>
      <c r="G179" s="107">
        <v>205.02</v>
      </c>
      <c r="H179" s="99" t="s">
        <v>871</v>
      </c>
      <c r="I179" s="101" t="s">
        <v>875</v>
      </c>
      <c r="J179" s="99" t="s">
        <v>876</v>
      </c>
      <c r="K179" s="99" t="s">
        <v>893</v>
      </c>
      <c r="L179" s="99" t="s">
        <v>1133</v>
      </c>
    </row>
    <row r="180" spans="1:12" x14ac:dyDescent="0.3">
      <c r="A180" s="99" t="s">
        <v>1157</v>
      </c>
      <c r="F180" s="99" t="s">
        <v>1225</v>
      </c>
      <c r="G180" s="107">
        <v>125</v>
      </c>
      <c r="H180" s="99" t="s">
        <v>871</v>
      </c>
      <c r="I180" s="101" t="s">
        <v>875</v>
      </c>
      <c r="J180" s="99" t="s">
        <v>884</v>
      </c>
      <c r="K180" s="99" t="s">
        <v>873</v>
      </c>
      <c r="L180" s="99" t="s">
        <v>1133</v>
      </c>
    </row>
    <row r="181" spans="1:12" x14ac:dyDescent="0.3">
      <c r="A181" s="99" t="s">
        <v>1269</v>
      </c>
      <c r="F181" s="99" t="s">
        <v>1225</v>
      </c>
      <c r="G181" s="107">
        <v>52890.080000000002</v>
      </c>
      <c r="H181" s="99" t="s">
        <v>871</v>
      </c>
      <c r="I181" s="101" t="s">
        <v>875</v>
      </c>
      <c r="J181" s="99" t="s">
        <v>884</v>
      </c>
      <c r="K181" s="99" t="s">
        <v>873</v>
      </c>
      <c r="L181" s="99" t="s">
        <v>1133</v>
      </c>
    </row>
    <row r="182" spans="1:12" x14ac:dyDescent="0.3">
      <c r="A182" s="99" t="s">
        <v>1166</v>
      </c>
      <c r="F182" s="99" t="s">
        <v>1225</v>
      </c>
      <c r="G182" s="107">
        <v>5930.11</v>
      </c>
      <c r="H182" s="99" t="s">
        <v>871</v>
      </c>
      <c r="I182" s="101" t="s">
        <v>875</v>
      </c>
      <c r="J182" s="99" t="s">
        <v>884</v>
      </c>
      <c r="K182" s="99" t="s">
        <v>873</v>
      </c>
      <c r="L182" s="99" t="s">
        <v>1133</v>
      </c>
    </row>
    <row r="183" spans="1:12" x14ac:dyDescent="0.3">
      <c r="A183" s="99" t="s">
        <v>1158</v>
      </c>
      <c r="F183" s="99" t="s">
        <v>1225</v>
      </c>
      <c r="G183" s="107">
        <v>18866.18</v>
      </c>
      <c r="H183" s="99" t="s">
        <v>871</v>
      </c>
      <c r="I183" s="101" t="s">
        <v>875</v>
      </c>
      <c r="J183" s="99" t="s">
        <v>884</v>
      </c>
      <c r="K183" s="99" t="s">
        <v>877</v>
      </c>
      <c r="L183" s="99" t="s">
        <v>1133</v>
      </c>
    </row>
    <row r="184" spans="1:12" x14ac:dyDescent="0.3">
      <c r="A184" s="99" t="s">
        <v>1229</v>
      </c>
      <c r="F184" s="99" t="s">
        <v>1225</v>
      </c>
      <c r="G184" s="107">
        <v>894.44</v>
      </c>
      <c r="H184" s="99" t="s">
        <v>871</v>
      </c>
      <c r="I184" s="101" t="s">
        <v>875</v>
      </c>
      <c r="J184" s="99" t="s">
        <v>884</v>
      </c>
      <c r="K184" s="99" t="s">
        <v>881</v>
      </c>
      <c r="L184" s="99" t="s">
        <v>1133</v>
      </c>
    </row>
    <row r="185" spans="1:12" x14ac:dyDescent="0.3">
      <c r="A185" s="99" t="s">
        <v>1230</v>
      </c>
      <c r="F185" s="99" t="s">
        <v>1225</v>
      </c>
      <c r="G185" s="107">
        <v>11539.56</v>
      </c>
      <c r="H185" s="99" t="s">
        <v>871</v>
      </c>
      <c r="I185" s="101" t="s">
        <v>875</v>
      </c>
      <c r="J185" s="99" t="s">
        <v>884</v>
      </c>
      <c r="K185" s="99" t="s">
        <v>881</v>
      </c>
      <c r="L185" s="99" t="s">
        <v>1133</v>
      </c>
    </row>
    <row r="186" spans="1:12" x14ac:dyDescent="0.3">
      <c r="A186" s="99" t="s">
        <v>1231</v>
      </c>
      <c r="F186" s="99" t="s">
        <v>1225</v>
      </c>
      <c r="G186" s="107">
        <v>20.100000000000001</v>
      </c>
      <c r="H186" s="99" t="s">
        <v>871</v>
      </c>
      <c r="I186" s="101" t="s">
        <v>875</v>
      </c>
      <c r="J186" s="99" t="s">
        <v>884</v>
      </c>
      <c r="K186" s="99" t="s">
        <v>881</v>
      </c>
      <c r="L186" s="99" t="s">
        <v>1133</v>
      </c>
    </row>
    <row r="187" spans="1:12" x14ac:dyDescent="0.3">
      <c r="A187" s="99" t="s">
        <v>1139</v>
      </c>
      <c r="F187" s="99" t="s">
        <v>1225</v>
      </c>
      <c r="G187" s="107">
        <v>548.1</v>
      </c>
      <c r="H187" s="99" t="s">
        <v>871</v>
      </c>
      <c r="I187" s="101" t="s">
        <v>875</v>
      </c>
      <c r="J187" s="99" t="s">
        <v>884</v>
      </c>
      <c r="K187" s="99" t="s">
        <v>885</v>
      </c>
      <c r="L187" s="99" t="s">
        <v>1133</v>
      </c>
    </row>
    <row r="188" spans="1:12" x14ac:dyDescent="0.3">
      <c r="A188" s="99" t="s">
        <v>1270</v>
      </c>
      <c r="F188" s="99" t="s">
        <v>1225</v>
      </c>
      <c r="G188" s="107">
        <v>19.55</v>
      </c>
      <c r="H188" s="99" t="s">
        <v>871</v>
      </c>
      <c r="I188" s="101" t="s">
        <v>875</v>
      </c>
      <c r="J188" s="99" t="s">
        <v>884</v>
      </c>
      <c r="K188" s="99" t="s">
        <v>885</v>
      </c>
      <c r="L188" s="99" t="s">
        <v>1133</v>
      </c>
    </row>
    <row r="189" spans="1:12" x14ac:dyDescent="0.3">
      <c r="A189" s="99" t="s">
        <v>1141</v>
      </c>
      <c r="F189" s="99" t="s">
        <v>1225</v>
      </c>
      <c r="G189" s="107">
        <v>97.21</v>
      </c>
      <c r="H189" s="99" t="s">
        <v>871</v>
      </c>
      <c r="I189" s="101" t="s">
        <v>875</v>
      </c>
      <c r="J189" s="99" t="s">
        <v>884</v>
      </c>
      <c r="K189" s="99" t="s">
        <v>885</v>
      </c>
      <c r="L189" s="99" t="s">
        <v>1133</v>
      </c>
    </row>
    <row r="190" spans="1:12" x14ac:dyDescent="0.3">
      <c r="A190" s="99" t="s">
        <v>1159</v>
      </c>
      <c r="F190" s="99" t="s">
        <v>1225</v>
      </c>
      <c r="G190" s="107">
        <v>50</v>
      </c>
      <c r="H190" s="99" t="s">
        <v>871</v>
      </c>
      <c r="I190" s="101" t="s">
        <v>875</v>
      </c>
      <c r="J190" s="99" t="s">
        <v>884</v>
      </c>
      <c r="K190" s="99" t="s">
        <v>885</v>
      </c>
      <c r="L190" s="99" t="s">
        <v>1133</v>
      </c>
    </row>
    <row r="191" spans="1:12" x14ac:dyDescent="0.3">
      <c r="A191" s="99" t="s">
        <v>1271</v>
      </c>
      <c r="F191" s="99" t="s">
        <v>1225</v>
      </c>
      <c r="G191" s="107">
        <v>62</v>
      </c>
      <c r="H191" s="99" t="s">
        <v>871</v>
      </c>
      <c r="I191" s="101" t="s">
        <v>875</v>
      </c>
      <c r="J191" s="99" t="s">
        <v>884</v>
      </c>
      <c r="K191" s="99" t="s">
        <v>893</v>
      </c>
      <c r="L191" s="99" t="s">
        <v>1133</v>
      </c>
    </row>
    <row r="192" spans="1:12" x14ac:dyDescent="0.3">
      <c r="A192" s="99" t="s">
        <v>1272</v>
      </c>
      <c r="F192" s="99" t="s">
        <v>1225</v>
      </c>
      <c r="G192" s="107">
        <v>4096.1000000000004</v>
      </c>
      <c r="H192" s="99" t="s">
        <v>871</v>
      </c>
      <c r="I192" s="101" t="s">
        <v>875</v>
      </c>
      <c r="J192" s="99" t="s">
        <v>888</v>
      </c>
      <c r="K192" s="99" t="s">
        <v>873</v>
      </c>
      <c r="L192" s="99" t="s">
        <v>1133</v>
      </c>
    </row>
    <row r="193" spans="1:12" x14ac:dyDescent="0.3">
      <c r="A193" s="99" t="s">
        <v>1165</v>
      </c>
      <c r="F193" s="99" t="s">
        <v>1225</v>
      </c>
      <c r="G193" s="107">
        <v>1039.5999999999999</v>
      </c>
      <c r="H193" s="99" t="s">
        <v>871</v>
      </c>
      <c r="I193" s="101" t="s">
        <v>875</v>
      </c>
      <c r="J193" s="99" t="s">
        <v>888</v>
      </c>
      <c r="K193" s="99" t="s">
        <v>877</v>
      </c>
      <c r="L193" s="99" t="s">
        <v>1133</v>
      </c>
    </row>
    <row r="194" spans="1:12" x14ac:dyDescent="0.3">
      <c r="A194" s="99" t="s">
        <v>1273</v>
      </c>
      <c r="F194" s="99" t="s">
        <v>1225</v>
      </c>
      <c r="G194" s="107">
        <v>16.5</v>
      </c>
      <c r="H194" s="99" t="s">
        <v>871</v>
      </c>
      <c r="I194" s="101" t="s">
        <v>875</v>
      </c>
      <c r="J194" s="99" t="s">
        <v>888</v>
      </c>
      <c r="K194" s="99" t="s">
        <v>881</v>
      </c>
      <c r="L194" s="99" t="s">
        <v>1133</v>
      </c>
    </row>
    <row r="195" spans="1:12" x14ac:dyDescent="0.3">
      <c r="A195" s="99" t="s">
        <v>1274</v>
      </c>
      <c r="F195" s="99" t="s">
        <v>1225</v>
      </c>
      <c r="G195" s="107">
        <v>261.02999999999997</v>
      </c>
      <c r="H195" s="99" t="s">
        <v>871</v>
      </c>
      <c r="I195" s="101" t="s">
        <v>875</v>
      </c>
      <c r="J195" s="99" t="s">
        <v>888</v>
      </c>
      <c r="K195" s="99" t="s">
        <v>885</v>
      </c>
      <c r="L195" s="99" t="s">
        <v>1133</v>
      </c>
    </row>
    <row r="196" spans="1:12" x14ac:dyDescent="0.3">
      <c r="A196" s="99" t="s">
        <v>1275</v>
      </c>
      <c r="F196" s="99" t="s">
        <v>1225</v>
      </c>
      <c r="G196" s="107">
        <v>31.34</v>
      </c>
      <c r="H196" s="99" t="s">
        <v>871</v>
      </c>
      <c r="I196" s="101" t="s">
        <v>875</v>
      </c>
      <c r="J196" s="99" t="s">
        <v>888</v>
      </c>
      <c r="K196" s="99" t="s">
        <v>885</v>
      </c>
      <c r="L196" s="99" t="s">
        <v>1133</v>
      </c>
    </row>
    <row r="197" spans="1:12" x14ac:dyDescent="0.3">
      <c r="A197" s="99" t="s">
        <v>1201</v>
      </c>
      <c r="F197" s="99" t="s">
        <v>1225</v>
      </c>
      <c r="G197" s="107">
        <v>1206.6500000000001</v>
      </c>
      <c r="H197" s="99" t="s">
        <v>871</v>
      </c>
      <c r="I197" s="101" t="s">
        <v>875</v>
      </c>
      <c r="J197" s="99" t="s">
        <v>888</v>
      </c>
      <c r="K197" s="99" t="s">
        <v>885</v>
      </c>
      <c r="L197" s="99" t="s">
        <v>1133</v>
      </c>
    </row>
    <row r="198" spans="1:12" x14ac:dyDescent="0.3">
      <c r="A198" s="99" t="s">
        <v>1276</v>
      </c>
      <c r="F198" s="99" t="s">
        <v>1225</v>
      </c>
      <c r="G198" s="107">
        <v>16.5</v>
      </c>
      <c r="H198" s="99" t="s">
        <v>871</v>
      </c>
      <c r="I198" s="101" t="s">
        <v>875</v>
      </c>
      <c r="J198" s="99" t="s">
        <v>900</v>
      </c>
      <c r="K198" s="99" t="s">
        <v>881</v>
      </c>
      <c r="L198" s="99" t="s">
        <v>1133</v>
      </c>
    </row>
    <row r="199" spans="1:12" x14ac:dyDescent="0.3">
      <c r="A199" s="99" t="s">
        <v>1232</v>
      </c>
      <c r="F199" s="99" t="s">
        <v>1225</v>
      </c>
      <c r="G199" s="107">
        <v>3650</v>
      </c>
      <c r="H199" s="99" t="s">
        <v>871</v>
      </c>
      <c r="I199" s="101" t="s">
        <v>875</v>
      </c>
      <c r="J199" s="99" t="s">
        <v>900</v>
      </c>
      <c r="K199" s="99" t="s">
        <v>881</v>
      </c>
      <c r="L199" s="99" t="s">
        <v>1133</v>
      </c>
    </row>
    <row r="200" spans="1:12" x14ac:dyDescent="0.3">
      <c r="A200" s="99" t="s">
        <v>1233</v>
      </c>
      <c r="F200" s="99" t="s">
        <v>1225</v>
      </c>
      <c r="G200" s="107">
        <v>5277.5</v>
      </c>
      <c r="H200" s="99" t="s">
        <v>871</v>
      </c>
      <c r="I200" s="101" t="s">
        <v>875</v>
      </c>
      <c r="J200" s="99" t="s">
        <v>900</v>
      </c>
      <c r="K200" s="99" t="s">
        <v>881</v>
      </c>
      <c r="L200" s="99" t="s">
        <v>1133</v>
      </c>
    </row>
    <row r="201" spans="1:12" x14ac:dyDescent="0.3">
      <c r="A201" s="99" t="s">
        <v>1142</v>
      </c>
      <c r="F201" s="99" t="s">
        <v>1225</v>
      </c>
      <c r="G201" s="107">
        <v>90.01</v>
      </c>
      <c r="H201" s="99" t="s">
        <v>871</v>
      </c>
      <c r="I201" s="101" t="s">
        <v>875</v>
      </c>
      <c r="J201" s="99" t="s">
        <v>900</v>
      </c>
      <c r="K201" s="99" t="s">
        <v>885</v>
      </c>
      <c r="L201" s="99" t="s">
        <v>1133</v>
      </c>
    </row>
    <row r="202" spans="1:12" x14ac:dyDescent="0.3">
      <c r="A202" s="99" t="s">
        <v>1277</v>
      </c>
      <c r="F202" s="99" t="s">
        <v>1225</v>
      </c>
      <c r="G202" s="107">
        <v>58.47</v>
      </c>
      <c r="H202" s="99" t="s">
        <v>871</v>
      </c>
      <c r="I202" s="101" t="s">
        <v>875</v>
      </c>
      <c r="J202" s="99" t="s">
        <v>900</v>
      </c>
      <c r="K202" s="99" t="s">
        <v>885</v>
      </c>
      <c r="L202" s="99" t="s">
        <v>1133</v>
      </c>
    </row>
    <row r="203" spans="1:12" x14ac:dyDescent="0.3">
      <c r="A203" s="99" t="s">
        <v>1234</v>
      </c>
      <c r="F203" s="99" t="s">
        <v>1225</v>
      </c>
      <c r="G203" s="107">
        <v>1571.68</v>
      </c>
      <c r="H203" s="99" t="s">
        <v>871</v>
      </c>
      <c r="I203" s="101" t="s">
        <v>875</v>
      </c>
      <c r="J203" s="99" t="s">
        <v>900</v>
      </c>
      <c r="K203" s="99" t="s">
        <v>893</v>
      </c>
      <c r="L203" s="99" t="s">
        <v>1133</v>
      </c>
    </row>
    <row r="204" spans="1:12" x14ac:dyDescent="0.3">
      <c r="A204" s="99" t="s">
        <v>1235</v>
      </c>
      <c r="F204" s="99" t="s">
        <v>1225</v>
      </c>
      <c r="G204" s="107">
        <v>75727.63</v>
      </c>
      <c r="H204" s="99" t="s">
        <v>871</v>
      </c>
      <c r="I204" s="101" t="s">
        <v>875</v>
      </c>
      <c r="J204" s="99" t="s">
        <v>904</v>
      </c>
      <c r="K204" s="99" t="s">
        <v>873</v>
      </c>
      <c r="L204" s="99" t="s">
        <v>1133</v>
      </c>
    </row>
    <row r="205" spans="1:12" x14ac:dyDescent="0.3">
      <c r="A205" s="99" t="s">
        <v>1278</v>
      </c>
      <c r="F205" s="99" t="s">
        <v>1225</v>
      </c>
      <c r="G205" s="107">
        <v>44491.02</v>
      </c>
      <c r="H205" s="99" t="s">
        <v>871</v>
      </c>
      <c r="I205" s="101" t="s">
        <v>875</v>
      </c>
      <c r="J205" s="99" t="s">
        <v>904</v>
      </c>
      <c r="K205" s="99" t="s">
        <v>873</v>
      </c>
      <c r="L205" s="99" t="s">
        <v>1133</v>
      </c>
    </row>
    <row r="206" spans="1:12" x14ac:dyDescent="0.3">
      <c r="A206" s="99" t="s">
        <v>1236</v>
      </c>
      <c r="F206" s="99" t="s">
        <v>1225</v>
      </c>
      <c r="G206" s="107">
        <v>36825.99</v>
      </c>
      <c r="H206" s="99" t="s">
        <v>871</v>
      </c>
      <c r="I206" s="101" t="s">
        <v>875</v>
      </c>
      <c r="J206" s="99" t="s">
        <v>904</v>
      </c>
      <c r="K206" s="99" t="s">
        <v>877</v>
      </c>
      <c r="L206" s="99" t="s">
        <v>1133</v>
      </c>
    </row>
    <row r="207" spans="1:12" x14ac:dyDescent="0.3">
      <c r="A207" s="99" t="s">
        <v>1237</v>
      </c>
      <c r="F207" s="99" t="s">
        <v>1225</v>
      </c>
      <c r="G207" s="107">
        <v>2627.28</v>
      </c>
      <c r="H207" s="99" t="s">
        <v>871</v>
      </c>
      <c r="I207" s="101" t="s">
        <v>875</v>
      </c>
      <c r="J207" s="99" t="s">
        <v>904</v>
      </c>
      <c r="K207" s="99" t="s">
        <v>881</v>
      </c>
      <c r="L207" s="99" t="s">
        <v>1133</v>
      </c>
    </row>
    <row r="208" spans="1:12" x14ac:dyDescent="0.3">
      <c r="A208" s="99" t="s">
        <v>1279</v>
      </c>
      <c r="F208" s="99" t="s">
        <v>1225</v>
      </c>
      <c r="G208" s="107">
        <v>50</v>
      </c>
      <c r="H208" s="99" t="s">
        <v>871</v>
      </c>
      <c r="I208" s="101" t="s">
        <v>875</v>
      </c>
      <c r="J208" s="99" t="s">
        <v>904</v>
      </c>
      <c r="K208" s="99" t="s">
        <v>881</v>
      </c>
      <c r="L208" s="99" t="s">
        <v>1133</v>
      </c>
    </row>
    <row r="209" spans="1:12" x14ac:dyDescent="0.3">
      <c r="A209" s="99" t="s">
        <v>1238</v>
      </c>
      <c r="F209" s="99" t="s">
        <v>1225</v>
      </c>
      <c r="G209" s="107">
        <v>1302.02</v>
      </c>
      <c r="H209" s="99" t="s">
        <v>871</v>
      </c>
      <c r="I209" s="101" t="s">
        <v>875</v>
      </c>
      <c r="J209" s="99" t="s">
        <v>904</v>
      </c>
      <c r="K209" s="99" t="s">
        <v>885</v>
      </c>
      <c r="L209" s="99" t="s">
        <v>1133</v>
      </c>
    </row>
    <row r="210" spans="1:12" x14ac:dyDescent="0.3">
      <c r="A210" s="99" t="s">
        <v>1143</v>
      </c>
      <c r="F210" s="99" t="s">
        <v>1225</v>
      </c>
      <c r="G210" s="107">
        <v>225.31</v>
      </c>
      <c r="H210" s="99" t="s">
        <v>871</v>
      </c>
      <c r="I210" s="101" t="s">
        <v>875</v>
      </c>
      <c r="J210" s="99" t="s">
        <v>904</v>
      </c>
      <c r="K210" s="99" t="s">
        <v>885</v>
      </c>
      <c r="L210" s="99" t="s">
        <v>1133</v>
      </c>
    </row>
    <row r="211" spans="1:12" x14ac:dyDescent="0.3">
      <c r="A211" s="99" t="s">
        <v>1280</v>
      </c>
      <c r="F211" s="99" t="s">
        <v>1225</v>
      </c>
      <c r="G211" s="107">
        <v>287.97000000000003</v>
      </c>
      <c r="H211" s="99" t="s">
        <v>871</v>
      </c>
      <c r="I211" s="101" t="s">
        <v>875</v>
      </c>
      <c r="J211" s="99" t="s">
        <v>904</v>
      </c>
      <c r="K211" s="99" t="s">
        <v>885</v>
      </c>
      <c r="L211" s="99" t="s">
        <v>1133</v>
      </c>
    </row>
    <row r="212" spans="1:12" x14ac:dyDescent="0.3">
      <c r="A212" s="99" t="s">
        <v>1239</v>
      </c>
      <c r="F212" s="99" t="s">
        <v>1225</v>
      </c>
      <c r="G212" s="107">
        <v>5740.94</v>
      </c>
      <c r="H212" s="99" t="s">
        <v>871</v>
      </c>
      <c r="I212" s="101" t="s">
        <v>875</v>
      </c>
      <c r="J212" s="99" t="s">
        <v>904</v>
      </c>
      <c r="K212" s="99" t="s">
        <v>893</v>
      </c>
      <c r="L212" s="99" t="s">
        <v>1133</v>
      </c>
    </row>
    <row r="213" spans="1:12" x14ac:dyDescent="0.3">
      <c r="A213" s="99" t="s">
        <v>1281</v>
      </c>
      <c r="F213" s="99" t="s">
        <v>1225</v>
      </c>
      <c r="G213" s="107">
        <v>54873.62</v>
      </c>
      <c r="H213" s="99" t="s">
        <v>871</v>
      </c>
      <c r="I213" s="101" t="s">
        <v>875</v>
      </c>
      <c r="J213" s="99" t="s">
        <v>908</v>
      </c>
      <c r="K213" s="99" t="s">
        <v>873</v>
      </c>
      <c r="L213" s="99" t="s">
        <v>1133</v>
      </c>
    </row>
    <row r="214" spans="1:12" x14ac:dyDescent="0.3">
      <c r="A214" s="99" t="s">
        <v>1240</v>
      </c>
      <c r="F214" s="99" t="s">
        <v>1225</v>
      </c>
      <c r="G214" s="107">
        <v>15253.06</v>
      </c>
      <c r="H214" s="99" t="s">
        <v>871</v>
      </c>
      <c r="I214" s="101" t="s">
        <v>875</v>
      </c>
      <c r="J214" s="99" t="s">
        <v>908</v>
      </c>
      <c r="K214" s="99" t="s">
        <v>877</v>
      </c>
      <c r="L214" s="99" t="s">
        <v>1133</v>
      </c>
    </row>
    <row r="215" spans="1:12" x14ac:dyDescent="0.3">
      <c r="A215" s="99" t="s">
        <v>1241</v>
      </c>
      <c r="F215" s="99" t="s">
        <v>1225</v>
      </c>
      <c r="G215" s="107">
        <v>29564.959999999999</v>
      </c>
      <c r="H215" s="99" t="s">
        <v>871</v>
      </c>
      <c r="I215" s="101" t="s">
        <v>875</v>
      </c>
      <c r="J215" s="99" t="s">
        <v>908</v>
      </c>
      <c r="K215" s="99" t="s">
        <v>881</v>
      </c>
      <c r="L215" s="99" t="s">
        <v>1133</v>
      </c>
    </row>
    <row r="216" spans="1:12" x14ac:dyDescent="0.3">
      <c r="A216" s="99" t="s">
        <v>1282</v>
      </c>
      <c r="F216" s="99" t="s">
        <v>1225</v>
      </c>
      <c r="G216" s="107">
        <v>60.3</v>
      </c>
      <c r="H216" s="99" t="s">
        <v>871</v>
      </c>
      <c r="I216" s="101" t="s">
        <v>875</v>
      </c>
      <c r="J216" s="99" t="s">
        <v>908</v>
      </c>
      <c r="K216" s="99" t="s">
        <v>881</v>
      </c>
      <c r="L216" s="99" t="s">
        <v>1133</v>
      </c>
    </row>
    <row r="217" spans="1:12" x14ac:dyDescent="0.3">
      <c r="A217" s="99" t="s">
        <v>1283</v>
      </c>
      <c r="F217" s="99" t="s">
        <v>1225</v>
      </c>
      <c r="G217" s="107">
        <v>223.66</v>
      </c>
      <c r="H217" s="99" t="s">
        <v>871</v>
      </c>
      <c r="I217" s="101" t="s">
        <v>875</v>
      </c>
      <c r="J217" s="99" t="s">
        <v>908</v>
      </c>
      <c r="K217" s="99" t="s">
        <v>885</v>
      </c>
      <c r="L217" s="99" t="s">
        <v>1133</v>
      </c>
    </row>
    <row r="218" spans="1:12" x14ac:dyDescent="0.3">
      <c r="A218" s="99" t="s">
        <v>1284</v>
      </c>
      <c r="F218" s="99" t="s">
        <v>1225</v>
      </c>
      <c r="G218" s="107">
        <v>98.31</v>
      </c>
      <c r="H218" s="99" t="s">
        <v>871</v>
      </c>
      <c r="I218" s="101" t="s">
        <v>875</v>
      </c>
      <c r="J218" s="99" t="s">
        <v>908</v>
      </c>
      <c r="K218" s="99" t="s">
        <v>893</v>
      </c>
      <c r="L218" s="99" t="s">
        <v>1133</v>
      </c>
    </row>
    <row r="219" spans="1:12" x14ac:dyDescent="0.3">
      <c r="A219" s="99" t="s">
        <v>1188</v>
      </c>
      <c r="F219" s="99" t="s">
        <v>1225</v>
      </c>
      <c r="G219" s="107">
        <v>1722.89</v>
      </c>
      <c r="H219" s="99" t="s">
        <v>871</v>
      </c>
      <c r="I219" s="101" t="s">
        <v>875</v>
      </c>
      <c r="J219" s="99" t="s">
        <v>908</v>
      </c>
      <c r="K219" s="99" t="s">
        <v>893</v>
      </c>
      <c r="L219" s="99" t="s">
        <v>1133</v>
      </c>
    </row>
    <row r="220" spans="1:12" x14ac:dyDescent="0.3">
      <c r="A220" s="99" t="s">
        <v>1285</v>
      </c>
      <c r="F220" s="99" t="s">
        <v>1225</v>
      </c>
      <c r="G220" s="107">
        <v>12095</v>
      </c>
      <c r="H220" s="99" t="s">
        <v>871</v>
      </c>
      <c r="I220" s="101" t="s">
        <v>875</v>
      </c>
      <c r="J220" s="99" t="s">
        <v>908</v>
      </c>
      <c r="K220" s="99" t="s">
        <v>893</v>
      </c>
      <c r="L220" s="99" t="s">
        <v>1133</v>
      </c>
    </row>
    <row r="221" spans="1:12" x14ac:dyDescent="0.3">
      <c r="A221" s="99" t="s">
        <v>1286</v>
      </c>
      <c r="F221" s="99" t="s">
        <v>1225</v>
      </c>
      <c r="G221" s="107">
        <v>4758.26</v>
      </c>
      <c r="H221" s="99" t="s">
        <v>871</v>
      </c>
      <c r="I221" s="101" t="s">
        <v>875</v>
      </c>
      <c r="J221" s="99" t="s">
        <v>908</v>
      </c>
      <c r="K221" s="99" t="s">
        <v>893</v>
      </c>
      <c r="L221" s="99" t="s">
        <v>1133</v>
      </c>
    </row>
    <row r="222" spans="1:12" x14ac:dyDescent="0.3">
      <c r="A222" s="99" t="s">
        <v>1287</v>
      </c>
      <c r="F222" s="99" t="s">
        <v>1225</v>
      </c>
      <c r="G222" s="107">
        <v>1538.05</v>
      </c>
      <c r="H222" s="99" t="s">
        <v>871</v>
      </c>
      <c r="I222" s="101" t="s">
        <v>875</v>
      </c>
      <c r="J222" s="99" t="s">
        <v>908</v>
      </c>
      <c r="K222" s="99" t="s">
        <v>893</v>
      </c>
      <c r="L222" s="99" t="s">
        <v>1133</v>
      </c>
    </row>
    <row r="223" spans="1:12" x14ac:dyDescent="0.3">
      <c r="A223" s="99" t="s">
        <v>1161</v>
      </c>
      <c r="F223" s="99" t="s">
        <v>1225</v>
      </c>
      <c r="G223" s="107">
        <v>0</v>
      </c>
      <c r="H223" s="99" t="s">
        <v>871</v>
      </c>
      <c r="I223" s="101" t="s">
        <v>875</v>
      </c>
      <c r="J223" s="99" t="s">
        <v>908</v>
      </c>
      <c r="K223" s="99" t="s">
        <v>913</v>
      </c>
      <c r="L223" s="99" t="s">
        <v>1133</v>
      </c>
    </row>
    <row r="224" spans="1:12" x14ac:dyDescent="0.3">
      <c r="A224" s="99" t="s">
        <v>1288</v>
      </c>
      <c r="F224" s="99" t="s">
        <v>1225</v>
      </c>
      <c r="G224" s="107">
        <v>126.59</v>
      </c>
      <c r="H224" s="99" t="s">
        <v>871</v>
      </c>
      <c r="I224" s="101" t="s">
        <v>875</v>
      </c>
      <c r="J224" s="99" t="s">
        <v>912</v>
      </c>
      <c r="K224" s="99" t="s">
        <v>877</v>
      </c>
      <c r="L224" s="99" t="s">
        <v>1133</v>
      </c>
    </row>
    <row r="225" spans="1:12" x14ac:dyDescent="0.3">
      <c r="A225" s="99" t="s">
        <v>1242</v>
      </c>
      <c r="F225" s="99" t="s">
        <v>1225</v>
      </c>
      <c r="G225" s="107">
        <v>24983.22</v>
      </c>
      <c r="H225" s="99" t="s">
        <v>871</v>
      </c>
      <c r="I225" s="101" t="s">
        <v>875</v>
      </c>
      <c r="J225" s="99" t="s">
        <v>912</v>
      </c>
      <c r="K225" s="99" t="s">
        <v>881</v>
      </c>
      <c r="L225" s="99" t="s">
        <v>1133</v>
      </c>
    </row>
    <row r="226" spans="1:12" x14ac:dyDescent="0.3">
      <c r="A226" s="99" t="s">
        <v>1243</v>
      </c>
      <c r="F226" s="99" t="s">
        <v>1225</v>
      </c>
      <c r="G226" s="107">
        <v>1593.33</v>
      </c>
      <c r="H226" s="99" t="s">
        <v>871</v>
      </c>
      <c r="I226" s="101" t="s">
        <v>875</v>
      </c>
      <c r="J226" s="99" t="s">
        <v>912</v>
      </c>
      <c r="K226" s="99" t="s">
        <v>881</v>
      </c>
      <c r="L226" s="99" t="s">
        <v>1133</v>
      </c>
    </row>
    <row r="227" spans="1:12" x14ac:dyDescent="0.3">
      <c r="A227" s="99" t="s">
        <v>1289</v>
      </c>
      <c r="F227" s="99" t="s">
        <v>1225</v>
      </c>
      <c r="G227" s="107">
        <v>2419.5500000000002</v>
      </c>
      <c r="H227" s="99" t="s">
        <v>871</v>
      </c>
      <c r="I227" s="101" t="s">
        <v>875</v>
      </c>
      <c r="J227" s="99" t="s">
        <v>912</v>
      </c>
      <c r="K227" s="99" t="s">
        <v>881</v>
      </c>
      <c r="L227" s="99" t="s">
        <v>1133</v>
      </c>
    </row>
    <row r="228" spans="1:12" x14ac:dyDescent="0.3">
      <c r="A228" s="99" t="s">
        <v>1290</v>
      </c>
      <c r="F228" s="99" t="s">
        <v>1225</v>
      </c>
      <c r="G228" s="107">
        <v>2582.79</v>
      </c>
      <c r="H228" s="99" t="s">
        <v>871</v>
      </c>
      <c r="I228" s="101" t="s">
        <v>875</v>
      </c>
      <c r="J228" s="99" t="s">
        <v>912</v>
      </c>
      <c r="K228" s="99" t="s">
        <v>881</v>
      </c>
      <c r="L228" s="99" t="s">
        <v>1133</v>
      </c>
    </row>
    <row r="229" spans="1:12" x14ac:dyDescent="0.3">
      <c r="A229" s="99" t="s">
        <v>1244</v>
      </c>
      <c r="F229" s="99" t="s">
        <v>1225</v>
      </c>
      <c r="G229" s="107">
        <v>1119</v>
      </c>
      <c r="H229" s="99" t="s">
        <v>871</v>
      </c>
      <c r="I229" s="101" t="s">
        <v>875</v>
      </c>
      <c r="J229" s="99" t="s">
        <v>912</v>
      </c>
      <c r="K229" s="99" t="s">
        <v>881</v>
      </c>
      <c r="L229" s="99" t="s">
        <v>1133</v>
      </c>
    </row>
    <row r="230" spans="1:12" x14ac:dyDescent="0.3">
      <c r="A230" s="99" t="s">
        <v>1245</v>
      </c>
      <c r="F230" s="99" t="s">
        <v>1225</v>
      </c>
      <c r="G230" s="107">
        <v>32551.7</v>
      </c>
      <c r="H230" s="99" t="s">
        <v>871</v>
      </c>
      <c r="I230" s="101" t="s">
        <v>875</v>
      </c>
      <c r="J230" s="99" t="s">
        <v>912</v>
      </c>
      <c r="K230" s="99" t="s">
        <v>881</v>
      </c>
      <c r="L230" s="99" t="s">
        <v>1133</v>
      </c>
    </row>
    <row r="231" spans="1:12" x14ac:dyDescent="0.3">
      <c r="A231" s="99" t="s">
        <v>1246</v>
      </c>
      <c r="F231" s="99" t="s">
        <v>1225</v>
      </c>
      <c r="G231" s="107">
        <v>499.88</v>
      </c>
      <c r="H231" s="99" t="s">
        <v>871</v>
      </c>
      <c r="I231" s="101" t="s">
        <v>875</v>
      </c>
      <c r="J231" s="99" t="s">
        <v>912</v>
      </c>
      <c r="K231" s="99" t="s">
        <v>881</v>
      </c>
      <c r="L231" s="99" t="s">
        <v>1133</v>
      </c>
    </row>
    <row r="232" spans="1:12" x14ac:dyDescent="0.3">
      <c r="A232" s="99" t="s">
        <v>1247</v>
      </c>
      <c r="F232" s="99" t="s">
        <v>1225</v>
      </c>
      <c r="G232" s="107">
        <v>10592.93</v>
      </c>
      <c r="H232" s="99" t="s">
        <v>871</v>
      </c>
      <c r="I232" s="101" t="s">
        <v>875</v>
      </c>
      <c r="J232" s="99" t="s">
        <v>912</v>
      </c>
      <c r="K232" s="99" t="s">
        <v>881</v>
      </c>
      <c r="L232" s="99" t="s">
        <v>1133</v>
      </c>
    </row>
    <row r="233" spans="1:12" x14ac:dyDescent="0.3">
      <c r="A233" s="99" t="s">
        <v>1248</v>
      </c>
      <c r="F233" s="99" t="s">
        <v>1225</v>
      </c>
      <c r="G233" s="107">
        <v>9404.9599999999991</v>
      </c>
      <c r="H233" s="99" t="s">
        <v>871</v>
      </c>
      <c r="I233" s="101" t="s">
        <v>875</v>
      </c>
      <c r="J233" s="99" t="s">
        <v>912</v>
      </c>
      <c r="K233" s="99" t="s">
        <v>881</v>
      </c>
      <c r="L233" s="99" t="s">
        <v>1133</v>
      </c>
    </row>
    <row r="234" spans="1:12" x14ac:dyDescent="0.3">
      <c r="A234" s="99" t="s">
        <v>1249</v>
      </c>
      <c r="F234" s="99" t="s">
        <v>1225</v>
      </c>
      <c r="G234" s="107">
        <v>7454.26</v>
      </c>
      <c r="H234" s="99" t="s">
        <v>871</v>
      </c>
      <c r="I234" s="101" t="s">
        <v>875</v>
      </c>
      <c r="J234" s="99" t="s">
        <v>912</v>
      </c>
      <c r="K234" s="99" t="s">
        <v>881</v>
      </c>
      <c r="L234" s="99" t="s">
        <v>1133</v>
      </c>
    </row>
    <row r="235" spans="1:12" x14ac:dyDescent="0.3">
      <c r="A235" s="99" t="s">
        <v>1250</v>
      </c>
      <c r="F235" s="99" t="s">
        <v>1225</v>
      </c>
      <c r="G235" s="107">
        <v>15792</v>
      </c>
      <c r="H235" s="99" t="s">
        <v>871</v>
      </c>
      <c r="I235" s="101" t="s">
        <v>875</v>
      </c>
      <c r="J235" s="99" t="s">
        <v>912</v>
      </c>
      <c r="K235" s="99" t="s">
        <v>881</v>
      </c>
      <c r="L235" s="99" t="s">
        <v>1133</v>
      </c>
    </row>
    <row r="236" spans="1:12" x14ac:dyDescent="0.3">
      <c r="A236" s="99" t="s">
        <v>1251</v>
      </c>
      <c r="F236" s="99" t="s">
        <v>1225</v>
      </c>
      <c r="G236" s="107">
        <v>9458.2800000000007</v>
      </c>
      <c r="H236" s="99" t="s">
        <v>871</v>
      </c>
      <c r="I236" s="101" t="s">
        <v>875</v>
      </c>
      <c r="J236" s="99" t="s">
        <v>912</v>
      </c>
      <c r="K236" s="99" t="s">
        <v>881</v>
      </c>
      <c r="L236" s="99" t="s">
        <v>1133</v>
      </c>
    </row>
    <row r="237" spans="1:12" x14ac:dyDescent="0.3">
      <c r="A237" s="99" t="s">
        <v>1252</v>
      </c>
      <c r="F237" s="99" t="s">
        <v>1225</v>
      </c>
      <c r="G237" s="107">
        <v>348.75</v>
      </c>
      <c r="H237" s="99" t="s">
        <v>871</v>
      </c>
      <c r="I237" s="101" t="s">
        <v>875</v>
      </c>
      <c r="J237" s="99" t="s">
        <v>912</v>
      </c>
      <c r="K237" s="99" t="s">
        <v>885</v>
      </c>
      <c r="L237" s="99" t="s">
        <v>1133</v>
      </c>
    </row>
    <row r="238" spans="1:12" x14ac:dyDescent="0.3">
      <c r="A238" s="99" t="s">
        <v>1254</v>
      </c>
      <c r="F238" s="99" t="s">
        <v>1225</v>
      </c>
      <c r="G238" s="107">
        <v>2866.15</v>
      </c>
      <c r="H238" s="99" t="s">
        <v>871</v>
      </c>
      <c r="I238" s="101" t="s">
        <v>875</v>
      </c>
      <c r="J238" s="99" t="s">
        <v>912</v>
      </c>
      <c r="K238" s="99" t="s">
        <v>885</v>
      </c>
      <c r="L238" s="99" t="s">
        <v>1133</v>
      </c>
    </row>
    <row r="239" spans="1:12" x14ac:dyDescent="0.3">
      <c r="A239" s="99" t="s">
        <v>1291</v>
      </c>
      <c r="F239" s="99" t="s">
        <v>1225</v>
      </c>
      <c r="G239" s="107">
        <v>2961.13</v>
      </c>
      <c r="H239" s="99" t="s">
        <v>871</v>
      </c>
      <c r="I239" s="101" t="s">
        <v>875</v>
      </c>
      <c r="J239" s="99" t="s">
        <v>912</v>
      </c>
      <c r="K239" s="99" t="s">
        <v>885</v>
      </c>
      <c r="L239" s="99" t="s">
        <v>1133</v>
      </c>
    </row>
    <row r="240" spans="1:12" x14ac:dyDescent="0.3">
      <c r="A240" s="99" t="s">
        <v>1255</v>
      </c>
      <c r="F240" s="99" t="s">
        <v>1225</v>
      </c>
      <c r="G240" s="107">
        <v>4768.99</v>
      </c>
      <c r="H240" s="99" t="s">
        <v>871</v>
      </c>
      <c r="I240" s="101" t="s">
        <v>875</v>
      </c>
      <c r="J240" s="99" t="s">
        <v>912</v>
      </c>
      <c r="K240" s="99" t="s">
        <v>885</v>
      </c>
      <c r="L240" s="99" t="s">
        <v>1133</v>
      </c>
    </row>
    <row r="241" spans="1:12" x14ac:dyDescent="0.3">
      <c r="A241" s="99" t="s">
        <v>1256</v>
      </c>
      <c r="F241" s="99" t="s">
        <v>1225</v>
      </c>
      <c r="G241" s="107">
        <v>1418.67</v>
      </c>
      <c r="H241" s="99" t="s">
        <v>871</v>
      </c>
      <c r="I241" s="101" t="s">
        <v>875</v>
      </c>
      <c r="J241" s="99" t="s">
        <v>912</v>
      </c>
      <c r="K241" s="99" t="s">
        <v>885</v>
      </c>
      <c r="L241" s="99" t="s">
        <v>1133</v>
      </c>
    </row>
    <row r="242" spans="1:12" x14ac:dyDescent="0.3">
      <c r="A242" s="99" t="s">
        <v>1257</v>
      </c>
      <c r="F242" s="99" t="s">
        <v>1292</v>
      </c>
      <c r="G242" s="107">
        <v>387.97</v>
      </c>
      <c r="H242" s="99" t="s">
        <v>952</v>
      </c>
      <c r="I242" s="101" t="s">
        <v>875</v>
      </c>
      <c r="J242" s="99" t="s">
        <v>912</v>
      </c>
      <c r="K242" s="99" t="s">
        <v>885</v>
      </c>
      <c r="L242" s="99" t="s">
        <v>1133</v>
      </c>
    </row>
    <row r="243" spans="1:12" x14ac:dyDescent="0.3">
      <c r="A243" s="99" t="s">
        <v>1293</v>
      </c>
      <c r="F243" s="99" t="s">
        <v>1225</v>
      </c>
      <c r="G243" s="107">
        <v>619.79</v>
      </c>
      <c r="H243" s="99" t="s">
        <v>871</v>
      </c>
      <c r="I243" s="101" t="s">
        <v>875</v>
      </c>
      <c r="J243" s="99" t="s">
        <v>912</v>
      </c>
      <c r="K243" s="99" t="s">
        <v>893</v>
      </c>
      <c r="L243" s="99" t="s">
        <v>1133</v>
      </c>
    </row>
    <row r="244" spans="1:12" x14ac:dyDescent="0.3">
      <c r="A244" s="99" t="s">
        <v>1258</v>
      </c>
      <c r="F244" s="99" t="s">
        <v>1225</v>
      </c>
      <c r="G244" s="107">
        <v>2110</v>
      </c>
      <c r="H244" s="99" t="s">
        <v>871</v>
      </c>
      <c r="I244" s="101" t="s">
        <v>879</v>
      </c>
      <c r="J244" s="99" t="s">
        <v>876</v>
      </c>
      <c r="K244" s="99" t="s">
        <v>873</v>
      </c>
      <c r="L244" s="99" t="s">
        <v>1133</v>
      </c>
    </row>
    <row r="245" spans="1:12" x14ac:dyDescent="0.3">
      <c r="A245" s="99" t="s">
        <v>1170</v>
      </c>
      <c r="F245" s="99" t="s">
        <v>1225</v>
      </c>
      <c r="G245" s="107">
        <v>805.64</v>
      </c>
      <c r="H245" s="99" t="s">
        <v>871</v>
      </c>
      <c r="I245" s="101" t="s">
        <v>879</v>
      </c>
      <c r="J245" s="99" t="s">
        <v>876</v>
      </c>
      <c r="K245" s="99" t="s">
        <v>873</v>
      </c>
      <c r="L245" s="99" t="s">
        <v>1133</v>
      </c>
    </row>
    <row r="246" spans="1:12" x14ac:dyDescent="0.3">
      <c r="A246" s="99" t="s">
        <v>1259</v>
      </c>
      <c r="F246" s="99" t="s">
        <v>1225</v>
      </c>
      <c r="G246" s="107">
        <v>55834.9</v>
      </c>
      <c r="H246" s="99" t="s">
        <v>871</v>
      </c>
      <c r="I246" s="101" t="s">
        <v>879</v>
      </c>
      <c r="J246" s="99" t="s">
        <v>876</v>
      </c>
      <c r="K246" s="99" t="s">
        <v>873</v>
      </c>
      <c r="L246" s="99" t="s">
        <v>1133</v>
      </c>
    </row>
    <row r="247" spans="1:12" x14ac:dyDescent="0.3">
      <c r="A247" s="99" t="s">
        <v>1171</v>
      </c>
      <c r="F247" s="99" t="s">
        <v>1225</v>
      </c>
      <c r="G247" s="107">
        <v>19047.12</v>
      </c>
      <c r="H247" s="99" t="s">
        <v>871</v>
      </c>
      <c r="I247" s="101" t="s">
        <v>879</v>
      </c>
      <c r="J247" s="99" t="s">
        <v>876</v>
      </c>
      <c r="K247" s="99" t="s">
        <v>877</v>
      </c>
      <c r="L247" s="99" t="s">
        <v>1133</v>
      </c>
    </row>
    <row r="248" spans="1:12" x14ac:dyDescent="0.3">
      <c r="A248" s="99" t="s">
        <v>1260</v>
      </c>
      <c r="F248" s="99" t="s">
        <v>1225</v>
      </c>
      <c r="G248" s="107">
        <v>139.49</v>
      </c>
      <c r="H248" s="99" t="s">
        <v>871</v>
      </c>
      <c r="I248" s="101" t="s">
        <v>879</v>
      </c>
      <c r="J248" s="99" t="s">
        <v>876</v>
      </c>
      <c r="K248" s="99" t="s">
        <v>885</v>
      </c>
      <c r="L248" s="99" t="s">
        <v>1133</v>
      </c>
    </row>
    <row r="249" spans="1:12" x14ac:dyDescent="0.3">
      <c r="A249" s="99" t="s">
        <v>1294</v>
      </c>
      <c r="F249" s="99" t="s">
        <v>1225</v>
      </c>
      <c r="G249" s="107">
        <v>4951.54</v>
      </c>
      <c r="H249" s="99" t="s">
        <v>871</v>
      </c>
      <c r="I249" s="101" t="s">
        <v>879</v>
      </c>
      <c r="J249" s="99" t="s">
        <v>884</v>
      </c>
      <c r="K249" s="99" t="s">
        <v>873</v>
      </c>
      <c r="L249" s="99" t="s">
        <v>1133</v>
      </c>
    </row>
    <row r="250" spans="1:12" x14ac:dyDescent="0.3">
      <c r="A250" s="99" t="s">
        <v>1295</v>
      </c>
      <c r="F250" s="99" t="s">
        <v>1225</v>
      </c>
      <c r="G250" s="107">
        <v>1062.93</v>
      </c>
      <c r="H250" s="99" t="s">
        <v>871</v>
      </c>
      <c r="I250" s="101" t="s">
        <v>879</v>
      </c>
      <c r="J250" s="99" t="s">
        <v>884</v>
      </c>
      <c r="K250" s="99" t="s">
        <v>877</v>
      </c>
      <c r="L250" s="99" t="s">
        <v>1133</v>
      </c>
    </row>
    <row r="251" spans="1:12" x14ac:dyDescent="0.3">
      <c r="A251" s="99" t="s">
        <v>1172</v>
      </c>
      <c r="F251" s="99" t="s">
        <v>1225</v>
      </c>
      <c r="G251" s="107">
        <v>16092.49</v>
      </c>
      <c r="H251" s="99" t="s">
        <v>871</v>
      </c>
      <c r="I251" s="101" t="s">
        <v>879</v>
      </c>
      <c r="J251" s="99" t="s">
        <v>884</v>
      </c>
      <c r="K251" s="99" t="s">
        <v>881</v>
      </c>
      <c r="L251" s="99" t="s">
        <v>1133</v>
      </c>
    </row>
    <row r="252" spans="1:12" x14ac:dyDescent="0.3">
      <c r="A252" s="99" t="s">
        <v>1261</v>
      </c>
      <c r="F252" s="99" t="s">
        <v>1225</v>
      </c>
      <c r="G252" s="107">
        <v>1354.58</v>
      </c>
      <c r="H252" s="99" t="s">
        <v>871</v>
      </c>
      <c r="I252" s="101" t="s">
        <v>879</v>
      </c>
      <c r="J252" s="99" t="s">
        <v>884</v>
      </c>
      <c r="K252" s="99" t="s">
        <v>885</v>
      </c>
      <c r="L252" s="99" t="s">
        <v>1133</v>
      </c>
    </row>
    <row r="253" spans="1:12" x14ac:dyDescent="0.3">
      <c r="A253" s="99" t="s">
        <v>1262</v>
      </c>
      <c r="F253" s="99" t="s">
        <v>1225</v>
      </c>
      <c r="G253" s="107">
        <v>772.21</v>
      </c>
      <c r="H253" s="99" t="s">
        <v>871</v>
      </c>
      <c r="I253" s="101" t="s">
        <v>879</v>
      </c>
      <c r="J253" s="99" t="s">
        <v>888</v>
      </c>
      <c r="K253" s="99" t="s">
        <v>877</v>
      </c>
      <c r="L253" s="99" t="s">
        <v>1133</v>
      </c>
    </row>
    <row r="254" spans="1:12" x14ac:dyDescent="0.3">
      <c r="A254" s="99" t="s">
        <v>1263</v>
      </c>
      <c r="F254" s="99" t="s">
        <v>1225</v>
      </c>
      <c r="G254" s="107">
        <v>8281.25</v>
      </c>
      <c r="H254" s="99" t="s">
        <v>871</v>
      </c>
      <c r="I254" s="101" t="s">
        <v>879</v>
      </c>
      <c r="J254" s="99" t="s">
        <v>888</v>
      </c>
      <c r="K254" s="99" t="s">
        <v>881</v>
      </c>
      <c r="L254" s="99" t="s">
        <v>1133</v>
      </c>
    </row>
    <row r="255" spans="1:12" x14ac:dyDescent="0.3">
      <c r="A255" s="99" t="s">
        <v>1264</v>
      </c>
      <c r="F255" s="99" t="s">
        <v>1225</v>
      </c>
      <c r="G255" s="107">
        <v>600</v>
      </c>
      <c r="H255" s="99" t="s">
        <v>871</v>
      </c>
      <c r="I255" s="101" t="s">
        <v>879</v>
      </c>
      <c r="J255" s="99" t="s">
        <v>888</v>
      </c>
      <c r="K255" s="99" t="s">
        <v>881</v>
      </c>
      <c r="L255" s="99" t="s">
        <v>1133</v>
      </c>
    </row>
    <row r="256" spans="1:12" x14ac:dyDescent="0.3">
      <c r="A256" s="99" t="s">
        <v>1265</v>
      </c>
      <c r="F256" s="99" t="s">
        <v>1225</v>
      </c>
      <c r="G256" s="107">
        <v>574.5</v>
      </c>
      <c r="H256" s="99" t="s">
        <v>871</v>
      </c>
      <c r="I256" s="101" t="s">
        <v>879</v>
      </c>
      <c r="J256" s="99" t="s">
        <v>888</v>
      </c>
      <c r="K256" s="99" t="s">
        <v>881</v>
      </c>
      <c r="L256" s="99" t="s">
        <v>1133</v>
      </c>
    </row>
    <row r="257" spans="1:12" x14ac:dyDescent="0.3">
      <c r="A257" s="99" t="s">
        <v>1266</v>
      </c>
      <c r="F257" s="99" t="s">
        <v>1225</v>
      </c>
      <c r="G257" s="107">
        <v>384.66</v>
      </c>
      <c r="H257" s="99" t="s">
        <v>871</v>
      </c>
      <c r="I257" s="101" t="s">
        <v>919</v>
      </c>
      <c r="J257" s="99" t="s">
        <v>876</v>
      </c>
      <c r="K257" s="99" t="s">
        <v>885</v>
      </c>
      <c r="L257" s="99" t="s">
        <v>1133</v>
      </c>
    </row>
    <row r="258" spans="1:12" x14ac:dyDescent="0.3">
      <c r="A258" s="99" t="s">
        <v>1251</v>
      </c>
      <c r="F258" s="99" t="s">
        <v>1292</v>
      </c>
      <c r="G258" s="107">
        <v>5760</v>
      </c>
      <c r="H258" s="99" t="s">
        <v>952</v>
      </c>
      <c r="I258" s="101" t="s">
        <v>875</v>
      </c>
      <c r="J258" s="99" t="s">
        <v>912</v>
      </c>
      <c r="K258" s="99" t="s">
        <v>881</v>
      </c>
      <c r="L258" s="99" t="s">
        <v>1133</v>
      </c>
    </row>
    <row r="259" spans="1:12" x14ac:dyDescent="0.3">
      <c r="A259" s="99" t="s">
        <v>1181</v>
      </c>
      <c r="F259" s="99" t="s">
        <v>1292</v>
      </c>
      <c r="G259" s="107">
        <v>2465.81</v>
      </c>
      <c r="H259" s="99" t="s">
        <v>952</v>
      </c>
      <c r="I259" s="101" t="s">
        <v>875</v>
      </c>
      <c r="J259" s="99" t="s">
        <v>936</v>
      </c>
      <c r="K259" s="99" t="s">
        <v>889</v>
      </c>
      <c r="L259" s="99" t="s">
        <v>1133</v>
      </c>
    </row>
    <row r="260" spans="1:12" x14ac:dyDescent="0.3">
      <c r="A260" s="99" t="s">
        <v>1256</v>
      </c>
      <c r="F260" s="99" t="s">
        <v>1292</v>
      </c>
      <c r="G260" s="107">
        <v>480</v>
      </c>
      <c r="H260" s="99" t="s">
        <v>952</v>
      </c>
      <c r="I260" s="101" t="s">
        <v>875</v>
      </c>
      <c r="J260" s="99" t="s">
        <v>912</v>
      </c>
      <c r="K260" s="99" t="s">
        <v>885</v>
      </c>
      <c r="L260" s="99" t="s">
        <v>1133</v>
      </c>
    </row>
    <row r="261" spans="1:12" x14ac:dyDescent="0.3">
      <c r="A261" s="99" t="s">
        <v>1242</v>
      </c>
      <c r="F261" s="99" t="s">
        <v>1292</v>
      </c>
      <c r="G261" s="107">
        <v>1807.17</v>
      </c>
      <c r="H261" s="99" t="s">
        <v>952</v>
      </c>
      <c r="I261" s="101" t="s">
        <v>875</v>
      </c>
      <c r="J261" s="99" t="s">
        <v>912</v>
      </c>
      <c r="K261" s="99" t="s">
        <v>881</v>
      </c>
      <c r="L261" s="99" t="s">
        <v>1133</v>
      </c>
    </row>
    <row r="262" spans="1:12" x14ac:dyDescent="0.3">
      <c r="A262" s="99" t="s">
        <v>1257</v>
      </c>
      <c r="F262" s="99" t="s">
        <v>1225</v>
      </c>
      <c r="G262" s="107">
        <v>96.99</v>
      </c>
      <c r="H262" s="99" t="s">
        <v>871</v>
      </c>
      <c r="I262" s="101" t="s">
        <v>875</v>
      </c>
      <c r="J262" s="99" t="s">
        <v>912</v>
      </c>
      <c r="K262" s="99" t="s">
        <v>885</v>
      </c>
      <c r="L262" s="99" t="s">
        <v>1133</v>
      </c>
    </row>
    <row r="263" spans="1:12" x14ac:dyDescent="0.3">
      <c r="A263" s="99" t="s">
        <v>1252</v>
      </c>
      <c r="F263" s="99" t="s">
        <v>1226</v>
      </c>
      <c r="G263" s="107">
        <v>74.239999999999995</v>
      </c>
      <c r="H263" s="99" t="s">
        <v>871</v>
      </c>
      <c r="I263" s="101" t="s">
        <v>875</v>
      </c>
      <c r="J263" s="99" t="s">
        <v>912</v>
      </c>
      <c r="K263" s="99" t="s">
        <v>885</v>
      </c>
      <c r="L263" s="99" t="s">
        <v>1136</v>
      </c>
    </row>
    <row r="264" spans="1:12" x14ac:dyDescent="0.3">
      <c r="A264" s="99" t="s">
        <v>1257</v>
      </c>
      <c r="F264" s="99" t="s">
        <v>1226</v>
      </c>
      <c r="G264" s="107">
        <v>96.99</v>
      </c>
      <c r="H264" s="99" t="s">
        <v>871</v>
      </c>
      <c r="I264" s="101" t="s">
        <v>875</v>
      </c>
      <c r="J264" s="99" t="s">
        <v>912</v>
      </c>
      <c r="K264" s="99" t="s">
        <v>885</v>
      </c>
      <c r="L264" s="99" t="s">
        <v>1136</v>
      </c>
    </row>
    <row r="265" spans="1:12" x14ac:dyDescent="0.3">
      <c r="A265" s="99" t="s">
        <v>1147</v>
      </c>
      <c r="G265" s="107">
        <v>-649</v>
      </c>
      <c r="H265" s="99" t="s">
        <v>871</v>
      </c>
      <c r="I265" s="101" t="s">
        <v>24</v>
      </c>
      <c r="J265" s="99" t="s">
        <v>24</v>
      </c>
      <c r="K265" s="99" t="s">
        <v>933</v>
      </c>
      <c r="L265" s="99" t="s">
        <v>1133</v>
      </c>
    </row>
    <row r="266" spans="1:12" x14ac:dyDescent="0.3">
      <c r="A266" s="99" t="s">
        <v>1296</v>
      </c>
      <c r="G266" s="107">
        <v>-8342</v>
      </c>
      <c r="H266" s="99" t="s">
        <v>871</v>
      </c>
      <c r="I266" s="101" t="s">
        <v>24</v>
      </c>
      <c r="J266" s="99" t="s">
        <v>24</v>
      </c>
      <c r="K266" s="99" t="s">
        <v>951</v>
      </c>
      <c r="L266" s="99" t="s">
        <v>1133</v>
      </c>
    </row>
    <row r="267" spans="1:12" x14ac:dyDescent="0.3">
      <c r="I267" s="101"/>
    </row>
    <row r="268" spans="1:12" x14ac:dyDescent="0.3">
      <c r="I268" s="101"/>
    </row>
    <row r="269" spans="1:12" x14ac:dyDescent="0.3">
      <c r="I269" s="101"/>
    </row>
    <row r="270" spans="1:12" x14ac:dyDescent="0.3">
      <c r="I270" s="101"/>
    </row>
    <row r="271" spans="1:12" x14ac:dyDescent="0.3">
      <c r="I271" s="101"/>
    </row>
    <row r="272" spans="1:12" x14ac:dyDescent="0.3">
      <c r="I272" s="101"/>
    </row>
    <row r="273" spans="9:9" x14ac:dyDescent="0.3">
      <c r="I273" s="101"/>
    </row>
    <row r="274" spans="9:9" x14ac:dyDescent="0.3">
      <c r="I274" s="101"/>
    </row>
    <row r="275" spans="9:9" x14ac:dyDescent="0.3">
      <c r="I275" s="101"/>
    </row>
    <row r="276" spans="9:9" x14ac:dyDescent="0.3">
      <c r="I276" s="101"/>
    </row>
    <row r="277" spans="9:9" x14ac:dyDescent="0.3">
      <c r="I277" s="101"/>
    </row>
    <row r="278" spans="9:9" x14ac:dyDescent="0.3">
      <c r="I278" s="101"/>
    </row>
    <row r="279" spans="9:9" x14ac:dyDescent="0.3">
      <c r="I279" s="101"/>
    </row>
    <row r="280" spans="9:9" x14ac:dyDescent="0.3">
      <c r="I280" s="101"/>
    </row>
    <row r="281" spans="9:9" x14ac:dyDescent="0.3">
      <c r="I281" s="101"/>
    </row>
    <row r="282" spans="9:9" x14ac:dyDescent="0.3">
      <c r="I282" s="101"/>
    </row>
    <row r="283" spans="9:9" x14ac:dyDescent="0.3">
      <c r="I283" s="101"/>
    </row>
    <row r="284" spans="9:9" x14ac:dyDescent="0.3">
      <c r="I284" s="101"/>
    </row>
    <row r="285" spans="9:9" x14ac:dyDescent="0.3">
      <c r="I285" s="101"/>
    </row>
    <row r="286" spans="9:9" x14ac:dyDescent="0.3">
      <c r="I286" s="101"/>
    </row>
    <row r="287" spans="9:9" x14ac:dyDescent="0.3">
      <c r="I287" s="101"/>
    </row>
    <row r="288" spans="9:9" x14ac:dyDescent="0.3">
      <c r="I288" s="101"/>
    </row>
    <row r="289" spans="9:9" x14ac:dyDescent="0.3">
      <c r="I289" s="101"/>
    </row>
    <row r="290" spans="9:9" x14ac:dyDescent="0.3">
      <c r="I290" s="101"/>
    </row>
    <row r="291" spans="9:9" x14ac:dyDescent="0.3">
      <c r="I291" s="101"/>
    </row>
    <row r="292" spans="9:9" x14ac:dyDescent="0.3">
      <c r="I292" s="101"/>
    </row>
    <row r="293" spans="9:9" x14ac:dyDescent="0.3">
      <c r="I293" s="101"/>
    </row>
    <row r="294" spans="9:9" x14ac:dyDescent="0.3">
      <c r="I294" s="101"/>
    </row>
    <row r="295" spans="9:9" x14ac:dyDescent="0.3">
      <c r="I295" s="101"/>
    </row>
    <row r="296" spans="9:9" x14ac:dyDescent="0.3">
      <c r="I296" s="101"/>
    </row>
    <row r="297" spans="9:9" x14ac:dyDescent="0.3">
      <c r="I297" s="101"/>
    </row>
    <row r="298" spans="9:9" x14ac:dyDescent="0.3">
      <c r="I298" s="101"/>
    </row>
    <row r="299" spans="9:9" x14ac:dyDescent="0.3">
      <c r="I299" s="101"/>
    </row>
    <row r="300" spans="9:9" x14ac:dyDescent="0.3">
      <c r="I300" s="101"/>
    </row>
    <row r="301" spans="9:9" x14ac:dyDescent="0.3">
      <c r="I301" s="101"/>
    </row>
    <row r="302" spans="9:9" x14ac:dyDescent="0.3">
      <c r="I302" s="101"/>
    </row>
    <row r="303" spans="9:9" x14ac:dyDescent="0.3">
      <c r="I303" s="101"/>
    </row>
    <row r="304" spans="9:9" x14ac:dyDescent="0.3">
      <c r="I304" s="101"/>
    </row>
    <row r="305" spans="9:9" x14ac:dyDescent="0.3">
      <c r="I305" s="101"/>
    </row>
    <row r="306" spans="9:9" x14ac:dyDescent="0.3">
      <c r="I306" s="101"/>
    </row>
    <row r="307" spans="9:9" x14ac:dyDescent="0.3">
      <c r="I307" s="101"/>
    </row>
    <row r="308" spans="9:9" x14ac:dyDescent="0.3">
      <c r="I308" s="101"/>
    </row>
    <row r="309" spans="9:9" x14ac:dyDescent="0.3">
      <c r="I309" s="101"/>
    </row>
    <row r="310" spans="9:9" x14ac:dyDescent="0.3">
      <c r="I310" s="101"/>
    </row>
    <row r="311" spans="9:9" x14ac:dyDescent="0.3">
      <c r="I311" s="101"/>
    </row>
    <row r="312" spans="9:9" x14ac:dyDescent="0.3">
      <c r="I312" s="101"/>
    </row>
    <row r="313" spans="9:9" x14ac:dyDescent="0.3">
      <c r="I313" s="101"/>
    </row>
    <row r="314" spans="9:9" x14ac:dyDescent="0.3">
      <c r="I314" s="101"/>
    </row>
    <row r="315" spans="9:9" x14ac:dyDescent="0.3">
      <c r="I315" s="101"/>
    </row>
    <row r="316" spans="9:9" x14ac:dyDescent="0.3">
      <c r="I316" s="101"/>
    </row>
    <row r="317" spans="9:9" x14ac:dyDescent="0.3">
      <c r="I317" s="101"/>
    </row>
    <row r="318" spans="9:9" x14ac:dyDescent="0.3">
      <c r="I318" s="101"/>
    </row>
    <row r="319" spans="9:9" x14ac:dyDescent="0.3">
      <c r="I319" s="101"/>
    </row>
    <row r="320" spans="9:9" x14ac:dyDescent="0.3">
      <c r="I320" s="101"/>
    </row>
    <row r="321" spans="9:9" x14ac:dyDescent="0.3">
      <c r="I321" s="101"/>
    </row>
    <row r="322" spans="9:9" x14ac:dyDescent="0.3">
      <c r="I322" s="101"/>
    </row>
    <row r="323" spans="9:9" x14ac:dyDescent="0.3">
      <c r="I323" s="101"/>
    </row>
    <row r="324" spans="9:9" x14ac:dyDescent="0.3">
      <c r="I324" s="101"/>
    </row>
    <row r="325" spans="9:9" x14ac:dyDescent="0.3">
      <c r="I325" s="101"/>
    </row>
    <row r="326" spans="9:9" x14ac:dyDescent="0.3">
      <c r="I326" s="101"/>
    </row>
    <row r="327" spans="9:9" x14ac:dyDescent="0.3">
      <c r="I327" s="101"/>
    </row>
    <row r="328" spans="9:9" x14ac:dyDescent="0.3">
      <c r="I328" s="101"/>
    </row>
    <row r="329" spans="9:9" x14ac:dyDescent="0.3">
      <c r="I329" s="101"/>
    </row>
    <row r="330" spans="9:9" x14ac:dyDescent="0.3">
      <c r="I330" s="101"/>
    </row>
    <row r="331" spans="9:9" x14ac:dyDescent="0.3">
      <c r="I331" s="101"/>
    </row>
    <row r="332" spans="9:9" x14ac:dyDescent="0.3">
      <c r="I332" s="101"/>
    </row>
    <row r="333" spans="9:9" x14ac:dyDescent="0.3">
      <c r="I333" s="101"/>
    </row>
    <row r="334" spans="9:9" x14ac:dyDescent="0.3">
      <c r="I334" s="101"/>
    </row>
    <row r="335" spans="9:9" x14ac:dyDescent="0.3">
      <c r="I335" s="101"/>
    </row>
    <row r="336" spans="9:9" x14ac:dyDescent="0.3">
      <c r="I336" s="101"/>
    </row>
    <row r="337" spans="9:9" x14ac:dyDescent="0.3">
      <c r="I337" s="101"/>
    </row>
    <row r="338" spans="9:9" x14ac:dyDescent="0.3">
      <c r="I338" s="101"/>
    </row>
    <row r="339" spans="9:9" x14ac:dyDescent="0.3">
      <c r="I339" s="101"/>
    </row>
    <row r="340" spans="9:9" x14ac:dyDescent="0.3">
      <c r="I340" s="101"/>
    </row>
    <row r="341" spans="9:9" x14ac:dyDescent="0.3">
      <c r="I341" s="101"/>
    </row>
    <row r="342" spans="9:9" x14ac:dyDescent="0.3">
      <c r="I342" s="101"/>
    </row>
    <row r="343" spans="9:9" x14ac:dyDescent="0.3">
      <c r="I343" s="101"/>
    </row>
    <row r="344" spans="9:9" x14ac:dyDescent="0.3">
      <c r="I344" s="101"/>
    </row>
    <row r="345" spans="9:9" x14ac:dyDescent="0.3">
      <c r="I345" s="101"/>
    </row>
    <row r="346" spans="9:9" x14ac:dyDescent="0.3">
      <c r="I346" s="101"/>
    </row>
    <row r="347" spans="9:9" x14ac:dyDescent="0.3">
      <c r="I347" s="101"/>
    </row>
    <row r="348" spans="9:9" x14ac:dyDescent="0.3">
      <c r="I348" s="101"/>
    </row>
    <row r="349" spans="9:9" x14ac:dyDescent="0.3">
      <c r="I349" s="101"/>
    </row>
    <row r="350" spans="9:9" x14ac:dyDescent="0.3">
      <c r="I350" s="101"/>
    </row>
    <row r="351" spans="9:9" x14ac:dyDescent="0.3">
      <c r="I351" s="101"/>
    </row>
    <row r="352" spans="9:9" x14ac:dyDescent="0.3">
      <c r="I352" s="101"/>
    </row>
    <row r="353" spans="9:9" x14ac:dyDescent="0.3">
      <c r="I353" s="101"/>
    </row>
    <row r="354" spans="9:9" x14ac:dyDescent="0.3">
      <c r="I354" s="101"/>
    </row>
    <row r="355" spans="9:9" x14ac:dyDescent="0.3">
      <c r="I355" s="101"/>
    </row>
    <row r="356" spans="9:9" x14ac:dyDescent="0.3">
      <c r="I356" s="101"/>
    </row>
    <row r="357" spans="9:9" x14ac:dyDescent="0.3">
      <c r="I357" s="101"/>
    </row>
    <row r="358" spans="9:9" x14ac:dyDescent="0.3">
      <c r="I358" s="101"/>
    </row>
    <row r="359" spans="9:9" x14ac:dyDescent="0.3">
      <c r="I359" s="101"/>
    </row>
    <row r="360" spans="9:9" x14ac:dyDescent="0.3">
      <c r="I360" s="101"/>
    </row>
    <row r="361" spans="9:9" x14ac:dyDescent="0.3">
      <c r="I361" s="101"/>
    </row>
    <row r="362" spans="9:9" x14ac:dyDescent="0.3">
      <c r="I362" s="101"/>
    </row>
    <row r="363" spans="9:9" x14ac:dyDescent="0.3">
      <c r="I363" s="101"/>
    </row>
    <row r="364" spans="9:9" x14ac:dyDescent="0.3">
      <c r="I364" s="101"/>
    </row>
    <row r="365" spans="9:9" x14ac:dyDescent="0.3">
      <c r="I365" s="101"/>
    </row>
    <row r="366" spans="9:9" x14ac:dyDescent="0.3">
      <c r="I366" s="101"/>
    </row>
    <row r="367" spans="9:9" x14ac:dyDescent="0.3">
      <c r="I367" s="101"/>
    </row>
    <row r="368" spans="9:9" x14ac:dyDescent="0.3">
      <c r="I368" s="101"/>
    </row>
    <row r="369" spans="9:9" x14ac:dyDescent="0.3">
      <c r="I369" s="101"/>
    </row>
    <row r="370" spans="9:9" x14ac:dyDescent="0.3">
      <c r="I370" s="101"/>
    </row>
    <row r="371" spans="9:9" x14ac:dyDescent="0.3">
      <c r="I371" s="101"/>
    </row>
    <row r="372" spans="9:9" x14ac:dyDescent="0.3">
      <c r="I372" s="101"/>
    </row>
    <row r="373" spans="9:9" x14ac:dyDescent="0.3">
      <c r="I373" s="101"/>
    </row>
    <row r="374" spans="9:9" x14ac:dyDescent="0.3">
      <c r="I374" s="101"/>
    </row>
    <row r="375" spans="9:9" x14ac:dyDescent="0.3">
      <c r="I375" s="101"/>
    </row>
    <row r="376" spans="9:9" x14ac:dyDescent="0.3">
      <c r="I376" s="101"/>
    </row>
    <row r="377" spans="9:9" x14ac:dyDescent="0.3">
      <c r="I377" s="101"/>
    </row>
    <row r="378" spans="9:9" x14ac:dyDescent="0.3">
      <c r="I378" s="101"/>
    </row>
    <row r="379" spans="9:9" x14ac:dyDescent="0.3">
      <c r="I379" s="101"/>
    </row>
    <row r="380" spans="9:9" x14ac:dyDescent="0.3">
      <c r="I380" s="101"/>
    </row>
    <row r="381" spans="9:9" x14ac:dyDescent="0.3">
      <c r="I381" s="101"/>
    </row>
    <row r="382" spans="9:9" x14ac:dyDescent="0.3">
      <c r="I382" s="101"/>
    </row>
    <row r="383" spans="9:9" x14ac:dyDescent="0.3">
      <c r="I383" s="101"/>
    </row>
    <row r="384" spans="9:9" x14ac:dyDescent="0.3">
      <c r="I384" s="101"/>
    </row>
    <row r="385" spans="9:9" x14ac:dyDescent="0.3">
      <c r="I385" s="101"/>
    </row>
    <row r="386" spans="9:9" x14ac:dyDescent="0.3">
      <c r="I386" s="101"/>
    </row>
    <row r="387" spans="9:9" x14ac:dyDescent="0.3">
      <c r="I387" s="101"/>
    </row>
    <row r="388" spans="9:9" x14ac:dyDescent="0.3">
      <c r="I388" s="101"/>
    </row>
    <row r="389" spans="9:9" x14ac:dyDescent="0.3">
      <c r="I389" s="101"/>
    </row>
    <row r="390" spans="9:9" x14ac:dyDescent="0.3">
      <c r="I390" s="101"/>
    </row>
    <row r="391" spans="9:9" x14ac:dyDescent="0.3">
      <c r="I391" s="101"/>
    </row>
    <row r="392" spans="9:9" x14ac:dyDescent="0.3">
      <c r="I392" s="101"/>
    </row>
    <row r="393" spans="9:9" x14ac:dyDescent="0.3">
      <c r="I393" s="101"/>
    </row>
    <row r="394" spans="9:9" x14ac:dyDescent="0.3">
      <c r="I394" s="101"/>
    </row>
    <row r="395" spans="9:9" x14ac:dyDescent="0.3">
      <c r="I395" s="101"/>
    </row>
    <row r="396" spans="9:9" x14ac:dyDescent="0.3">
      <c r="I396" s="101"/>
    </row>
    <row r="397" spans="9:9" x14ac:dyDescent="0.3">
      <c r="I397" s="101"/>
    </row>
    <row r="398" spans="9:9" x14ac:dyDescent="0.3">
      <c r="I398" s="101"/>
    </row>
    <row r="399" spans="9:9" x14ac:dyDescent="0.3">
      <c r="I399" s="101"/>
    </row>
    <row r="400" spans="9:9" x14ac:dyDescent="0.3">
      <c r="I400" s="101"/>
    </row>
    <row r="401" spans="9:9" x14ac:dyDescent="0.3">
      <c r="I401" s="101"/>
    </row>
    <row r="402" spans="9:9" x14ac:dyDescent="0.3">
      <c r="I402" s="101"/>
    </row>
    <row r="403" spans="9:9" x14ac:dyDescent="0.3">
      <c r="I403" s="101"/>
    </row>
    <row r="404" spans="9:9" x14ac:dyDescent="0.3">
      <c r="I404" s="101"/>
    </row>
    <row r="405" spans="9:9" x14ac:dyDescent="0.3">
      <c r="I405" s="101"/>
    </row>
    <row r="406" spans="9:9" x14ac:dyDescent="0.3">
      <c r="I406" s="101"/>
    </row>
    <row r="407" spans="9:9" x14ac:dyDescent="0.3">
      <c r="I407" s="101"/>
    </row>
    <row r="408" spans="9:9" x14ac:dyDescent="0.3">
      <c r="I408" s="101"/>
    </row>
    <row r="409" spans="9:9" x14ac:dyDescent="0.3">
      <c r="I409" s="101"/>
    </row>
    <row r="410" spans="9:9" x14ac:dyDescent="0.3">
      <c r="I410" s="101"/>
    </row>
    <row r="411" spans="9:9" x14ac:dyDescent="0.3">
      <c r="I411" s="101"/>
    </row>
    <row r="412" spans="9:9" x14ac:dyDescent="0.3">
      <c r="I412" s="101"/>
    </row>
    <row r="413" spans="9:9" x14ac:dyDescent="0.3">
      <c r="I413" s="101"/>
    </row>
    <row r="414" spans="9:9" x14ac:dyDescent="0.3">
      <c r="I414" s="101"/>
    </row>
    <row r="415" spans="9:9" x14ac:dyDescent="0.3">
      <c r="I415" s="101"/>
    </row>
    <row r="416" spans="9:9" x14ac:dyDescent="0.3">
      <c r="I416" s="101"/>
    </row>
    <row r="417" spans="9:9" x14ac:dyDescent="0.3">
      <c r="I417" s="101"/>
    </row>
    <row r="418" spans="9:9" x14ac:dyDescent="0.3">
      <c r="I418" s="101"/>
    </row>
    <row r="419" spans="9:9" x14ac:dyDescent="0.3">
      <c r="I419" s="101"/>
    </row>
    <row r="420" spans="9:9" x14ac:dyDescent="0.3">
      <c r="I420" s="101"/>
    </row>
    <row r="421" spans="9:9" x14ac:dyDescent="0.3">
      <c r="I421" s="101"/>
    </row>
    <row r="422" spans="9:9" x14ac:dyDescent="0.3">
      <c r="I422" s="101"/>
    </row>
    <row r="423" spans="9:9" x14ac:dyDescent="0.3">
      <c r="I423" s="101"/>
    </row>
    <row r="424" spans="9:9" x14ac:dyDescent="0.3">
      <c r="I424" s="101"/>
    </row>
    <row r="425" spans="9:9" x14ac:dyDescent="0.3">
      <c r="I425" s="101"/>
    </row>
    <row r="426" spans="9:9" x14ac:dyDescent="0.3">
      <c r="I426" s="101"/>
    </row>
    <row r="427" spans="9:9" x14ac:dyDescent="0.3">
      <c r="I427" s="101"/>
    </row>
    <row r="428" spans="9:9" x14ac:dyDescent="0.3">
      <c r="I428" s="101"/>
    </row>
    <row r="429" spans="9:9" x14ac:dyDescent="0.3">
      <c r="I429" s="101"/>
    </row>
    <row r="430" spans="9:9" x14ac:dyDescent="0.3">
      <c r="I430" s="101"/>
    </row>
    <row r="431" spans="9:9" x14ac:dyDescent="0.3">
      <c r="I431" s="101"/>
    </row>
    <row r="432" spans="9:9" x14ac:dyDescent="0.3">
      <c r="I432" s="101"/>
    </row>
    <row r="433" spans="9:9" x14ac:dyDescent="0.3">
      <c r="I433" s="101"/>
    </row>
    <row r="434" spans="9:9" x14ac:dyDescent="0.3">
      <c r="I434" s="101"/>
    </row>
    <row r="435" spans="9:9" x14ac:dyDescent="0.3">
      <c r="I435" s="101"/>
    </row>
    <row r="436" spans="9:9" x14ac:dyDescent="0.3">
      <c r="I436" s="101"/>
    </row>
    <row r="437" spans="9:9" x14ac:dyDescent="0.3">
      <c r="I437" s="101"/>
    </row>
    <row r="438" spans="9:9" x14ac:dyDescent="0.3">
      <c r="I438" s="101"/>
    </row>
    <row r="439" spans="9:9" x14ac:dyDescent="0.3">
      <c r="I439" s="101"/>
    </row>
    <row r="440" spans="9:9" x14ac:dyDescent="0.3">
      <c r="I440" s="101"/>
    </row>
    <row r="441" spans="9:9" x14ac:dyDescent="0.3">
      <c r="I441" s="101"/>
    </row>
    <row r="442" spans="9:9" x14ac:dyDescent="0.3">
      <c r="I442" s="101"/>
    </row>
    <row r="443" spans="9:9" x14ac:dyDescent="0.3">
      <c r="I443" s="101"/>
    </row>
    <row r="444" spans="9:9" x14ac:dyDescent="0.3">
      <c r="I444" s="101"/>
    </row>
    <row r="445" spans="9:9" x14ac:dyDescent="0.3">
      <c r="I445" s="101"/>
    </row>
    <row r="446" spans="9:9" x14ac:dyDescent="0.3">
      <c r="I446" s="101"/>
    </row>
    <row r="447" spans="9:9" x14ac:dyDescent="0.3">
      <c r="I447" s="101"/>
    </row>
    <row r="448" spans="9:9" x14ac:dyDescent="0.3">
      <c r="I448" s="101"/>
    </row>
    <row r="449" spans="9:9" x14ac:dyDescent="0.3">
      <c r="I449" s="101"/>
    </row>
    <row r="450" spans="9:9" x14ac:dyDescent="0.3">
      <c r="I450" s="101"/>
    </row>
    <row r="451" spans="9:9" x14ac:dyDescent="0.3">
      <c r="I451" s="101"/>
    </row>
    <row r="452" spans="9:9" x14ac:dyDescent="0.3">
      <c r="I452" s="101"/>
    </row>
    <row r="453" spans="9:9" x14ac:dyDescent="0.3">
      <c r="I453" s="101"/>
    </row>
    <row r="454" spans="9:9" x14ac:dyDescent="0.3">
      <c r="I454" s="101"/>
    </row>
    <row r="455" spans="9:9" x14ac:dyDescent="0.3">
      <c r="I455" s="101"/>
    </row>
    <row r="456" spans="9:9" x14ac:dyDescent="0.3">
      <c r="I456" s="101"/>
    </row>
    <row r="457" spans="9:9" x14ac:dyDescent="0.3">
      <c r="I457" s="101"/>
    </row>
    <row r="458" spans="9:9" x14ac:dyDescent="0.3">
      <c r="I458" s="101"/>
    </row>
    <row r="459" spans="9:9" x14ac:dyDescent="0.3">
      <c r="I459" s="101"/>
    </row>
    <row r="460" spans="9:9" x14ac:dyDescent="0.3">
      <c r="I460" s="101"/>
    </row>
    <row r="461" spans="9:9" x14ac:dyDescent="0.3">
      <c r="I461" s="101"/>
    </row>
    <row r="462" spans="9:9" x14ac:dyDescent="0.3">
      <c r="I462" s="101"/>
    </row>
    <row r="463" spans="9:9" x14ac:dyDescent="0.3">
      <c r="I463" s="101"/>
    </row>
    <row r="464" spans="9:9" x14ac:dyDescent="0.3">
      <c r="I464" s="101"/>
    </row>
    <row r="465" spans="9:9" x14ac:dyDescent="0.3">
      <c r="I465" s="101"/>
    </row>
    <row r="466" spans="9:9" x14ac:dyDescent="0.3">
      <c r="I466" s="101"/>
    </row>
    <row r="467" spans="9:9" x14ac:dyDescent="0.3">
      <c r="I467" s="101"/>
    </row>
    <row r="468" spans="9:9" x14ac:dyDescent="0.3">
      <c r="I468" s="101"/>
    </row>
    <row r="469" spans="9:9" x14ac:dyDescent="0.3">
      <c r="I469" s="101"/>
    </row>
    <row r="470" spans="9:9" x14ac:dyDescent="0.3">
      <c r="I470" s="101"/>
    </row>
    <row r="471" spans="9:9" x14ac:dyDescent="0.3">
      <c r="I471" s="101"/>
    </row>
    <row r="472" spans="9:9" x14ac:dyDescent="0.3">
      <c r="I472" s="101"/>
    </row>
    <row r="473" spans="9:9" x14ac:dyDescent="0.3">
      <c r="I473" s="101"/>
    </row>
    <row r="474" spans="9:9" x14ac:dyDescent="0.3">
      <c r="I474" s="101"/>
    </row>
    <row r="475" spans="9:9" x14ac:dyDescent="0.3">
      <c r="I475" s="101"/>
    </row>
    <row r="476" spans="9:9" x14ac:dyDescent="0.3">
      <c r="I476" s="101"/>
    </row>
    <row r="477" spans="9:9" x14ac:dyDescent="0.3">
      <c r="I477" s="101"/>
    </row>
    <row r="478" spans="9:9" x14ac:dyDescent="0.3">
      <c r="I478" s="101"/>
    </row>
    <row r="479" spans="9:9" x14ac:dyDescent="0.3">
      <c r="I479" s="101"/>
    </row>
    <row r="480" spans="9:9" x14ac:dyDescent="0.3">
      <c r="I480" s="101"/>
    </row>
    <row r="481" spans="9:9" x14ac:dyDescent="0.3">
      <c r="I481" s="101"/>
    </row>
    <row r="482" spans="9:9" x14ac:dyDescent="0.3">
      <c r="I482" s="101"/>
    </row>
    <row r="483" spans="9:9" x14ac:dyDescent="0.3">
      <c r="I483" s="101"/>
    </row>
    <row r="484" spans="9:9" x14ac:dyDescent="0.3">
      <c r="I484" s="101"/>
    </row>
    <row r="485" spans="9:9" x14ac:dyDescent="0.3">
      <c r="I485" s="101"/>
    </row>
    <row r="486" spans="9:9" x14ac:dyDescent="0.3">
      <c r="I486" s="101"/>
    </row>
    <row r="487" spans="9:9" x14ac:dyDescent="0.3">
      <c r="I487" s="101"/>
    </row>
    <row r="488" spans="9:9" x14ac:dyDescent="0.3">
      <c r="I488" s="101"/>
    </row>
    <row r="489" spans="9:9" x14ac:dyDescent="0.3">
      <c r="I489" s="101"/>
    </row>
    <row r="490" spans="9:9" x14ac:dyDescent="0.3">
      <c r="I490" s="101"/>
    </row>
    <row r="491" spans="9:9" x14ac:dyDescent="0.3">
      <c r="I491" s="101"/>
    </row>
    <row r="492" spans="9:9" x14ac:dyDescent="0.3">
      <c r="I492" s="101"/>
    </row>
    <row r="493" spans="9:9" x14ac:dyDescent="0.3">
      <c r="I493" s="101"/>
    </row>
    <row r="494" spans="9:9" x14ac:dyDescent="0.3">
      <c r="I494" s="101"/>
    </row>
    <row r="495" spans="9:9" x14ac:dyDescent="0.3">
      <c r="I495" s="101"/>
    </row>
    <row r="496" spans="9:9" x14ac:dyDescent="0.3">
      <c r="I496" s="101"/>
    </row>
    <row r="497" spans="9:9" x14ac:dyDescent="0.3">
      <c r="I497" s="101"/>
    </row>
    <row r="498" spans="9:9" x14ac:dyDescent="0.3">
      <c r="I498" s="101"/>
    </row>
    <row r="499" spans="9:9" x14ac:dyDescent="0.3">
      <c r="I499" s="101"/>
    </row>
    <row r="500" spans="9:9" x14ac:dyDescent="0.3">
      <c r="I500" s="101"/>
    </row>
    <row r="501" spans="9:9" x14ac:dyDescent="0.3">
      <c r="I501" s="101"/>
    </row>
    <row r="502" spans="9:9" x14ac:dyDescent="0.3">
      <c r="I502" s="101"/>
    </row>
    <row r="503" spans="9:9" x14ac:dyDescent="0.3">
      <c r="I503" s="101"/>
    </row>
    <row r="504" spans="9:9" x14ac:dyDescent="0.3">
      <c r="I504" s="101"/>
    </row>
    <row r="505" spans="9:9" x14ac:dyDescent="0.3">
      <c r="I505" s="101"/>
    </row>
    <row r="506" spans="9:9" x14ac:dyDescent="0.3">
      <c r="I506" s="101"/>
    </row>
    <row r="507" spans="9:9" x14ac:dyDescent="0.3">
      <c r="I507" s="101"/>
    </row>
    <row r="508" spans="9:9" x14ac:dyDescent="0.3">
      <c r="I508" s="101"/>
    </row>
    <row r="509" spans="9:9" x14ac:dyDescent="0.3">
      <c r="I509" s="101"/>
    </row>
    <row r="510" spans="9:9" x14ac:dyDescent="0.3">
      <c r="I510" s="101"/>
    </row>
    <row r="511" spans="9:9" x14ac:dyDescent="0.3">
      <c r="I511" s="101"/>
    </row>
    <row r="512" spans="9:9" x14ac:dyDescent="0.3">
      <c r="I512" s="101"/>
    </row>
    <row r="513" spans="9:9" x14ac:dyDescent="0.3">
      <c r="I513" s="101"/>
    </row>
    <row r="514" spans="9:9" x14ac:dyDescent="0.3">
      <c r="I514" s="101"/>
    </row>
    <row r="515" spans="9:9" x14ac:dyDescent="0.3">
      <c r="I515" s="101"/>
    </row>
    <row r="516" spans="9:9" x14ac:dyDescent="0.3">
      <c r="I516" s="101"/>
    </row>
    <row r="517" spans="9:9" x14ac:dyDescent="0.3">
      <c r="I517" s="101"/>
    </row>
    <row r="518" spans="9:9" x14ac:dyDescent="0.3">
      <c r="I518" s="101"/>
    </row>
    <row r="519" spans="9:9" x14ac:dyDescent="0.3">
      <c r="I519" s="101"/>
    </row>
    <row r="520" spans="9:9" x14ac:dyDescent="0.3">
      <c r="I520" s="101"/>
    </row>
    <row r="521" spans="9:9" x14ac:dyDescent="0.3">
      <c r="I521" s="101"/>
    </row>
    <row r="522" spans="9:9" x14ac:dyDescent="0.3">
      <c r="I522" s="101"/>
    </row>
    <row r="523" spans="9:9" x14ac:dyDescent="0.3">
      <c r="I523" s="101"/>
    </row>
    <row r="524" spans="9:9" x14ac:dyDescent="0.3">
      <c r="I524" s="101"/>
    </row>
    <row r="525" spans="9:9" x14ac:dyDescent="0.3">
      <c r="I525" s="101"/>
    </row>
    <row r="526" spans="9:9" x14ac:dyDescent="0.3">
      <c r="I526" s="101"/>
    </row>
    <row r="527" spans="9:9" x14ac:dyDescent="0.3">
      <c r="I527" s="101"/>
    </row>
    <row r="528" spans="9:9" x14ac:dyDescent="0.3">
      <c r="I528" s="101"/>
    </row>
    <row r="529" spans="9:9" x14ac:dyDescent="0.3">
      <c r="I529" s="101"/>
    </row>
    <row r="530" spans="9:9" x14ac:dyDescent="0.3">
      <c r="I530" s="101"/>
    </row>
    <row r="531" spans="9:9" x14ac:dyDescent="0.3">
      <c r="I531" s="101"/>
    </row>
    <row r="532" spans="9:9" x14ac:dyDescent="0.3">
      <c r="I532" s="101"/>
    </row>
    <row r="533" spans="9:9" x14ac:dyDescent="0.3">
      <c r="I533" s="101"/>
    </row>
    <row r="534" spans="9:9" x14ac:dyDescent="0.3">
      <c r="I534" s="101"/>
    </row>
    <row r="535" spans="9:9" x14ac:dyDescent="0.3">
      <c r="I535" s="101"/>
    </row>
    <row r="536" spans="9:9" x14ac:dyDescent="0.3">
      <c r="I536" s="101"/>
    </row>
    <row r="537" spans="9:9" x14ac:dyDescent="0.3">
      <c r="I537" s="101"/>
    </row>
    <row r="538" spans="9:9" x14ac:dyDescent="0.3">
      <c r="I538" s="101"/>
    </row>
    <row r="539" spans="9:9" x14ac:dyDescent="0.3">
      <c r="I539" s="101"/>
    </row>
    <row r="540" spans="9:9" x14ac:dyDescent="0.3">
      <c r="I540" s="101"/>
    </row>
    <row r="541" spans="9:9" x14ac:dyDescent="0.3">
      <c r="I541" s="101"/>
    </row>
    <row r="542" spans="9:9" x14ac:dyDescent="0.3">
      <c r="I542" s="101"/>
    </row>
    <row r="543" spans="9:9" x14ac:dyDescent="0.3">
      <c r="I543" s="101"/>
    </row>
    <row r="544" spans="9:9" x14ac:dyDescent="0.3">
      <c r="I544" s="101"/>
    </row>
    <row r="545" spans="9:9" x14ac:dyDescent="0.3">
      <c r="I545" s="101"/>
    </row>
    <row r="546" spans="9:9" x14ac:dyDescent="0.3">
      <c r="I546" s="101"/>
    </row>
    <row r="547" spans="9:9" x14ac:dyDescent="0.3">
      <c r="I547" s="101"/>
    </row>
    <row r="548" spans="9:9" x14ac:dyDescent="0.3">
      <c r="I548" s="101"/>
    </row>
    <row r="549" spans="9:9" x14ac:dyDescent="0.3">
      <c r="I549" s="101"/>
    </row>
    <row r="550" spans="9:9" x14ac:dyDescent="0.3">
      <c r="I550" s="101"/>
    </row>
    <row r="551" spans="9:9" x14ac:dyDescent="0.3">
      <c r="I551" s="101"/>
    </row>
    <row r="552" spans="9:9" x14ac:dyDescent="0.3">
      <c r="I552" s="101"/>
    </row>
    <row r="553" spans="9:9" x14ac:dyDescent="0.3">
      <c r="I553" s="101"/>
    </row>
    <row r="554" spans="9:9" x14ac:dyDescent="0.3">
      <c r="I554" s="101"/>
    </row>
    <row r="555" spans="9:9" x14ac:dyDescent="0.3">
      <c r="I555" s="101"/>
    </row>
    <row r="556" spans="9:9" x14ac:dyDescent="0.3">
      <c r="I556" s="101"/>
    </row>
    <row r="557" spans="9:9" x14ac:dyDescent="0.3">
      <c r="I557" s="101"/>
    </row>
    <row r="558" spans="9:9" x14ac:dyDescent="0.3">
      <c r="I558" s="101"/>
    </row>
    <row r="559" spans="9:9" x14ac:dyDescent="0.3">
      <c r="I559" s="101"/>
    </row>
    <row r="560" spans="9:9" x14ac:dyDescent="0.3">
      <c r="I560" s="101"/>
    </row>
    <row r="561" spans="9:9" x14ac:dyDescent="0.3">
      <c r="I561" s="101"/>
    </row>
    <row r="562" spans="9:9" x14ac:dyDescent="0.3">
      <c r="I562" s="101"/>
    </row>
    <row r="563" spans="9:9" x14ac:dyDescent="0.3">
      <c r="I563" s="101"/>
    </row>
    <row r="564" spans="9:9" x14ac:dyDescent="0.3">
      <c r="I564" s="101"/>
    </row>
    <row r="565" spans="9:9" x14ac:dyDescent="0.3">
      <c r="I565" s="101"/>
    </row>
    <row r="566" spans="9:9" x14ac:dyDescent="0.3">
      <c r="I566" s="101"/>
    </row>
    <row r="567" spans="9:9" x14ac:dyDescent="0.3">
      <c r="I567" s="101"/>
    </row>
    <row r="568" spans="9:9" x14ac:dyDescent="0.3">
      <c r="I568" s="101"/>
    </row>
    <row r="569" spans="9:9" x14ac:dyDescent="0.3">
      <c r="I569" s="101"/>
    </row>
    <row r="570" spans="9:9" x14ac:dyDescent="0.3">
      <c r="I570" s="101"/>
    </row>
    <row r="571" spans="9:9" x14ac:dyDescent="0.3">
      <c r="I571" s="101"/>
    </row>
    <row r="572" spans="9:9" x14ac:dyDescent="0.3">
      <c r="I572" s="101"/>
    </row>
    <row r="573" spans="9:9" x14ac:dyDescent="0.3">
      <c r="I573" s="101"/>
    </row>
    <row r="574" spans="9:9" x14ac:dyDescent="0.3">
      <c r="I574" s="101"/>
    </row>
    <row r="575" spans="9:9" x14ac:dyDescent="0.3">
      <c r="I575" s="101"/>
    </row>
    <row r="576" spans="9:9" x14ac:dyDescent="0.3">
      <c r="I576" s="101"/>
    </row>
    <row r="577" spans="9:9" x14ac:dyDescent="0.3">
      <c r="I577" s="101"/>
    </row>
    <row r="578" spans="9:9" x14ac:dyDescent="0.3">
      <c r="I578" s="101"/>
    </row>
    <row r="579" spans="9:9" x14ac:dyDescent="0.3">
      <c r="I579" s="101"/>
    </row>
    <row r="580" spans="9:9" x14ac:dyDescent="0.3">
      <c r="I580" s="101"/>
    </row>
    <row r="581" spans="9:9" x14ac:dyDescent="0.3">
      <c r="I581" s="101"/>
    </row>
    <row r="582" spans="9:9" x14ac:dyDescent="0.3">
      <c r="I582" s="101"/>
    </row>
    <row r="583" spans="9:9" x14ac:dyDescent="0.3">
      <c r="I583" s="101"/>
    </row>
    <row r="584" spans="9:9" x14ac:dyDescent="0.3">
      <c r="I584" s="101"/>
    </row>
    <row r="585" spans="9:9" x14ac:dyDescent="0.3">
      <c r="I585" s="101"/>
    </row>
    <row r="586" spans="9:9" x14ac:dyDescent="0.3">
      <c r="I586" s="101"/>
    </row>
    <row r="587" spans="9:9" x14ac:dyDescent="0.3">
      <c r="I587" s="101"/>
    </row>
    <row r="588" spans="9:9" x14ac:dyDescent="0.3">
      <c r="I588" s="101"/>
    </row>
    <row r="589" spans="9:9" x14ac:dyDescent="0.3">
      <c r="I589" s="101"/>
    </row>
    <row r="590" spans="9:9" x14ac:dyDescent="0.3">
      <c r="I590" s="101"/>
    </row>
    <row r="591" spans="9:9" x14ac:dyDescent="0.3">
      <c r="I591" s="101"/>
    </row>
    <row r="592" spans="9:9" x14ac:dyDescent="0.3">
      <c r="I592" s="101"/>
    </row>
    <row r="593" spans="9:9" x14ac:dyDescent="0.3">
      <c r="I593" s="101"/>
    </row>
    <row r="594" spans="9:9" x14ac:dyDescent="0.3">
      <c r="I594" s="101"/>
    </row>
    <row r="595" spans="9:9" x14ac:dyDescent="0.3">
      <c r="I595" s="101"/>
    </row>
    <row r="596" spans="9:9" x14ac:dyDescent="0.3">
      <c r="I596" s="101"/>
    </row>
    <row r="597" spans="9:9" x14ac:dyDescent="0.3">
      <c r="I597" s="101"/>
    </row>
    <row r="598" spans="9:9" x14ac:dyDescent="0.3">
      <c r="I598" s="101"/>
    </row>
    <row r="599" spans="9:9" x14ac:dyDescent="0.3">
      <c r="I599" s="101"/>
    </row>
    <row r="600" spans="9:9" x14ac:dyDescent="0.3">
      <c r="I600" s="101"/>
    </row>
    <row r="601" spans="9:9" x14ac:dyDescent="0.3">
      <c r="I601" s="101"/>
    </row>
    <row r="602" spans="9:9" x14ac:dyDescent="0.3">
      <c r="I602" s="101"/>
    </row>
    <row r="603" spans="9:9" x14ac:dyDescent="0.3">
      <c r="I603" s="101"/>
    </row>
    <row r="604" spans="9:9" x14ac:dyDescent="0.3">
      <c r="I604" s="101"/>
    </row>
    <row r="605" spans="9:9" x14ac:dyDescent="0.3">
      <c r="I605" s="101"/>
    </row>
    <row r="606" spans="9:9" x14ac:dyDescent="0.3">
      <c r="I606" s="101"/>
    </row>
    <row r="607" spans="9:9" x14ac:dyDescent="0.3">
      <c r="I607" s="101"/>
    </row>
    <row r="608" spans="9:9" x14ac:dyDescent="0.3">
      <c r="I608" s="101"/>
    </row>
    <row r="609" spans="9:9" x14ac:dyDescent="0.3">
      <c r="I609" s="101"/>
    </row>
    <row r="610" spans="9:9" x14ac:dyDescent="0.3">
      <c r="I610" s="101"/>
    </row>
    <row r="611" spans="9:9" x14ac:dyDescent="0.3">
      <c r="I611" s="101"/>
    </row>
    <row r="612" spans="9:9" x14ac:dyDescent="0.3">
      <c r="I612" s="101"/>
    </row>
    <row r="613" spans="9:9" x14ac:dyDescent="0.3">
      <c r="I613" s="101"/>
    </row>
    <row r="614" spans="9:9" x14ac:dyDescent="0.3">
      <c r="I614" s="101"/>
    </row>
    <row r="615" spans="9:9" x14ac:dyDescent="0.3">
      <c r="I615" s="101"/>
    </row>
    <row r="616" spans="9:9" x14ac:dyDescent="0.3">
      <c r="I616" s="101"/>
    </row>
    <row r="617" spans="9:9" x14ac:dyDescent="0.3">
      <c r="I617" s="101"/>
    </row>
    <row r="618" spans="9:9" x14ac:dyDescent="0.3">
      <c r="I618" s="101"/>
    </row>
    <row r="619" spans="9:9" x14ac:dyDescent="0.3">
      <c r="I619" s="101"/>
    </row>
    <row r="620" spans="9:9" x14ac:dyDescent="0.3">
      <c r="I620" s="101"/>
    </row>
    <row r="621" spans="9:9" x14ac:dyDescent="0.3">
      <c r="I621" s="101"/>
    </row>
    <row r="622" spans="9:9" x14ac:dyDescent="0.3">
      <c r="I622" s="101"/>
    </row>
    <row r="623" spans="9:9" x14ac:dyDescent="0.3">
      <c r="I623" s="101"/>
    </row>
    <row r="624" spans="9:9" x14ac:dyDescent="0.3">
      <c r="I624" s="101"/>
    </row>
    <row r="625" spans="9:9" x14ac:dyDescent="0.3">
      <c r="I625" s="101"/>
    </row>
    <row r="626" spans="9:9" x14ac:dyDescent="0.3">
      <c r="I626" s="101"/>
    </row>
    <row r="627" spans="9:9" x14ac:dyDescent="0.3">
      <c r="I627" s="101"/>
    </row>
    <row r="628" spans="9:9" x14ac:dyDescent="0.3">
      <c r="I628" s="101"/>
    </row>
    <row r="629" spans="9:9" x14ac:dyDescent="0.3">
      <c r="I629" s="101"/>
    </row>
    <row r="630" spans="9:9" x14ac:dyDescent="0.3">
      <c r="I630" s="101"/>
    </row>
    <row r="631" spans="9:9" x14ac:dyDescent="0.3">
      <c r="I631" s="101"/>
    </row>
    <row r="632" spans="9:9" x14ac:dyDescent="0.3">
      <c r="I632" s="101"/>
    </row>
    <row r="633" spans="9:9" x14ac:dyDescent="0.3">
      <c r="I633" s="101"/>
    </row>
    <row r="634" spans="9:9" x14ac:dyDescent="0.3">
      <c r="I634" s="101"/>
    </row>
    <row r="635" spans="9:9" x14ac:dyDescent="0.3">
      <c r="I635" s="101"/>
    </row>
    <row r="636" spans="9:9" x14ac:dyDescent="0.3">
      <c r="I636" s="101"/>
    </row>
    <row r="637" spans="9:9" x14ac:dyDescent="0.3">
      <c r="I637" s="101"/>
    </row>
    <row r="638" spans="9:9" x14ac:dyDescent="0.3">
      <c r="I638" s="101"/>
    </row>
    <row r="639" spans="9:9" x14ac:dyDescent="0.3">
      <c r="I639" s="101"/>
    </row>
    <row r="640" spans="9:9" x14ac:dyDescent="0.3">
      <c r="I640" s="101"/>
    </row>
    <row r="641" spans="9:9" x14ac:dyDescent="0.3">
      <c r="I641" s="101"/>
    </row>
    <row r="642" spans="9:9" x14ac:dyDescent="0.3">
      <c r="I642" s="101"/>
    </row>
    <row r="643" spans="9:9" x14ac:dyDescent="0.3">
      <c r="I643" s="101"/>
    </row>
    <row r="644" spans="9:9" x14ac:dyDescent="0.3">
      <c r="I644" s="101"/>
    </row>
    <row r="645" spans="9:9" x14ac:dyDescent="0.3">
      <c r="I645" s="101"/>
    </row>
    <row r="646" spans="9:9" x14ac:dyDescent="0.3">
      <c r="I646" s="101"/>
    </row>
    <row r="647" spans="9:9" x14ac:dyDescent="0.3">
      <c r="I647" s="101"/>
    </row>
    <row r="648" spans="9:9" x14ac:dyDescent="0.3">
      <c r="I648" s="101"/>
    </row>
    <row r="649" spans="9:9" x14ac:dyDescent="0.3">
      <c r="I649" s="101"/>
    </row>
    <row r="650" spans="9:9" x14ac:dyDescent="0.3">
      <c r="I650" s="101"/>
    </row>
    <row r="651" spans="9:9" x14ac:dyDescent="0.3">
      <c r="I651" s="101"/>
    </row>
    <row r="652" spans="9:9" x14ac:dyDescent="0.3">
      <c r="I652" s="101"/>
    </row>
    <row r="653" spans="9:9" x14ac:dyDescent="0.3">
      <c r="I653" s="101"/>
    </row>
    <row r="654" spans="9:9" x14ac:dyDescent="0.3">
      <c r="I654" s="101"/>
    </row>
    <row r="655" spans="9:9" x14ac:dyDescent="0.3">
      <c r="I655" s="101"/>
    </row>
    <row r="656" spans="9:9" x14ac:dyDescent="0.3">
      <c r="I656" s="101"/>
    </row>
    <row r="657" spans="9:9" x14ac:dyDescent="0.3">
      <c r="I657" s="101"/>
    </row>
    <row r="658" spans="9:9" x14ac:dyDescent="0.3">
      <c r="I658" s="101"/>
    </row>
    <row r="659" spans="9:9" x14ac:dyDescent="0.3">
      <c r="I659" s="101"/>
    </row>
    <row r="660" spans="9:9" x14ac:dyDescent="0.3">
      <c r="I660" s="101"/>
    </row>
    <row r="661" spans="9:9" x14ac:dyDescent="0.3">
      <c r="I661" s="101"/>
    </row>
    <row r="662" spans="9:9" x14ac:dyDescent="0.3">
      <c r="I662" s="101"/>
    </row>
    <row r="663" spans="9:9" x14ac:dyDescent="0.3">
      <c r="I663" s="101"/>
    </row>
    <row r="664" spans="9:9" x14ac:dyDescent="0.3">
      <c r="I664" s="101"/>
    </row>
    <row r="665" spans="9:9" x14ac:dyDescent="0.3">
      <c r="I665" s="101"/>
    </row>
    <row r="666" spans="9:9" x14ac:dyDescent="0.3">
      <c r="I666" s="101"/>
    </row>
    <row r="667" spans="9:9" x14ac:dyDescent="0.3">
      <c r="I667" s="101"/>
    </row>
    <row r="668" spans="9:9" x14ac:dyDescent="0.3">
      <c r="I668" s="101"/>
    </row>
    <row r="669" spans="9:9" x14ac:dyDescent="0.3">
      <c r="I669" s="101"/>
    </row>
    <row r="670" spans="9:9" x14ac:dyDescent="0.3">
      <c r="I670" s="101"/>
    </row>
    <row r="671" spans="9:9" x14ac:dyDescent="0.3">
      <c r="I671" s="101"/>
    </row>
    <row r="672" spans="9:9" x14ac:dyDescent="0.3">
      <c r="I672" s="101"/>
    </row>
    <row r="673" spans="9:9" x14ac:dyDescent="0.3">
      <c r="I673" s="101"/>
    </row>
    <row r="674" spans="9:9" x14ac:dyDescent="0.3">
      <c r="I674" s="101"/>
    </row>
    <row r="675" spans="9:9" x14ac:dyDescent="0.3">
      <c r="I675" s="101"/>
    </row>
    <row r="676" spans="9:9" x14ac:dyDescent="0.3">
      <c r="I676" s="101"/>
    </row>
    <row r="677" spans="9:9" x14ac:dyDescent="0.3">
      <c r="I677" s="101"/>
    </row>
    <row r="678" spans="9:9" x14ac:dyDescent="0.3">
      <c r="I678" s="101"/>
    </row>
    <row r="679" spans="9:9" x14ac:dyDescent="0.3">
      <c r="I679" s="101"/>
    </row>
    <row r="680" spans="9:9" x14ac:dyDescent="0.3">
      <c r="I680" s="101"/>
    </row>
    <row r="681" spans="9:9" x14ac:dyDescent="0.3">
      <c r="I681" s="101"/>
    </row>
    <row r="682" spans="9:9" x14ac:dyDescent="0.3">
      <c r="I682" s="101"/>
    </row>
    <row r="683" spans="9:9" x14ac:dyDescent="0.3">
      <c r="I683" s="101"/>
    </row>
    <row r="684" spans="9:9" x14ac:dyDescent="0.3">
      <c r="I684" s="101"/>
    </row>
    <row r="685" spans="9:9" x14ac:dyDescent="0.3">
      <c r="I685" s="101"/>
    </row>
    <row r="686" spans="9:9" x14ac:dyDescent="0.3">
      <c r="I686" s="101"/>
    </row>
    <row r="687" spans="9:9" x14ac:dyDescent="0.3">
      <c r="I687" s="101"/>
    </row>
    <row r="688" spans="9:9" x14ac:dyDescent="0.3">
      <c r="I688" s="101"/>
    </row>
    <row r="689" spans="9:9" x14ac:dyDescent="0.3">
      <c r="I689" s="101"/>
    </row>
    <row r="690" spans="9:9" x14ac:dyDescent="0.3">
      <c r="I690" s="101"/>
    </row>
    <row r="691" spans="9:9" x14ac:dyDescent="0.3">
      <c r="I691" s="101"/>
    </row>
    <row r="692" spans="9:9" x14ac:dyDescent="0.3">
      <c r="I692" s="101"/>
    </row>
    <row r="693" spans="9:9" x14ac:dyDescent="0.3">
      <c r="I693" s="101"/>
    </row>
    <row r="694" spans="9:9" x14ac:dyDescent="0.3">
      <c r="I694" s="101"/>
    </row>
    <row r="695" spans="9:9" x14ac:dyDescent="0.3">
      <c r="I695" s="101"/>
    </row>
    <row r="696" spans="9:9" x14ac:dyDescent="0.3">
      <c r="I696" s="101"/>
    </row>
    <row r="697" spans="9:9" x14ac:dyDescent="0.3">
      <c r="I697" s="101"/>
    </row>
    <row r="698" spans="9:9" x14ac:dyDescent="0.3">
      <c r="I698" s="101"/>
    </row>
    <row r="699" spans="9:9" x14ac:dyDescent="0.3">
      <c r="I699" s="101"/>
    </row>
    <row r="700" spans="9:9" x14ac:dyDescent="0.3">
      <c r="I700" s="101"/>
    </row>
    <row r="701" spans="9:9" x14ac:dyDescent="0.3">
      <c r="I701" s="101"/>
    </row>
    <row r="702" spans="9:9" x14ac:dyDescent="0.3">
      <c r="I702" s="101"/>
    </row>
    <row r="703" spans="9:9" x14ac:dyDescent="0.3">
      <c r="I703" s="101"/>
    </row>
    <row r="704" spans="9:9" x14ac:dyDescent="0.3">
      <c r="I704" s="101"/>
    </row>
    <row r="705" spans="9:9" x14ac:dyDescent="0.3">
      <c r="I705" s="101"/>
    </row>
    <row r="706" spans="9:9" x14ac:dyDescent="0.3">
      <c r="I706" s="101"/>
    </row>
    <row r="707" spans="9:9" x14ac:dyDescent="0.3">
      <c r="I707" s="101"/>
    </row>
    <row r="708" spans="9:9" x14ac:dyDescent="0.3">
      <c r="I708" s="101"/>
    </row>
    <row r="709" spans="9:9" x14ac:dyDescent="0.3">
      <c r="I709" s="101"/>
    </row>
    <row r="710" spans="9:9" x14ac:dyDescent="0.3">
      <c r="I710" s="101"/>
    </row>
    <row r="711" spans="9:9" x14ac:dyDescent="0.3">
      <c r="I711" s="101"/>
    </row>
    <row r="712" spans="9:9" x14ac:dyDescent="0.3">
      <c r="I712" s="101"/>
    </row>
    <row r="713" spans="9:9" x14ac:dyDescent="0.3">
      <c r="I713" s="101"/>
    </row>
    <row r="714" spans="9:9" x14ac:dyDescent="0.3">
      <c r="I714" s="101"/>
    </row>
    <row r="715" spans="9:9" x14ac:dyDescent="0.3">
      <c r="I715" s="101"/>
    </row>
    <row r="716" spans="9:9" x14ac:dyDescent="0.3">
      <c r="I716" s="101"/>
    </row>
    <row r="717" spans="9:9" x14ac:dyDescent="0.3">
      <c r="I717" s="101"/>
    </row>
    <row r="718" spans="9:9" x14ac:dyDescent="0.3">
      <c r="I718" s="101"/>
    </row>
    <row r="719" spans="9:9" x14ac:dyDescent="0.3">
      <c r="I719" s="101"/>
    </row>
    <row r="720" spans="9:9" x14ac:dyDescent="0.3">
      <c r="I720" s="101"/>
    </row>
    <row r="721" spans="9:9" x14ac:dyDescent="0.3">
      <c r="I721" s="101"/>
    </row>
    <row r="722" spans="9:9" x14ac:dyDescent="0.3">
      <c r="I722" s="101"/>
    </row>
    <row r="723" spans="9:9" x14ac:dyDescent="0.3">
      <c r="I723" s="101"/>
    </row>
    <row r="724" spans="9:9" x14ac:dyDescent="0.3">
      <c r="I724" s="101"/>
    </row>
    <row r="725" spans="9:9" x14ac:dyDescent="0.3">
      <c r="I725" s="101"/>
    </row>
    <row r="726" spans="9:9" x14ac:dyDescent="0.3">
      <c r="I726" s="101"/>
    </row>
    <row r="727" spans="9:9" x14ac:dyDescent="0.3">
      <c r="I727" s="101"/>
    </row>
    <row r="728" spans="9:9" x14ac:dyDescent="0.3">
      <c r="I728" s="101"/>
    </row>
    <row r="729" spans="9:9" x14ac:dyDescent="0.3">
      <c r="I729" s="101"/>
    </row>
    <row r="730" spans="9:9" x14ac:dyDescent="0.3">
      <c r="I730" s="101"/>
    </row>
    <row r="731" spans="9:9" x14ac:dyDescent="0.3">
      <c r="I731" s="101"/>
    </row>
    <row r="732" spans="9:9" x14ac:dyDescent="0.3">
      <c r="I732" s="101"/>
    </row>
    <row r="733" spans="9:9" x14ac:dyDescent="0.3">
      <c r="I733" s="101"/>
    </row>
    <row r="734" spans="9:9" x14ac:dyDescent="0.3">
      <c r="I734" s="101"/>
    </row>
    <row r="735" spans="9:9" x14ac:dyDescent="0.3">
      <c r="I735" s="101"/>
    </row>
    <row r="736" spans="9:9" x14ac:dyDescent="0.3">
      <c r="I736" s="101"/>
    </row>
    <row r="737" spans="9:9" x14ac:dyDescent="0.3">
      <c r="I737" s="101"/>
    </row>
    <row r="738" spans="9:9" x14ac:dyDescent="0.3">
      <c r="I738" s="101"/>
    </row>
    <row r="739" spans="9:9" x14ac:dyDescent="0.3">
      <c r="I739" s="101"/>
    </row>
    <row r="740" spans="9:9" x14ac:dyDescent="0.3">
      <c r="I740" s="101"/>
    </row>
    <row r="741" spans="9:9" x14ac:dyDescent="0.3">
      <c r="I741" s="101"/>
    </row>
    <row r="742" spans="9:9" x14ac:dyDescent="0.3">
      <c r="I742" s="101"/>
    </row>
    <row r="743" spans="9:9" x14ac:dyDescent="0.3">
      <c r="I743" s="101"/>
    </row>
    <row r="744" spans="9:9" x14ac:dyDescent="0.3">
      <c r="I744" s="101"/>
    </row>
    <row r="745" spans="9:9" x14ac:dyDescent="0.3">
      <c r="I745" s="101"/>
    </row>
    <row r="746" spans="9:9" x14ac:dyDescent="0.3">
      <c r="I746" s="101"/>
    </row>
    <row r="747" spans="9:9" x14ac:dyDescent="0.3">
      <c r="I747" s="101"/>
    </row>
    <row r="748" spans="9:9" x14ac:dyDescent="0.3">
      <c r="I748" s="101"/>
    </row>
    <row r="749" spans="9:9" x14ac:dyDescent="0.3">
      <c r="I749" s="101"/>
    </row>
    <row r="750" spans="9:9" x14ac:dyDescent="0.3">
      <c r="I750" s="101"/>
    </row>
    <row r="751" spans="9:9" x14ac:dyDescent="0.3">
      <c r="I751" s="101"/>
    </row>
    <row r="752" spans="9:9" x14ac:dyDescent="0.3">
      <c r="I752" s="101"/>
    </row>
    <row r="753" spans="9:9" x14ac:dyDescent="0.3">
      <c r="I753" s="101"/>
    </row>
    <row r="754" spans="9:9" x14ac:dyDescent="0.3">
      <c r="I754" s="101"/>
    </row>
    <row r="755" spans="9:9" x14ac:dyDescent="0.3">
      <c r="I755" s="101"/>
    </row>
    <row r="756" spans="9:9" x14ac:dyDescent="0.3">
      <c r="I756" s="101"/>
    </row>
    <row r="757" spans="9:9" x14ac:dyDescent="0.3">
      <c r="I757" s="101"/>
    </row>
    <row r="758" spans="9:9" x14ac:dyDescent="0.3">
      <c r="I758" s="101"/>
    </row>
    <row r="759" spans="9:9" x14ac:dyDescent="0.3">
      <c r="I759" s="101"/>
    </row>
    <row r="760" spans="9:9" x14ac:dyDescent="0.3">
      <c r="I760" s="101"/>
    </row>
    <row r="761" spans="9:9" x14ac:dyDescent="0.3">
      <c r="I761" s="101"/>
    </row>
    <row r="762" spans="9:9" x14ac:dyDescent="0.3">
      <c r="I762" s="101"/>
    </row>
    <row r="763" spans="9:9" x14ac:dyDescent="0.3">
      <c r="I763" s="101"/>
    </row>
    <row r="764" spans="9:9" x14ac:dyDescent="0.3">
      <c r="I764" s="101"/>
    </row>
    <row r="765" spans="9:9" x14ac:dyDescent="0.3">
      <c r="I765" s="101"/>
    </row>
    <row r="766" spans="9:9" x14ac:dyDescent="0.3">
      <c r="I766" s="101"/>
    </row>
    <row r="767" spans="9:9" x14ac:dyDescent="0.3">
      <c r="I767" s="101"/>
    </row>
    <row r="768" spans="9:9" x14ac:dyDescent="0.3">
      <c r="I768" s="101"/>
    </row>
    <row r="769" spans="9:9" x14ac:dyDescent="0.3">
      <c r="I769" s="101"/>
    </row>
    <row r="770" spans="9:9" x14ac:dyDescent="0.3">
      <c r="I770" s="101"/>
    </row>
    <row r="771" spans="9:9" x14ac:dyDescent="0.3">
      <c r="I771" s="101"/>
    </row>
    <row r="772" spans="9:9" x14ac:dyDescent="0.3">
      <c r="I772" s="101"/>
    </row>
    <row r="773" spans="9:9" x14ac:dyDescent="0.3">
      <c r="I773" s="101"/>
    </row>
    <row r="774" spans="9:9" x14ac:dyDescent="0.3">
      <c r="I774" s="101"/>
    </row>
    <row r="775" spans="9:9" x14ac:dyDescent="0.3">
      <c r="I775" s="101"/>
    </row>
    <row r="776" spans="9:9" x14ac:dyDescent="0.3">
      <c r="I776" s="101"/>
    </row>
    <row r="777" spans="9:9" x14ac:dyDescent="0.3">
      <c r="I777" s="101"/>
    </row>
    <row r="778" spans="9:9" x14ac:dyDescent="0.3">
      <c r="I778" s="101"/>
    </row>
    <row r="779" spans="9:9" x14ac:dyDescent="0.3">
      <c r="I779" s="101"/>
    </row>
    <row r="780" spans="9:9" x14ac:dyDescent="0.3">
      <c r="I780" s="101"/>
    </row>
    <row r="781" spans="9:9" x14ac:dyDescent="0.3">
      <c r="I781" s="101"/>
    </row>
    <row r="782" spans="9:9" x14ac:dyDescent="0.3">
      <c r="I782" s="101"/>
    </row>
    <row r="783" spans="9:9" x14ac:dyDescent="0.3">
      <c r="I783" s="101"/>
    </row>
    <row r="784" spans="9:9" x14ac:dyDescent="0.3">
      <c r="I784" s="101"/>
    </row>
    <row r="785" spans="9:9" x14ac:dyDescent="0.3">
      <c r="I785" s="101"/>
    </row>
    <row r="786" spans="9:9" x14ac:dyDescent="0.3">
      <c r="I786" s="101"/>
    </row>
    <row r="787" spans="9:9" x14ac:dyDescent="0.3">
      <c r="I787" s="101"/>
    </row>
    <row r="788" spans="9:9" x14ac:dyDescent="0.3">
      <c r="I788" s="101"/>
    </row>
    <row r="789" spans="9:9" x14ac:dyDescent="0.3">
      <c r="I789" s="101"/>
    </row>
    <row r="790" spans="9:9" x14ac:dyDescent="0.3">
      <c r="I790" s="101"/>
    </row>
    <row r="791" spans="9:9" x14ac:dyDescent="0.3">
      <c r="I791" s="101"/>
    </row>
    <row r="792" spans="9:9" x14ac:dyDescent="0.3">
      <c r="I792" s="101"/>
    </row>
    <row r="793" spans="9:9" x14ac:dyDescent="0.3">
      <c r="I793" s="101"/>
    </row>
    <row r="794" spans="9:9" x14ac:dyDescent="0.3">
      <c r="I794" s="101"/>
    </row>
    <row r="795" spans="9:9" x14ac:dyDescent="0.3">
      <c r="I795" s="101"/>
    </row>
    <row r="796" spans="9:9" x14ac:dyDescent="0.3">
      <c r="I796" s="101"/>
    </row>
    <row r="797" spans="9:9" x14ac:dyDescent="0.3">
      <c r="I797" s="101"/>
    </row>
    <row r="798" spans="9:9" x14ac:dyDescent="0.3">
      <c r="I798" s="101"/>
    </row>
    <row r="799" spans="9:9" x14ac:dyDescent="0.3">
      <c r="I799" s="101"/>
    </row>
    <row r="800" spans="9:9" x14ac:dyDescent="0.3">
      <c r="I800" s="101"/>
    </row>
    <row r="801" spans="9:9" x14ac:dyDescent="0.3">
      <c r="I801" s="101"/>
    </row>
    <row r="802" spans="9:9" x14ac:dyDescent="0.3">
      <c r="I802" s="101"/>
    </row>
    <row r="803" spans="9:9" x14ac:dyDescent="0.3">
      <c r="I803" s="101"/>
    </row>
    <row r="804" spans="9:9" x14ac:dyDescent="0.3">
      <c r="I804" s="101"/>
    </row>
    <row r="805" spans="9:9" x14ac:dyDescent="0.3">
      <c r="I805" s="101"/>
    </row>
    <row r="806" spans="9:9" x14ac:dyDescent="0.3">
      <c r="I806" s="101"/>
    </row>
    <row r="807" spans="9:9" x14ac:dyDescent="0.3">
      <c r="I807" s="101"/>
    </row>
    <row r="808" spans="9:9" x14ac:dyDescent="0.3">
      <c r="I808" s="101"/>
    </row>
    <row r="809" spans="9:9" x14ac:dyDescent="0.3">
      <c r="I809" s="101"/>
    </row>
    <row r="810" spans="9:9" x14ac:dyDescent="0.3">
      <c r="I810" s="101"/>
    </row>
    <row r="811" spans="9:9" x14ac:dyDescent="0.3">
      <c r="I811" s="101"/>
    </row>
    <row r="812" spans="9:9" x14ac:dyDescent="0.3">
      <c r="I812" s="101"/>
    </row>
    <row r="813" spans="9:9" x14ac:dyDescent="0.3">
      <c r="I813" s="101"/>
    </row>
    <row r="814" spans="9:9" x14ac:dyDescent="0.3">
      <c r="I814" s="101"/>
    </row>
    <row r="815" spans="9:9" x14ac:dyDescent="0.3">
      <c r="I815" s="101"/>
    </row>
    <row r="816" spans="9:9" x14ac:dyDescent="0.3">
      <c r="I816" s="101"/>
    </row>
    <row r="817" spans="9:9" x14ac:dyDescent="0.3">
      <c r="I817" s="101"/>
    </row>
    <row r="818" spans="9:9" x14ac:dyDescent="0.3">
      <c r="I818" s="101"/>
    </row>
    <row r="819" spans="9:9" x14ac:dyDescent="0.3">
      <c r="I819" s="101"/>
    </row>
    <row r="820" spans="9:9" x14ac:dyDescent="0.3">
      <c r="I820" s="101"/>
    </row>
    <row r="821" spans="9:9" x14ac:dyDescent="0.3">
      <c r="I821" s="101"/>
    </row>
    <row r="822" spans="9:9" x14ac:dyDescent="0.3">
      <c r="I822" s="101"/>
    </row>
    <row r="823" spans="9:9" x14ac:dyDescent="0.3">
      <c r="I823" s="101"/>
    </row>
    <row r="824" spans="9:9" x14ac:dyDescent="0.3">
      <c r="I824" s="101"/>
    </row>
    <row r="825" spans="9:9" x14ac:dyDescent="0.3">
      <c r="I825" s="101"/>
    </row>
    <row r="826" spans="9:9" x14ac:dyDescent="0.3">
      <c r="I826" s="101"/>
    </row>
    <row r="827" spans="9:9" x14ac:dyDescent="0.3">
      <c r="I827" s="101"/>
    </row>
    <row r="828" spans="9:9" x14ac:dyDescent="0.3">
      <c r="I828" s="101"/>
    </row>
    <row r="829" spans="9:9" x14ac:dyDescent="0.3">
      <c r="I829" s="101"/>
    </row>
    <row r="830" spans="9:9" x14ac:dyDescent="0.3">
      <c r="I830" s="101"/>
    </row>
    <row r="831" spans="9:9" x14ac:dyDescent="0.3">
      <c r="I831" s="101"/>
    </row>
    <row r="832" spans="9:9" x14ac:dyDescent="0.3">
      <c r="I832" s="101"/>
    </row>
    <row r="833" spans="9:9" x14ac:dyDescent="0.3">
      <c r="I833" s="101"/>
    </row>
    <row r="834" spans="9:9" x14ac:dyDescent="0.3">
      <c r="I834" s="101"/>
    </row>
    <row r="835" spans="9:9" x14ac:dyDescent="0.3">
      <c r="I835" s="101"/>
    </row>
    <row r="836" spans="9:9" x14ac:dyDescent="0.3">
      <c r="I836" s="101"/>
    </row>
    <row r="837" spans="9:9" x14ac:dyDescent="0.3">
      <c r="I837" s="101"/>
    </row>
    <row r="838" spans="9:9" x14ac:dyDescent="0.3">
      <c r="I838" s="101"/>
    </row>
    <row r="839" spans="9:9" x14ac:dyDescent="0.3">
      <c r="I839" s="101"/>
    </row>
    <row r="840" spans="9:9" x14ac:dyDescent="0.3">
      <c r="I840" s="101"/>
    </row>
    <row r="841" spans="9:9" x14ac:dyDescent="0.3">
      <c r="I841" s="101"/>
    </row>
    <row r="842" spans="9:9" x14ac:dyDescent="0.3">
      <c r="I842" s="101"/>
    </row>
    <row r="843" spans="9:9" x14ac:dyDescent="0.3">
      <c r="I843" s="101"/>
    </row>
    <row r="844" spans="9:9" x14ac:dyDescent="0.3">
      <c r="I844" s="101"/>
    </row>
    <row r="845" spans="9:9" x14ac:dyDescent="0.3">
      <c r="I845" s="101"/>
    </row>
    <row r="846" spans="9:9" x14ac:dyDescent="0.3">
      <c r="I846" s="101"/>
    </row>
    <row r="847" spans="9:9" x14ac:dyDescent="0.3">
      <c r="I847" s="101"/>
    </row>
    <row r="848" spans="9:9" x14ac:dyDescent="0.3">
      <c r="I848" s="101"/>
    </row>
    <row r="849" spans="9:9" x14ac:dyDescent="0.3">
      <c r="I849" s="101"/>
    </row>
    <row r="850" spans="9:9" x14ac:dyDescent="0.3">
      <c r="I850" s="101"/>
    </row>
    <row r="851" spans="9:9" x14ac:dyDescent="0.3">
      <c r="I851" s="101"/>
    </row>
    <row r="852" spans="9:9" x14ac:dyDescent="0.3">
      <c r="I852" s="101"/>
    </row>
    <row r="853" spans="9:9" x14ac:dyDescent="0.3">
      <c r="I853" s="101"/>
    </row>
    <row r="854" spans="9:9" x14ac:dyDescent="0.3">
      <c r="I854" s="101"/>
    </row>
    <row r="855" spans="9:9" x14ac:dyDescent="0.3">
      <c r="I855" s="101"/>
    </row>
    <row r="856" spans="9:9" x14ac:dyDescent="0.3">
      <c r="I856" s="101"/>
    </row>
    <row r="857" spans="9:9" x14ac:dyDescent="0.3">
      <c r="I857" s="101"/>
    </row>
    <row r="858" spans="9:9" x14ac:dyDescent="0.3">
      <c r="I858" s="101"/>
    </row>
    <row r="859" spans="9:9" x14ac:dyDescent="0.3">
      <c r="I859" s="101"/>
    </row>
    <row r="860" spans="9:9" x14ac:dyDescent="0.3">
      <c r="I860" s="101"/>
    </row>
    <row r="861" spans="9:9" x14ac:dyDescent="0.3">
      <c r="I861" s="101"/>
    </row>
    <row r="862" spans="9:9" x14ac:dyDescent="0.3">
      <c r="I862" s="101"/>
    </row>
    <row r="863" spans="9:9" x14ac:dyDescent="0.3">
      <c r="I863" s="101"/>
    </row>
    <row r="864" spans="9:9" x14ac:dyDescent="0.3">
      <c r="I864" s="101"/>
    </row>
    <row r="865" spans="9:9" x14ac:dyDescent="0.3">
      <c r="I865" s="101"/>
    </row>
    <row r="866" spans="9:9" x14ac:dyDescent="0.3">
      <c r="I866" s="101"/>
    </row>
    <row r="867" spans="9:9" x14ac:dyDescent="0.3">
      <c r="I867" s="101"/>
    </row>
    <row r="868" spans="9:9" x14ac:dyDescent="0.3">
      <c r="I868" s="101"/>
    </row>
    <row r="869" spans="9:9" x14ac:dyDescent="0.3">
      <c r="I869" s="101"/>
    </row>
    <row r="870" spans="9:9" x14ac:dyDescent="0.3">
      <c r="I870" s="101"/>
    </row>
    <row r="871" spans="9:9" x14ac:dyDescent="0.3">
      <c r="I871" s="101"/>
    </row>
    <row r="872" spans="9:9" x14ac:dyDescent="0.3">
      <c r="I872" s="101"/>
    </row>
    <row r="873" spans="9:9" x14ac:dyDescent="0.3">
      <c r="I873" s="101"/>
    </row>
    <row r="874" spans="9:9" x14ac:dyDescent="0.3">
      <c r="I874" s="101"/>
    </row>
    <row r="875" spans="9:9" x14ac:dyDescent="0.3">
      <c r="I875" s="101"/>
    </row>
    <row r="876" spans="9:9" x14ac:dyDescent="0.3">
      <c r="I876" s="101"/>
    </row>
    <row r="877" spans="9:9" x14ac:dyDescent="0.3">
      <c r="I877" s="101"/>
    </row>
    <row r="878" spans="9:9" x14ac:dyDescent="0.3">
      <c r="I878" s="101"/>
    </row>
    <row r="879" spans="9:9" x14ac:dyDescent="0.3">
      <c r="I879" s="101"/>
    </row>
    <row r="880" spans="9:9" x14ac:dyDescent="0.3">
      <c r="I880" s="101"/>
    </row>
    <row r="881" spans="9:9" x14ac:dyDescent="0.3">
      <c r="I881" s="101"/>
    </row>
    <row r="882" spans="9:9" x14ac:dyDescent="0.3">
      <c r="I882" s="101"/>
    </row>
    <row r="883" spans="9:9" x14ac:dyDescent="0.3">
      <c r="I883" s="101"/>
    </row>
    <row r="884" spans="9:9" x14ac:dyDescent="0.3">
      <c r="I884" s="101"/>
    </row>
    <row r="885" spans="9:9" x14ac:dyDescent="0.3">
      <c r="I885" s="101"/>
    </row>
    <row r="886" spans="9:9" x14ac:dyDescent="0.3">
      <c r="I886" s="101"/>
    </row>
    <row r="887" spans="9:9" x14ac:dyDescent="0.3">
      <c r="I887" s="101"/>
    </row>
    <row r="888" spans="9:9" x14ac:dyDescent="0.3">
      <c r="I888" s="101"/>
    </row>
    <row r="889" spans="9:9" x14ac:dyDescent="0.3">
      <c r="I889" s="101"/>
    </row>
    <row r="890" spans="9:9" x14ac:dyDescent="0.3">
      <c r="I890" s="101"/>
    </row>
    <row r="891" spans="9:9" x14ac:dyDescent="0.3">
      <c r="I891" s="101"/>
    </row>
    <row r="892" spans="9:9" x14ac:dyDescent="0.3">
      <c r="I892" s="101"/>
    </row>
    <row r="893" spans="9:9" x14ac:dyDescent="0.3">
      <c r="I893" s="101"/>
    </row>
    <row r="894" spans="9:9" x14ac:dyDescent="0.3">
      <c r="I894" s="101"/>
    </row>
    <row r="895" spans="9:9" x14ac:dyDescent="0.3">
      <c r="I895" s="101"/>
    </row>
    <row r="896" spans="9:9" x14ac:dyDescent="0.3">
      <c r="I896" s="101"/>
    </row>
    <row r="897" spans="9:9" x14ac:dyDescent="0.3">
      <c r="I897" s="101"/>
    </row>
    <row r="898" spans="9:9" x14ac:dyDescent="0.3">
      <c r="I898" s="101"/>
    </row>
    <row r="899" spans="9:9" x14ac:dyDescent="0.3">
      <c r="I899" s="101"/>
    </row>
    <row r="900" spans="9:9" x14ac:dyDescent="0.3">
      <c r="I900" s="101"/>
    </row>
    <row r="901" spans="9:9" x14ac:dyDescent="0.3">
      <c r="I901" s="101"/>
    </row>
    <row r="902" spans="9:9" x14ac:dyDescent="0.3">
      <c r="I902" s="101"/>
    </row>
    <row r="903" spans="9:9" x14ac:dyDescent="0.3">
      <c r="I903" s="101"/>
    </row>
    <row r="904" spans="9:9" x14ac:dyDescent="0.3">
      <c r="I904" s="101"/>
    </row>
    <row r="905" spans="9:9" x14ac:dyDescent="0.3">
      <c r="I905" s="101"/>
    </row>
    <row r="906" spans="9:9" x14ac:dyDescent="0.3">
      <c r="I906" s="101"/>
    </row>
    <row r="907" spans="9:9" x14ac:dyDescent="0.3">
      <c r="I907" s="101"/>
    </row>
    <row r="908" spans="9:9" x14ac:dyDescent="0.3">
      <c r="I908" s="101"/>
    </row>
    <row r="909" spans="9:9" x14ac:dyDescent="0.3">
      <c r="I909" s="101"/>
    </row>
    <row r="910" spans="9:9" x14ac:dyDescent="0.3">
      <c r="I910" s="101"/>
    </row>
    <row r="911" spans="9:9" x14ac:dyDescent="0.3">
      <c r="I911" s="101"/>
    </row>
    <row r="912" spans="9:9" x14ac:dyDescent="0.3">
      <c r="I912" s="101"/>
    </row>
    <row r="913" spans="9:9" x14ac:dyDescent="0.3">
      <c r="I913" s="101"/>
    </row>
    <row r="914" spans="9:9" x14ac:dyDescent="0.3">
      <c r="I914" s="101"/>
    </row>
    <row r="915" spans="9:9" x14ac:dyDescent="0.3">
      <c r="I915" s="101"/>
    </row>
    <row r="916" spans="9:9" x14ac:dyDescent="0.3">
      <c r="I916" s="101"/>
    </row>
    <row r="917" spans="9:9" x14ac:dyDescent="0.3">
      <c r="I917" s="101"/>
    </row>
    <row r="918" spans="9:9" x14ac:dyDescent="0.3">
      <c r="I918" s="101"/>
    </row>
    <row r="919" spans="9:9" x14ac:dyDescent="0.3">
      <c r="I919" s="101"/>
    </row>
    <row r="920" spans="9:9" x14ac:dyDescent="0.3">
      <c r="I920" s="101"/>
    </row>
    <row r="921" spans="9:9" x14ac:dyDescent="0.3">
      <c r="I921" s="101"/>
    </row>
    <row r="922" spans="9:9" x14ac:dyDescent="0.3">
      <c r="I922" s="101"/>
    </row>
    <row r="923" spans="9:9" x14ac:dyDescent="0.3">
      <c r="I923" s="101"/>
    </row>
    <row r="924" spans="9:9" x14ac:dyDescent="0.3">
      <c r="I924" s="101"/>
    </row>
    <row r="925" spans="9:9" x14ac:dyDescent="0.3">
      <c r="I925" s="101"/>
    </row>
    <row r="926" spans="9:9" x14ac:dyDescent="0.3">
      <c r="I926" s="101"/>
    </row>
    <row r="927" spans="9:9" x14ac:dyDescent="0.3">
      <c r="I927" s="101"/>
    </row>
    <row r="928" spans="9:9" x14ac:dyDescent="0.3">
      <c r="I928" s="101"/>
    </row>
    <row r="929" spans="9:9" x14ac:dyDescent="0.3">
      <c r="I929" s="101"/>
    </row>
    <row r="930" spans="9:9" x14ac:dyDescent="0.3">
      <c r="I930" s="101"/>
    </row>
    <row r="931" spans="9:9" x14ac:dyDescent="0.3">
      <c r="I931" s="101"/>
    </row>
    <row r="932" spans="9:9" x14ac:dyDescent="0.3">
      <c r="I932" s="101"/>
    </row>
    <row r="933" spans="9:9" x14ac:dyDescent="0.3">
      <c r="I933" s="101"/>
    </row>
    <row r="934" spans="9:9" x14ac:dyDescent="0.3">
      <c r="I934" s="101"/>
    </row>
    <row r="935" spans="9:9" x14ac:dyDescent="0.3">
      <c r="I935" s="101"/>
    </row>
    <row r="936" spans="9:9" x14ac:dyDescent="0.3">
      <c r="I936" s="101"/>
    </row>
    <row r="937" spans="9:9" x14ac:dyDescent="0.3">
      <c r="I937" s="101"/>
    </row>
    <row r="938" spans="9:9" x14ac:dyDescent="0.3">
      <c r="I938" s="101"/>
    </row>
    <row r="939" spans="9:9" x14ac:dyDescent="0.3">
      <c r="I939" s="101"/>
    </row>
    <row r="940" spans="9:9" x14ac:dyDescent="0.3">
      <c r="I940" s="101"/>
    </row>
    <row r="941" spans="9:9" x14ac:dyDescent="0.3">
      <c r="I941" s="101"/>
    </row>
    <row r="942" spans="9:9" x14ac:dyDescent="0.3">
      <c r="I942" s="101"/>
    </row>
    <row r="943" spans="9:9" x14ac:dyDescent="0.3">
      <c r="I943" s="101"/>
    </row>
    <row r="944" spans="9:9" x14ac:dyDescent="0.3">
      <c r="I944" s="101"/>
    </row>
    <row r="945" spans="9:9" x14ac:dyDescent="0.3">
      <c r="I945" s="101"/>
    </row>
    <row r="946" spans="9:9" x14ac:dyDescent="0.3">
      <c r="I946" s="101"/>
    </row>
    <row r="947" spans="9:9" x14ac:dyDescent="0.3">
      <c r="I947" s="101"/>
    </row>
    <row r="948" spans="9:9" x14ac:dyDescent="0.3">
      <c r="I948" s="101"/>
    </row>
    <row r="949" spans="9:9" x14ac:dyDescent="0.3">
      <c r="I949" s="101"/>
    </row>
    <row r="950" spans="9:9" x14ac:dyDescent="0.3">
      <c r="I950" s="101"/>
    </row>
    <row r="951" spans="9:9" x14ac:dyDescent="0.3">
      <c r="I951" s="101"/>
    </row>
    <row r="952" spans="9:9" x14ac:dyDescent="0.3">
      <c r="I952" s="101"/>
    </row>
    <row r="953" spans="9:9" x14ac:dyDescent="0.3">
      <c r="I953" s="101"/>
    </row>
    <row r="954" spans="9:9" x14ac:dyDescent="0.3">
      <c r="I954" s="101"/>
    </row>
    <row r="955" spans="9:9" x14ac:dyDescent="0.3">
      <c r="I955" s="101"/>
    </row>
    <row r="956" spans="9:9" x14ac:dyDescent="0.3">
      <c r="I956" s="101"/>
    </row>
    <row r="957" spans="9:9" x14ac:dyDescent="0.3">
      <c r="I957" s="101"/>
    </row>
    <row r="958" spans="9:9" x14ac:dyDescent="0.3">
      <c r="I958" s="101"/>
    </row>
    <row r="959" spans="9:9" x14ac:dyDescent="0.3">
      <c r="I959" s="101"/>
    </row>
    <row r="960" spans="9:9" x14ac:dyDescent="0.3">
      <c r="I960" s="101"/>
    </row>
    <row r="961" spans="9:9" x14ac:dyDescent="0.3">
      <c r="I961" s="101"/>
    </row>
    <row r="962" spans="9:9" x14ac:dyDescent="0.3">
      <c r="I962" s="101"/>
    </row>
    <row r="963" spans="9:9" x14ac:dyDescent="0.3">
      <c r="I963" s="101"/>
    </row>
    <row r="964" spans="9:9" x14ac:dyDescent="0.3">
      <c r="I964" s="101"/>
    </row>
    <row r="965" spans="9:9" x14ac:dyDescent="0.3">
      <c r="I965" s="101"/>
    </row>
    <row r="966" spans="9:9" x14ac:dyDescent="0.3">
      <c r="I966" s="101"/>
    </row>
    <row r="967" spans="9:9" x14ac:dyDescent="0.3">
      <c r="I967" s="101"/>
    </row>
    <row r="968" spans="9:9" x14ac:dyDescent="0.3">
      <c r="I968" s="101"/>
    </row>
    <row r="969" spans="9:9" x14ac:dyDescent="0.3">
      <c r="I969" s="101"/>
    </row>
    <row r="970" spans="9:9" x14ac:dyDescent="0.3">
      <c r="I970" s="101"/>
    </row>
    <row r="971" spans="9:9" x14ac:dyDescent="0.3">
      <c r="I971" s="101"/>
    </row>
    <row r="972" spans="9:9" x14ac:dyDescent="0.3">
      <c r="I972" s="101"/>
    </row>
    <row r="973" spans="9:9" x14ac:dyDescent="0.3">
      <c r="I973" s="101"/>
    </row>
    <row r="974" spans="9:9" x14ac:dyDescent="0.3">
      <c r="I974" s="101"/>
    </row>
    <row r="975" spans="9:9" x14ac:dyDescent="0.3">
      <c r="I975" s="101"/>
    </row>
    <row r="976" spans="9:9" x14ac:dyDescent="0.3">
      <c r="I976" s="101"/>
    </row>
    <row r="977" spans="9:9" x14ac:dyDescent="0.3">
      <c r="I977" s="101"/>
    </row>
    <row r="978" spans="9:9" x14ac:dyDescent="0.3">
      <c r="I978" s="101"/>
    </row>
    <row r="979" spans="9:9" x14ac:dyDescent="0.3">
      <c r="I979" s="101"/>
    </row>
    <row r="980" spans="9:9" x14ac:dyDescent="0.3">
      <c r="I980" s="101"/>
    </row>
    <row r="981" spans="9:9" x14ac:dyDescent="0.3">
      <c r="I981" s="101"/>
    </row>
    <row r="982" spans="9:9" x14ac:dyDescent="0.3">
      <c r="I982" s="101"/>
    </row>
    <row r="983" spans="9:9" x14ac:dyDescent="0.3">
      <c r="I983" s="101"/>
    </row>
    <row r="984" spans="9:9" x14ac:dyDescent="0.3">
      <c r="I984" s="101"/>
    </row>
    <row r="985" spans="9:9" x14ac:dyDescent="0.3">
      <c r="I985" s="101"/>
    </row>
    <row r="986" spans="9:9" x14ac:dyDescent="0.3">
      <c r="I986" s="101"/>
    </row>
    <row r="987" spans="9:9" x14ac:dyDescent="0.3">
      <c r="I987" s="101"/>
    </row>
    <row r="988" spans="9:9" x14ac:dyDescent="0.3">
      <c r="I988" s="101"/>
    </row>
    <row r="989" spans="9:9" x14ac:dyDescent="0.3">
      <c r="I989" s="101"/>
    </row>
    <row r="990" spans="9:9" x14ac:dyDescent="0.3">
      <c r="I990" s="101"/>
    </row>
    <row r="991" spans="9:9" x14ac:dyDescent="0.3">
      <c r="I991" s="101"/>
    </row>
    <row r="992" spans="9:9" x14ac:dyDescent="0.3">
      <c r="I992" s="101"/>
    </row>
    <row r="993" spans="9:9" x14ac:dyDescent="0.3">
      <c r="I993" s="101"/>
    </row>
    <row r="994" spans="9:9" x14ac:dyDescent="0.3">
      <c r="I994" s="101"/>
    </row>
    <row r="995" spans="9:9" x14ac:dyDescent="0.3">
      <c r="I995" s="101"/>
    </row>
    <row r="996" spans="9:9" x14ac:dyDescent="0.3">
      <c r="I996" s="101"/>
    </row>
    <row r="997" spans="9:9" x14ac:dyDescent="0.3">
      <c r="I997" s="101"/>
    </row>
    <row r="998" spans="9:9" x14ac:dyDescent="0.3">
      <c r="I998" s="101"/>
    </row>
    <row r="999" spans="9:9" x14ac:dyDescent="0.3">
      <c r="I999" s="101"/>
    </row>
    <row r="1000" spans="9:9" x14ac:dyDescent="0.3">
      <c r="I1000" s="101"/>
    </row>
    <row r="1001" spans="9:9" x14ac:dyDescent="0.3">
      <c r="I1001" s="101"/>
    </row>
    <row r="1002" spans="9:9" x14ac:dyDescent="0.3">
      <c r="I1002" s="101"/>
    </row>
    <row r="1003" spans="9:9" x14ac:dyDescent="0.3">
      <c r="I1003" s="101"/>
    </row>
    <row r="1004" spans="9:9" x14ac:dyDescent="0.3">
      <c r="I1004" s="101"/>
    </row>
    <row r="1005" spans="9:9" x14ac:dyDescent="0.3">
      <c r="I1005" s="101"/>
    </row>
    <row r="1006" spans="9:9" x14ac:dyDescent="0.3">
      <c r="I1006" s="101"/>
    </row>
    <row r="1007" spans="9:9" x14ac:dyDescent="0.3">
      <c r="I1007" s="101"/>
    </row>
    <row r="1008" spans="9:9" x14ac:dyDescent="0.3">
      <c r="I1008" s="101"/>
    </row>
    <row r="1009" spans="9:9" x14ac:dyDescent="0.3">
      <c r="I1009" s="101"/>
    </row>
    <row r="1010" spans="9:9" x14ac:dyDescent="0.3">
      <c r="I1010" s="101"/>
    </row>
    <row r="1011" spans="9:9" x14ac:dyDescent="0.3">
      <c r="I1011" s="101"/>
    </row>
    <row r="1012" spans="9:9" x14ac:dyDescent="0.3">
      <c r="I1012" s="101"/>
    </row>
    <row r="1013" spans="9:9" x14ac:dyDescent="0.3">
      <c r="I1013" s="101"/>
    </row>
    <row r="1014" spans="9:9" x14ac:dyDescent="0.3">
      <c r="I1014" s="101"/>
    </row>
    <row r="1015" spans="9:9" x14ac:dyDescent="0.3">
      <c r="I1015" s="101"/>
    </row>
    <row r="1016" spans="9:9" x14ac:dyDescent="0.3">
      <c r="I1016" s="101"/>
    </row>
    <row r="1017" spans="9:9" x14ac:dyDescent="0.3">
      <c r="I1017" s="101"/>
    </row>
    <row r="1018" spans="9:9" x14ac:dyDescent="0.3">
      <c r="I1018" s="101"/>
    </row>
    <row r="1019" spans="9:9" x14ac:dyDescent="0.3">
      <c r="I1019" s="101"/>
    </row>
    <row r="1020" spans="9:9" x14ac:dyDescent="0.3">
      <c r="I1020" s="101"/>
    </row>
    <row r="1021" spans="9:9" x14ac:dyDescent="0.3">
      <c r="I1021" s="101"/>
    </row>
    <row r="1022" spans="9:9" x14ac:dyDescent="0.3">
      <c r="I1022" s="101"/>
    </row>
    <row r="1023" spans="9:9" x14ac:dyDescent="0.3">
      <c r="I1023" s="101"/>
    </row>
    <row r="1024" spans="9:9" x14ac:dyDescent="0.3">
      <c r="I1024" s="101"/>
    </row>
    <row r="1025" spans="9:9" x14ac:dyDescent="0.3">
      <c r="I1025" s="101"/>
    </row>
    <row r="1026" spans="9:9" x14ac:dyDescent="0.3">
      <c r="I1026" s="101"/>
    </row>
    <row r="1027" spans="9:9" x14ac:dyDescent="0.3">
      <c r="I1027" s="101"/>
    </row>
    <row r="1028" spans="9:9" x14ac:dyDescent="0.3">
      <c r="I1028" s="101"/>
    </row>
    <row r="1029" spans="9:9" x14ac:dyDescent="0.3">
      <c r="I1029" s="101"/>
    </row>
    <row r="1030" spans="9:9" x14ac:dyDescent="0.3">
      <c r="I1030" s="101"/>
    </row>
    <row r="1031" spans="9:9" x14ac:dyDescent="0.3">
      <c r="I1031" s="101"/>
    </row>
    <row r="1032" spans="9:9" x14ac:dyDescent="0.3">
      <c r="I1032" s="101"/>
    </row>
    <row r="1033" spans="9:9" x14ac:dyDescent="0.3">
      <c r="I1033" s="101"/>
    </row>
    <row r="1034" spans="9:9" x14ac:dyDescent="0.3">
      <c r="I1034" s="101"/>
    </row>
    <row r="1035" spans="9:9" x14ac:dyDescent="0.3">
      <c r="I1035" s="101"/>
    </row>
    <row r="1036" spans="9:9" x14ac:dyDescent="0.3">
      <c r="I1036" s="101"/>
    </row>
    <row r="1037" spans="9:9" x14ac:dyDescent="0.3">
      <c r="I1037" s="101"/>
    </row>
    <row r="1038" spans="9:9" x14ac:dyDescent="0.3">
      <c r="I1038" s="101"/>
    </row>
    <row r="1039" spans="9:9" x14ac:dyDescent="0.3">
      <c r="I1039" s="101"/>
    </row>
    <row r="1040" spans="9:9" x14ac:dyDescent="0.3">
      <c r="I1040" s="101"/>
    </row>
    <row r="1041" spans="9:9" x14ac:dyDescent="0.3">
      <c r="I1041" s="101"/>
    </row>
    <row r="1042" spans="9:9" x14ac:dyDescent="0.3">
      <c r="I1042" s="101"/>
    </row>
    <row r="1043" spans="9:9" x14ac:dyDescent="0.3">
      <c r="I1043" s="101"/>
    </row>
    <row r="1044" spans="9:9" x14ac:dyDescent="0.3">
      <c r="I1044" s="101"/>
    </row>
    <row r="1045" spans="9:9" x14ac:dyDescent="0.3">
      <c r="I1045" s="101"/>
    </row>
    <row r="1046" spans="9:9" x14ac:dyDescent="0.3">
      <c r="I1046" s="101"/>
    </row>
    <row r="1047" spans="9:9" x14ac:dyDescent="0.3">
      <c r="I1047" s="101"/>
    </row>
    <row r="1048" spans="9:9" x14ac:dyDescent="0.3">
      <c r="I1048" s="101"/>
    </row>
    <row r="1049" spans="9:9" x14ac:dyDescent="0.3">
      <c r="I1049" s="101"/>
    </row>
    <row r="1050" spans="9:9" x14ac:dyDescent="0.3">
      <c r="I1050" s="101"/>
    </row>
    <row r="1051" spans="9:9" x14ac:dyDescent="0.3">
      <c r="I1051" s="101"/>
    </row>
    <row r="1052" spans="9:9" x14ac:dyDescent="0.3">
      <c r="I1052" s="101"/>
    </row>
    <row r="1053" spans="9:9" x14ac:dyDescent="0.3">
      <c r="I1053" s="101"/>
    </row>
    <row r="1054" spans="9:9" x14ac:dyDescent="0.3">
      <c r="I1054" s="101"/>
    </row>
    <row r="1055" spans="9:9" x14ac:dyDescent="0.3">
      <c r="I1055" s="101"/>
    </row>
    <row r="1056" spans="9:9" x14ac:dyDescent="0.3">
      <c r="I1056" s="101"/>
    </row>
    <row r="1057" spans="9:9" x14ac:dyDescent="0.3">
      <c r="I1057" s="101"/>
    </row>
    <row r="1058" spans="9:9" x14ac:dyDescent="0.3">
      <c r="I1058" s="101"/>
    </row>
    <row r="1059" spans="9:9" x14ac:dyDescent="0.3">
      <c r="I1059" s="101"/>
    </row>
    <row r="1060" spans="9:9" x14ac:dyDescent="0.3">
      <c r="I1060" s="101"/>
    </row>
    <row r="1061" spans="9:9" x14ac:dyDescent="0.3">
      <c r="I1061" s="101"/>
    </row>
    <row r="1062" spans="9:9" x14ac:dyDescent="0.3">
      <c r="I1062" s="101"/>
    </row>
    <row r="1063" spans="9:9" x14ac:dyDescent="0.3">
      <c r="I1063" s="101"/>
    </row>
    <row r="1064" spans="9:9" x14ac:dyDescent="0.3">
      <c r="I1064" s="101"/>
    </row>
    <row r="1065" spans="9:9" x14ac:dyDescent="0.3">
      <c r="I1065" s="101"/>
    </row>
    <row r="1066" spans="9:9" x14ac:dyDescent="0.3">
      <c r="I1066" s="101"/>
    </row>
    <row r="1067" spans="9:9" x14ac:dyDescent="0.3">
      <c r="I1067" s="101"/>
    </row>
    <row r="1068" spans="9:9" x14ac:dyDescent="0.3">
      <c r="I1068" s="101"/>
    </row>
    <row r="1069" spans="9:9" x14ac:dyDescent="0.3">
      <c r="I1069" s="101"/>
    </row>
    <row r="1070" spans="9:9" x14ac:dyDescent="0.3">
      <c r="I1070" s="101"/>
    </row>
    <row r="1071" spans="9:9" x14ac:dyDescent="0.3">
      <c r="I1071" s="101"/>
    </row>
    <row r="1072" spans="9:9" x14ac:dyDescent="0.3">
      <c r="I1072" s="101"/>
    </row>
    <row r="1073" spans="9:9" x14ac:dyDescent="0.3">
      <c r="I1073" s="101"/>
    </row>
    <row r="1074" spans="9:9" x14ac:dyDescent="0.3">
      <c r="I1074" s="101"/>
    </row>
    <row r="1075" spans="9:9" x14ac:dyDescent="0.3">
      <c r="I1075" s="101"/>
    </row>
    <row r="1076" spans="9:9" x14ac:dyDescent="0.3">
      <c r="I1076" s="101"/>
    </row>
    <row r="1077" spans="9:9" x14ac:dyDescent="0.3">
      <c r="I1077" s="101"/>
    </row>
    <row r="1078" spans="9:9" x14ac:dyDescent="0.3">
      <c r="I1078" s="101"/>
    </row>
    <row r="1079" spans="9:9" x14ac:dyDescent="0.3">
      <c r="I1079" s="101"/>
    </row>
    <row r="1080" spans="9:9" x14ac:dyDescent="0.3">
      <c r="I1080" s="101"/>
    </row>
    <row r="1081" spans="9:9" x14ac:dyDescent="0.3">
      <c r="I1081" s="101"/>
    </row>
    <row r="1082" spans="9:9" x14ac:dyDescent="0.3">
      <c r="I1082" s="101"/>
    </row>
    <row r="1083" spans="9:9" x14ac:dyDescent="0.3">
      <c r="I1083" s="101"/>
    </row>
    <row r="1084" spans="9:9" x14ac:dyDescent="0.3">
      <c r="I1084" s="101"/>
    </row>
    <row r="1085" spans="9:9" x14ac:dyDescent="0.3">
      <c r="I1085" s="101"/>
    </row>
    <row r="1086" spans="9:9" x14ac:dyDescent="0.3">
      <c r="I1086" s="101"/>
    </row>
    <row r="1087" spans="9:9" x14ac:dyDescent="0.3">
      <c r="I1087" s="101"/>
    </row>
    <row r="1088" spans="9:9" x14ac:dyDescent="0.3">
      <c r="I1088" s="101"/>
    </row>
    <row r="1089" spans="9:9" x14ac:dyDescent="0.3">
      <c r="I1089" s="101"/>
    </row>
    <row r="1090" spans="9:9" x14ac:dyDescent="0.3">
      <c r="I1090" s="101"/>
    </row>
    <row r="1091" spans="9:9" x14ac:dyDescent="0.3">
      <c r="I1091" s="101"/>
    </row>
    <row r="1092" spans="9:9" x14ac:dyDescent="0.3">
      <c r="I1092" s="101"/>
    </row>
    <row r="1093" spans="9:9" x14ac:dyDescent="0.3">
      <c r="I1093" s="101"/>
    </row>
    <row r="1094" spans="9:9" x14ac:dyDescent="0.3">
      <c r="I1094" s="101"/>
    </row>
    <row r="1095" spans="9:9" x14ac:dyDescent="0.3">
      <c r="I1095" s="101"/>
    </row>
    <row r="1096" spans="9:9" x14ac:dyDescent="0.3">
      <c r="I1096" s="101"/>
    </row>
    <row r="1097" spans="9:9" x14ac:dyDescent="0.3">
      <c r="I1097" s="101"/>
    </row>
    <row r="1098" spans="9:9" x14ac:dyDescent="0.3">
      <c r="I1098" s="101"/>
    </row>
    <row r="1099" spans="9:9" x14ac:dyDescent="0.3">
      <c r="I1099" s="101"/>
    </row>
    <row r="1100" spans="9:9" x14ac:dyDescent="0.3">
      <c r="I1100" s="101"/>
    </row>
    <row r="1101" spans="9:9" x14ac:dyDescent="0.3">
      <c r="I1101" s="101"/>
    </row>
    <row r="1102" spans="9:9" x14ac:dyDescent="0.3">
      <c r="I1102" s="101"/>
    </row>
    <row r="1103" spans="9:9" x14ac:dyDescent="0.3">
      <c r="I1103" s="101"/>
    </row>
    <row r="1104" spans="9:9" x14ac:dyDescent="0.3">
      <c r="I1104" s="101"/>
    </row>
    <row r="1105" spans="9:9" x14ac:dyDescent="0.3">
      <c r="I1105" s="101"/>
    </row>
    <row r="1106" spans="9:9" x14ac:dyDescent="0.3">
      <c r="I1106" s="101"/>
    </row>
    <row r="1107" spans="9:9" x14ac:dyDescent="0.3">
      <c r="I1107" s="101"/>
    </row>
    <row r="1108" spans="9:9" x14ac:dyDescent="0.3">
      <c r="I1108" s="101"/>
    </row>
    <row r="1109" spans="9:9" x14ac:dyDescent="0.3">
      <c r="I1109" s="101"/>
    </row>
    <row r="1110" spans="9:9" x14ac:dyDescent="0.3">
      <c r="I1110" s="101"/>
    </row>
    <row r="1111" spans="9:9" x14ac:dyDescent="0.3">
      <c r="I1111" s="101"/>
    </row>
    <row r="1112" spans="9:9" x14ac:dyDescent="0.3">
      <c r="I1112" s="101"/>
    </row>
    <row r="1113" spans="9:9" x14ac:dyDescent="0.3">
      <c r="I1113" s="101"/>
    </row>
    <row r="1114" spans="9:9" x14ac:dyDescent="0.3">
      <c r="I1114" s="101"/>
    </row>
    <row r="1115" spans="9:9" x14ac:dyDescent="0.3">
      <c r="I1115" s="101"/>
    </row>
    <row r="1116" spans="9:9" x14ac:dyDescent="0.3">
      <c r="I1116" s="101"/>
    </row>
    <row r="1117" spans="9:9" x14ac:dyDescent="0.3">
      <c r="I1117" s="101"/>
    </row>
    <row r="1118" spans="9:9" x14ac:dyDescent="0.3">
      <c r="I1118" s="101"/>
    </row>
    <row r="1119" spans="9:9" x14ac:dyDescent="0.3">
      <c r="I1119" s="101"/>
    </row>
    <row r="1120" spans="9:9" x14ac:dyDescent="0.3">
      <c r="I1120" s="101"/>
    </row>
    <row r="1121" spans="9:9" x14ac:dyDescent="0.3">
      <c r="I1121" s="101"/>
    </row>
    <row r="1122" spans="9:9" x14ac:dyDescent="0.3">
      <c r="I1122" s="101"/>
    </row>
    <row r="1123" spans="9:9" x14ac:dyDescent="0.3">
      <c r="I1123" s="101"/>
    </row>
    <row r="1124" spans="9:9" x14ac:dyDescent="0.3">
      <c r="I1124" s="101"/>
    </row>
    <row r="1125" spans="9:9" x14ac:dyDescent="0.3">
      <c r="I1125" s="101"/>
    </row>
    <row r="1126" spans="9:9" x14ac:dyDescent="0.3">
      <c r="I1126" s="101"/>
    </row>
    <row r="1127" spans="9:9" x14ac:dyDescent="0.3">
      <c r="I1127" s="101"/>
    </row>
    <row r="1128" spans="9:9" x14ac:dyDescent="0.3">
      <c r="I1128" s="101"/>
    </row>
    <row r="1129" spans="9:9" x14ac:dyDescent="0.3">
      <c r="I1129" s="101"/>
    </row>
    <row r="1130" spans="9:9" x14ac:dyDescent="0.3">
      <c r="I1130" s="101"/>
    </row>
    <row r="1131" spans="9:9" x14ac:dyDescent="0.3">
      <c r="I1131" s="101"/>
    </row>
    <row r="1132" spans="9:9" x14ac:dyDescent="0.3">
      <c r="I1132" s="101"/>
    </row>
    <row r="1133" spans="9:9" x14ac:dyDescent="0.3">
      <c r="I1133" s="101"/>
    </row>
    <row r="1134" spans="9:9" x14ac:dyDescent="0.3">
      <c r="I1134" s="101"/>
    </row>
    <row r="1135" spans="9:9" x14ac:dyDescent="0.3">
      <c r="I1135" s="101"/>
    </row>
    <row r="1136" spans="9:9" x14ac:dyDescent="0.3">
      <c r="I1136" s="101"/>
    </row>
    <row r="1137" spans="9:9" x14ac:dyDescent="0.3">
      <c r="I1137" s="101"/>
    </row>
    <row r="1138" spans="9:9" x14ac:dyDescent="0.3">
      <c r="I1138" s="101"/>
    </row>
    <row r="1139" spans="9:9" x14ac:dyDescent="0.3">
      <c r="I1139" s="101"/>
    </row>
    <row r="1140" spans="9:9" x14ac:dyDescent="0.3">
      <c r="I1140" s="101"/>
    </row>
    <row r="1141" spans="9:9" x14ac:dyDescent="0.3">
      <c r="I1141" s="101"/>
    </row>
    <row r="1142" spans="9:9" x14ac:dyDescent="0.3">
      <c r="I1142" s="101"/>
    </row>
    <row r="1143" spans="9:9" x14ac:dyDescent="0.3">
      <c r="I1143" s="101"/>
    </row>
    <row r="1144" spans="9:9" x14ac:dyDescent="0.3">
      <c r="I1144" s="101"/>
    </row>
    <row r="1145" spans="9:9" x14ac:dyDescent="0.3">
      <c r="I1145" s="101"/>
    </row>
    <row r="1146" spans="9:9" x14ac:dyDescent="0.3">
      <c r="I1146" s="101"/>
    </row>
    <row r="1147" spans="9:9" x14ac:dyDescent="0.3">
      <c r="I1147" s="101"/>
    </row>
    <row r="1148" spans="9:9" x14ac:dyDescent="0.3">
      <c r="I1148" s="101"/>
    </row>
    <row r="1149" spans="9:9" x14ac:dyDescent="0.3">
      <c r="I1149" s="101"/>
    </row>
    <row r="1150" spans="9:9" x14ac:dyDescent="0.3">
      <c r="I1150" s="101"/>
    </row>
    <row r="1151" spans="9:9" x14ac:dyDescent="0.3">
      <c r="I1151" s="101"/>
    </row>
    <row r="1152" spans="9:9" x14ac:dyDescent="0.3">
      <c r="I1152" s="101"/>
    </row>
    <row r="1153" spans="9:9" x14ac:dyDescent="0.3">
      <c r="I1153" s="101"/>
    </row>
    <row r="1154" spans="9:9" x14ac:dyDescent="0.3">
      <c r="I1154" s="101"/>
    </row>
    <row r="1155" spans="9:9" x14ac:dyDescent="0.3">
      <c r="I1155" s="101"/>
    </row>
    <row r="1156" spans="9:9" x14ac:dyDescent="0.3">
      <c r="I1156" s="101"/>
    </row>
    <row r="1157" spans="9:9" x14ac:dyDescent="0.3">
      <c r="I1157" s="101"/>
    </row>
    <row r="1158" spans="9:9" x14ac:dyDescent="0.3">
      <c r="I1158" s="101"/>
    </row>
    <row r="1159" spans="9:9" x14ac:dyDescent="0.3">
      <c r="I1159" s="101"/>
    </row>
    <row r="1160" spans="9:9" x14ac:dyDescent="0.3">
      <c r="I1160" s="101"/>
    </row>
    <row r="1161" spans="9:9" x14ac:dyDescent="0.3">
      <c r="I1161" s="101"/>
    </row>
    <row r="1162" spans="9:9" x14ac:dyDescent="0.3">
      <c r="I1162" s="101"/>
    </row>
    <row r="1163" spans="9:9" x14ac:dyDescent="0.3">
      <c r="I1163" s="101"/>
    </row>
    <row r="1164" spans="9:9" x14ac:dyDescent="0.3">
      <c r="I1164" s="101"/>
    </row>
    <row r="1165" spans="9:9" x14ac:dyDescent="0.3">
      <c r="I1165" s="101"/>
    </row>
    <row r="1166" spans="9:9" x14ac:dyDescent="0.3">
      <c r="I1166" s="101"/>
    </row>
    <row r="1167" spans="9:9" x14ac:dyDescent="0.3">
      <c r="I1167" s="101"/>
    </row>
    <row r="1168" spans="9:9" x14ac:dyDescent="0.3">
      <c r="I1168" s="101"/>
    </row>
    <row r="1169" spans="9:9" x14ac:dyDescent="0.3">
      <c r="I1169" s="101"/>
    </row>
    <row r="1170" spans="9:9" x14ac:dyDescent="0.3">
      <c r="I1170" s="101"/>
    </row>
    <row r="1171" spans="9:9" x14ac:dyDescent="0.3">
      <c r="I1171" s="101"/>
    </row>
    <row r="1172" spans="9:9" x14ac:dyDescent="0.3">
      <c r="I1172" s="101"/>
    </row>
    <row r="1173" spans="9:9" x14ac:dyDescent="0.3">
      <c r="I1173" s="101"/>
    </row>
    <row r="1174" spans="9:9" x14ac:dyDescent="0.3">
      <c r="I1174" s="101"/>
    </row>
    <row r="1175" spans="9:9" x14ac:dyDescent="0.3">
      <c r="I1175" s="101"/>
    </row>
    <row r="1176" spans="9:9" x14ac:dyDescent="0.3">
      <c r="I1176" s="101"/>
    </row>
    <row r="1177" spans="9:9" x14ac:dyDescent="0.3">
      <c r="I1177" s="101"/>
    </row>
    <row r="1178" spans="9:9" x14ac:dyDescent="0.3">
      <c r="I1178" s="101"/>
    </row>
    <row r="1179" spans="9:9" x14ac:dyDescent="0.3">
      <c r="I1179" s="101"/>
    </row>
    <row r="1180" spans="9:9" x14ac:dyDescent="0.3">
      <c r="I1180" s="101"/>
    </row>
    <row r="1181" spans="9:9" x14ac:dyDescent="0.3">
      <c r="I1181" s="101"/>
    </row>
    <row r="1182" spans="9:9" x14ac:dyDescent="0.3">
      <c r="I1182" s="101"/>
    </row>
    <row r="1183" spans="9:9" x14ac:dyDescent="0.3">
      <c r="I1183" s="101"/>
    </row>
    <row r="1184" spans="9:9" x14ac:dyDescent="0.3">
      <c r="I1184" s="101"/>
    </row>
    <row r="1185" spans="9:9" x14ac:dyDescent="0.3">
      <c r="I1185" s="101"/>
    </row>
    <row r="1186" spans="9:9" x14ac:dyDescent="0.3">
      <c r="I1186" s="101"/>
    </row>
    <row r="1187" spans="9:9" x14ac:dyDescent="0.3">
      <c r="I1187" s="101"/>
    </row>
    <row r="1188" spans="9:9" x14ac:dyDescent="0.3">
      <c r="I1188" s="101"/>
    </row>
    <row r="1189" spans="9:9" x14ac:dyDescent="0.3">
      <c r="I1189" s="101"/>
    </row>
    <row r="1190" spans="9:9" x14ac:dyDescent="0.3">
      <c r="I1190" s="101"/>
    </row>
    <row r="1191" spans="9:9" x14ac:dyDescent="0.3">
      <c r="I1191" s="101"/>
    </row>
    <row r="1192" spans="9:9" x14ac:dyDescent="0.3">
      <c r="I1192" s="101"/>
    </row>
    <row r="1193" spans="9:9" x14ac:dyDescent="0.3">
      <c r="I1193" s="101"/>
    </row>
    <row r="1194" spans="9:9" x14ac:dyDescent="0.3">
      <c r="I1194" s="101"/>
    </row>
    <row r="1195" spans="9:9" x14ac:dyDescent="0.3">
      <c r="I1195" s="101"/>
    </row>
    <row r="1196" spans="9:9" x14ac:dyDescent="0.3">
      <c r="I1196" s="101"/>
    </row>
    <row r="1197" spans="9:9" x14ac:dyDescent="0.3">
      <c r="I1197" s="101"/>
    </row>
    <row r="1198" spans="9:9" x14ac:dyDescent="0.3">
      <c r="I1198" s="101"/>
    </row>
    <row r="1199" spans="9:9" x14ac:dyDescent="0.3">
      <c r="I1199" s="101"/>
    </row>
    <row r="1200" spans="9:9" x14ac:dyDescent="0.3">
      <c r="I1200" s="101"/>
    </row>
    <row r="1201" spans="9:9" x14ac:dyDescent="0.3">
      <c r="I1201" s="101"/>
    </row>
    <row r="1202" spans="9:9" x14ac:dyDescent="0.3">
      <c r="I1202" s="101"/>
    </row>
    <row r="1203" spans="9:9" x14ac:dyDescent="0.3">
      <c r="I1203" s="101"/>
    </row>
    <row r="1204" spans="9:9" x14ac:dyDescent="0.3">
      <c r="I1204" s="101"/>
    </row>
    <row r="1205" spans="9:9" x14ac:dyDescent="0.3">
      <c r="I1205" s="101"/>
    </row>
    <row r="1206" spans="9:9" x14ac:dyDescent="0.3">
      <c r="I1206" s="101"/>
    </row>
    <row r="1207" spans="9:9" x14ac:dyDescent="0.3">
      <c r="I1207" s="101"/>
    </row>
    <row r="1208" spans="9:9" x14ac:dyDescent="0.3">
      <c r="I1208" s="101"/>
    </row>
    <row r="1209" spans="9:9" x14ac:dyDescent="0.3">
      <c r="I1209" s="101"/>
    </row>
    <row r="1210" spans="9:9" x14ac:dyDescent="0.3">
      <c r="I1210" s="101"/>
    </row>
    <row r="1211" spans="9:9" x14ac:dyDescent="0.3">
      <c r="I1211" s="101"/>
    </row>
    <row r="1212" spans="9:9" x14ac:dyDescent="0.3">
      <c r="I1212" s="101"/>
    </row>
    <row r="1213" spans="9:9" x14ac:dyDescent="0.3">
      <c r="I1213" s="101"/>
    </row>
    <row r="1214" spans="9:9" x14ac:dyDescent="0.3">
      <c r="I1214" s="101"/>
    </row>
    <row r="1215" spans="9:9" x14ac:dyDescent="0.3">
      <c r="I1215" s="101"/>
    </row>
    <row r="1216" spans="9:9" x14ac:dyDescent="0.3">
      <c r="I1216" s="101"/>
    </row>
    <row r="1217" spans="9:9" x14ac:dyDescent="0.3">
      <c r="I1217" s="101"/>
    </row>
    <row r="1218" spans="9:9" x14ac:dyDescent="0.3">
      <c r="I1218" s="101"/>
    </row>
    <row r="1219" spans="9:9" x14ac:dyDescent="0.3">
      <c r="I1219" s="101"/>
    </row>
    <row r="1220" spans="9:9" x14ac:dyDescent="0.3">
      <c r="I1220" s="101"/>
    </row>
    <row r="1221" spans="9:9" x14ac:dyDescent="0.3">
      <c r="I1221" s="101"/>
    </row>
    <row r="1222" spans="9:9" x14ac:dyDescent="0.3">
      <c r="I1222" s="101"/>
    </row>
    <row r="1223" spans="9:9" x14ac:dyDescent="0.3">
      <c r="I1223" s="101"/>
    </row>
    <row r="1224" spans="9:9" x14ac:dyDescent="0.3">
      <c r="I1224" s="101"/>
    </row>
    <row r="1225" spans="9:9" x14ac:dyDescent="0.3">
      <c r="I1225" s="101"/>
    </row>
    <row r="1226" spans="9:9" x14ac:dyDescent="0.3">
      <c r="I1226" s="101"/>
    </row>
    <row r="1227" spans="9:9" x14ac:dyDescent="0.3">
      <c r="I1227" s="101"/>
    </row>
    <row r="1228" spans="9:9" x14ac:dyDescent="0.3">
      <c r="I1228" s="101"/>
    </row>
    <row r="1229" spans="9:9" x14ac:dyDescent="0.3">
      <c r="I1229" s="101"/>
    </row>
    <row r="1230" spans="9:9" x14ac:dyDescent="0.3">
      <c r="I1230" s="101"/>
    </row>
    <row r="1231" spans="9:9" x14ac:dyDescent="0.3">
      <c r="I1231" s="101"/>
    </row>
    <row r="1232" spans="9:9" x14ac:dyDescent="0.3">
      <c r="I1232" s="101"/>
    </row>
    <row r="1233" spans="9:9" x14ac:dyDescent="0.3">
      <c r="I1233" s="101"/>
    </row>
    <row r="1234" spans="9:9" x14ac:dyDescent="0.3">
      <c r="I1234" s="101"/>
    </row>
    <row r="1235" spans="9:9" x14ac:dyDescent="0.3">
      <c r="I1235" s="101"/>
    </row>
    <row r="1236" spans="9:9" x14ac:dyDescent="0.3">
      <c r="I1236" s="101"/>
    </row>
    <row r="1237" spans="9:9" x14ac:dyDescent="0.3">
      <c r="I1237" s="101"/>
    </row>
    <row r="1238" spans="9:9" x14ac:dyDescent="0.3">
      <c r="I1238" s="101"/>
    </row>
    <row r="1239" spans="9:9" x14ac:dyDescent="0.3">
      <c r="I1239" s="101"/>
    </row>
    <row r="1240" spans="9:9" x14ac:dyDescent="0.3">
      <c r="I1240" s="101"/>
    </row>
    <row r="1241" spans="9:9" x14ac:dyDescent="0.3">
      <c r="I1241" s="101"/>
    </row>
    <row r="1242" spans="9:9" x14ac:dyDescent="0.3">
      <c r="I1242" s="101"/>
    </row>
    <row r="1243" spans="9:9" x14ac:dyDescent="0.3">
      <c r="I1243" s="101"/>
    </row>
    <row r="1244" spans="9:9" x14ac:dyDescent="0.3">
      <c r="I1244" s="101"/>
    </row>
    <row r="1245" spans="9:9" x14ac:dyDescent="0.3">
      <c r="I1245" s="101"/>
    </row>
    <row r="1246" spans="9:9" x14ac:dyDescent="0.3">
      <c r="I1246" s="101"/>
    </row>
    <row r="1247" spans="9:9" x14ac:dyDescent="0.3">
      <c r="I1247" s="101"/>
    </row>
    <row r="1248" spans="9:9" x14ac:dyDescent="0.3">
      <c r="I1248" s="101"/>
    </row>
    <row r="1249" spans="9:9" x14ac:dyDescent="0.3">
      <c r="I1249" s="101"/>
    </row>
    <row r="1250" spans="9:9" x14ac:dyDescent="0.3">
      <c r="I1250" s="101"/>
    </row>
    <row r="1251" spans="9:9" x14ac:dyDescent="0.3">
      <c r="I1251" s="101"/>
    </row>
    <row r="1252" spans="9:9" x14ac:dyDescent="0.3">
      <c r="I1252" s="101"/>
    </row>
    <row r="1253" spans="9:9" x14ac:dyDescent="0.3">
      <c r="I1253" s="101"/>
    </row>
    <row r="1254" spans="9:9" x14ac:dyDescent="0.3">
      <c r="I1254" s="101"/>
    </row>
    <row r="1255" spans="9:9" x14ac:dyDescent="0.3">
      <c r="I1255" s="101"/>
    </row>
    <row r="1256" spans="9:9" x14ac:dyDescent="0.3">
      <c r="I1256" s="101"/>
    </row>
    <row r="1257" spans="9:9" x14ac:dyDescent="0.3">
      <c r="I1257" s="101"/>
    </row>
    <row r="1258" spans="9:9" x14ac:dyDescent="0.3">
      <c r="I1258" s="101"/>
    </row>
    <row r="1259" spans="9:9" x14ac:dyDescent="0.3">
      <c r="I1259" s="101"/>
    </row>
    <row r="1260" spans="9:9" x14ac:dyDescent="0.3">
      <c r="I1260" s="101"/>
    </row>
    <row r="1261" spans="9:9" x14ac:dyDescent="0.3">
      <c r="I1261" s="101"/>
    </row>
    <row r="1262" spans="9:9" x14ac:dyDescent="0.3">
      <c r="I1262" s="101"/>
    </row>
    <row r="1263" spans="9:9" x14ac:dyDescent="0.3">
      <c r="I1263" s="101"/>
    </row>
    <row r="1264" spans="9:9" x14ac:dyDescent="0.3">
      <c r="I1264" s="101"/>
    </row>
    <row r="1265" spans="9:9" x14ac:dyDescent="0.3">
      <c r="I1265" s="101"/>
    </row>
    <row r="1266" spans="9:9" x14ac:dyDescent="0.3">
      <c r="I1266" s="101"/>
    </row>
    <row r="1267" spans="9:9" x14ac:dyDescent="0.3">
      <c r="I1267" s="101"/>
    </row>
    <row r="1268" spans="9:9" x14ac:dyDescent="0.3">
      <c r="I1268" s="101"/>
    </row>
    <row r="1269" spans="9:9" x14ac:dyDescent="0.3">
      <c r="I1269" s="101"/>
    </row>
    <row r="1270" spans="9:9" x14ac:dyDescent="0.3">
      <c r="I1270" s="101"/>
    </row>
    <row r="1271" spans="9:9" x14ac:dyDescent="0.3">
      <c r="I1271" s="101"/>
    </row>
    <row r="1272" spans="9:9" x14ac:dyDescent="0.3">
      <c r="I1272" s="101"/>
    </row>
    <row r="1273" spans="9:9" x14ac:dyDescent="0.3">
      <c r="I1273" s="101"/>
    </row>
    <row r="1274" spans="9:9" x14ac:dyDescent="0.3">
      <c r="I1274" s="101"/>
    </row>
    <row r="1275" spans="9:9" x14ac:dyDescent="0.3">
      <c r="I1275" s="101"/>
    </row>
    <row r="1276" spans="9:9" x14ac:dyDescent="0.3">
      <c r="I1276" s="101"/>
    </row>
    <row r="1277" spans="9:9" x14ac:dyDescent="0.3">
      <c r="I1277" s="101"/>
    </row>
    <row r="1278" spans="9:9" x14ac:dyDescent="0.3">
      <c r="I1278" s="101"/>
    </row>
    <row r="1279" spans="9:9" x14ac:dyDescent="0.3">
      <c r="I1279" s="101"/>
    </row>
    <row r="1280" spans="9:9" x14ac:dyDescent="0.3">
      <c r="I1280" s="101"/>
    </row>
    <row r="1281" spans="9:9" x14ac:dyDescent="0.3">
      <c r="I1281" s="101"/>
    </row>
    <row r="1282" spans="9:9" x14ac:dyDescent="0.3">
      <c r="I1282" s="101"/>
    </row>
    <row r="1283" spans="9:9" x14ac:dyDescent="0.3">
      <c r="I1283" s="101"/>
    </row>
    <row r="1284" spans="9:9" x14ac:dyDescent="0.3">
      <c r="I1284" s="101"/>
    </row>
    <row r="1285" spans="9:9" x14ac:dyDescent="0.3">
      <c r="I1285" s="101"/>
    </row>
    <row r="1286" spans="9:9" x14ac:dyDescent="0.3">
      <c r="I1286" s="101"/>
    </row>
    <row r="1287" spans="9:9" x14ac:dyDescent="0.3">
      <c r="I1287" s="101"/>
    </row>
    <row r="1288" spans="9:9" x14ac:dyDescent="0.3">
      <c r="I1288" s="101"/>
    </row>
    <row r="1289" spans="9:9" x14ac:dyDescent="0.3">
      <c r="I1289" s="101"/>
    </row>
    <row r="1290" spans="9:9" x14ac:dyDescent="0.3">
      <c r="I1290" s="101"/>
    </row>
    <row r="1291" spans="9:9" x14ac:dyDescent="0.3">
      <c r="I1291" s="101"/>
    </row>
    <row r="1292" spans="9:9" x14ac:dyDescent="0.3">
      <c r="I1292" s="101"/>
    </row>
    <row r="1293" spans="9:9" x14ac:dyDescent="0.3">
      <c r="I1293" s="101"/>
    </row>
    <row r="1294" spans="9:9" x14ac:dyDescent="0.3">
      <c r="I1294" s="101"/>
    </row>
    <row r="1295" spans="9:9" x14ac:dyDescent="0.3">
      <c r="I1295" s="101"/>
    </row>
    <row r="1296" spans="9:9" x14ac:dyDescent="0.3">
      <c r="I1296" s="101"/>
    </row>
    <row r="1297" spans="9:9" x14ac:dyDescent="0.3">
      <c r="I1297" s="101"/>
    </row>
    <row r="1298" spans="9:9" x14ac:dyDescent="0.3">
      <c r="I1298" s="101"/>
    </row>
    <row r="1299" spans="9:9" x14ac:dyDescent="0.3">
      <c r="I1299" s="101"/>
    </row>
    <row r="1300" spans="9:9" x14ac:dyDescent="0.3">
      <c r="I1300" s="101"/>
    </row>
    <row r="1301" spans="9:9" x14ac:dyDescent="0.3">
      <c r="I1301" s="101"/>
    </row>
    <row r="1302" spans="9:9" x14ac:dyDescent="0.3">
      <c r="I1302" s="101"/>
    </row>
    <row r="1303" spans="9:9" x14ac:dyDescent="0.3">
      <c r="I1303" s="101"/>
    </row>
    <row r="1304" spans="9:9" x14ac:dyDescent="0.3">
      <c r="I1304" s="101"/>
    </row>
    <row r="1305" spans="9:9" x14ac:dyDescent="0.3">
      <c r="I1305" s="101"/>
    </row>
    <row r="1306" spans="9:9" x14ac:dyDescent="0.3">
      <c r="I1306" s="101"/>
    </row>
    <row r="1307" spans="9:9" x14ac:dyDescent="0.3">
      <c r="I1307" s="101"/>
    </row>
    <row r="1308" spans="9:9" x14ac:dyDescent="0.3">
      <c r="I1308" s="101"/>
    </row>
    <row r="1309" spans="9:9" x14ac:dyDescent="0.3">
      <c r="I1309" s="101"/>
    </row>
    <row r="1310" spans="9:9" x14ac:dyDescent="0.3">
      <c r="I1310" s="101"/>
    </row>
    <row r="1311" spans="9:9" x14ac:dyDescent="0.3">
      <c r="I1311" s="101"/>
    </row>
    <row r="1312" spans="9:9" x14ac:dyDescent="0.3">
      <c r="I1312" s="101"/>
    </row>
    <row r="1313" spans="9:9" x14ac:dyDescent="0.3">
      <c r="I1313" s="101"/>
    </row>
    <row r="1314" spans="9:9" x14ac:dyDescent="0.3">
      <c r="I1314" s="101"/>
    </row>
    <row r="1315" spans="9:9" x14ac:dyDescent="0.3">
      <c r="I1315" s="101"/>
    </row>
    <row r="1316" spans="9:9" x14ac:dyDescent="0.3">
      <c r="I1316" s="101"/>
    </row>
    <row r="1317" spans="9:9" x14ac:dyDescent="0.3">
      <c r="I1317" s="101"/>
    </row>
    <row r="1318" spans="9:9" x14ac:dyDescent="0.3">
      <c r="I1318" s="101"/>
    </row>
    <row r="1319" spans="9:9" x14ac:dyDescent="0.3">
      <c r="I1319" s="101"/>
    </row>
    <row r="1320" spans="9:9" x14ac:dyDescent="0.3">
      <c r="I1320" s="101"/>
    </row>
    <row r="1321" spans="9:9" x14ac:dyDescent="0.3">
      <c r="I1321" s="101"/>
    </row>
    <row r="1322" spans="9:9" x14ac:dyDescent="0.3">
      <c r="I1322" s="101"/>
    </row>
    <row r="1323" spans="9:9" x14ac:dyDescent="0.3">
      <c r="I1323" s="101"/>
    </row>
    <row r="1324" spans="9:9" x14ac:dyDescent="0.3">
      <c r="I1324" s="101"/>
    </row>
    <row r="1325" spans="9:9" x14ac:dyDescent="0.3">
      <c r="I1325" s="101"/>
    </row>
    <row r="1326" spans="9:9" x14ac:dyDescent="0.3">
      <c r="I1326" s="101"/>
    </row>
    <row r="1327" spans="9:9" x14ac:dyDescent="0.3">
      <c r="I1327" s="101"/>
    </row>
    <row r="1328" spans="9:9" x14ac:dyDescent="0.3">
      <c r="I1328" s="101"/>
    </row>
    <row r="1329" spans="9:9" x14ac:dyDescent="0.3">
      <c r="I1329" s="101"/>
    </row>
    <row r="1330" spans="9:9" x14ac:dyDescent="0.3">
      <c r="I1330" s="101"/>
    </row>
    <row r="1331" spans="9:9" x14ac:dyDescent="0.3">
      <c r="I1331" s="101"/>
    </row>
    <row r="1332" spans="9:9" x14ac:dyDescent="0.3">
      <c r="I1332" s="101"/>
    </row>
    <row r="1333" spans="9:9" x14ac:dyDescent="0.3">
      <c r="I1333" s="101"/>
    </row>
    <row r="1334" spans="9:9" x14ac:dyDescent="0.3">
      <c r="I1334" s="101"/>
    </row>
    <row r="1335" spans="9:9" x14ac:dyDescent="0.3">
      <c r="I1335" s="101"/>
    </row>
    <row r="1336" spans="9:9" x14ac:dyDescent="0.3">
      <c r="I1336" s="101"/>
    </row>
    <row r="1337" spans="9:9" x14ac:dyDescent="0.3">
      <c r="I1337" s="101"/>
    </row>
    <row r="1338" spans="9:9" x14ac:dyDescent="0.3">
      <c r="I1338" s="101"/>
    </row>
    <row r="1339" spans="9:9" x14ac:dyDescent="0.3">
      <c r="I1339" s="101"/>
    </row>
    <row r="1340" spans="9:9" x14ac:dyDescent="0.3">
      <c r="I1340" s="101"/>
    </row>
    <row r="1341" spans="9:9" x14ac:dyDescent="0.3">
      <c r="I1341" s="101"/>
    </row>
    <row r="1342" spans="9:9" x14ac:dyDescent="0.3">
      <c r="I1342" s="101"/>
    </row>
    <row r="1343" spans="9:9" x14ac:dyDescent="0.3">
      <c r="I1343" s="101"/>
    </row>
    <row r="1344" spans="9:9" x14ac:dyDescent="0.3">
      <c r="I1344" s="101"/>
    </row>
    <row r="1345" spans="9:9" x14ac:dyDescent="0.3">
      <c r="I1345" s="101"/>
    </row>
    <row r="1346" spans="9:9" x14ac:dyDescent="0.3">
      <c r="I1346" s="101"/>
    </row>
    <row r="1347" spans="9:9" x14ac:dyDescent="0.3">
      <c r="I1347" s="101"/>
    </row>
    <row r="1348" spans="9:9" x14ac:dyDescent="0.3">
      <c r="I1348" s="101"/>
    </row>
    <row r="1349" spans="9:9" x14ac:dyDescent="0.3">
      <c r="I1349" s="101"/>
    </row>
    <row r="1350" spans="9:9" x14ac:dyDescent="0.3">
      <c r="I1350" s="101"/>
    </row>
    <row r="1351" spans="9:9" x14ac:dyDescent="0.3">
      <c r="I1351" s="101"/>
    </row>
    <row r="1352" spans="9:9" x14ac:dyDescent="0.3">
      <c r="I1352" s="101"/>
    </row>
    <row r="1353" spans="9:9" x14ac:dyDescent="0.3">
      <c r="I1353" s="101"/>
    </row>
    <row r="1354" spans="9:9" x14ac:dyDescent="0.3">
      <c r="I1354" s="101"/>
    </row>
    <row r="1355" spans="9:9" x14ac:dyDescent="0.3">
      <c r="I1355" s="101"/>
    </row>
    <row r="1356" spans="9:9" x14ac:dyDescent="0.3">
      <c r="I1356" s="101"/>
    </row>
    <row r="1357" spans="9:9" x14ac:dyDescent="0.3">
      <c r="I1357" s="101"/>
    </row>
    <row r="1358" spans="9:9" x14ac:dyDescent="0.3">
      <c r="I1358" s="101"/>
    </row>
    <row r="1359" spans="9:9" x14ac:dyDescent="0.3">
      <c r="I1359" s="101"/>
    </row>
    <row r="1360" spans="9:9" x14ac:dyDescent="0.3">
      <c r="I1360" s="101"/>
    </row>
    <row r="1361" spans="9:9" x14ac:dyDescent="0.3">
      <c r="I1361" s="101"/>
    </row>
    <row r="1362" spans="9:9" x14ac:dyDescent="0.3">
      <c r="I1362" s="101"/>
    </row>
    <row r="1363" spans="9:9" x14ac:dyDescent="0.3">
      <c r="I1363" s="101"/>
    </row>
    <row r="1364" spans="9:9" x14ac:dyDescent="0.3">
      <c r="I1364" s="101"/>
    </row>
    <row r="1365" spans="9:9" x14ac:dyDescent="0.3">
      <c r="I1365" s="101"/>
    </row>
    <row r="1366" spans="9:9" x14ac:dyDescent="0.3">
      <c r="I1366" s="101"/>
    </row>
    <row r="1367" spans="9:9" x14ac:dyDescent="0.3">
      <c r="I1367" s="101"/>
    </row>
    <row r="1368" spans="9:9" x14ac:dyDescent="0.3">
      <c r="I1368" s="101"/>
    </row>
    <row r="1369" spans="9:9" x14ac:dyDescent="0.3">
      <c r="I1369" s="101"/>
    </row>
    <row r="1370" spans="9:9" x14ac:dyDescent="0.3">
      <c r="I1370" s="101"/>
    </row>
    <row r="1371" spans="9:9" x14ac:dyDescent="0.3">
      <c r="I1371" s="101"/>
    </row>
    <row r="1372" spans="9:9" x14ac:dyDescent="0.3">
      <c r="I1372" s="101"/>
    </row>
    <row r="1373" spans="9:9" x14ac:dyDescent="0.3">
      <c r="I1373" s="101"/>
    </row>
    <row r="1374" spans="9:9" x14ac:dyDescent="0.3">
      <c r="I1374" s="101"/>
    </row>
    <row r="1375" spans="9:9" x14ac:dyDescent="0.3">
      <c r="I1375" s="101"/>
    </row>
    <row r="1376" spans="9:9" x14ac:dyDescent="0.3">
      <c r="I1376" s="101"/>
    </row>
    <row r="1377" spans="9:9" x14ac:dyDescent="0.3">
      <c r="I1377" s="101"/>
    </row>
    <row r="1378" spans="9:9" x14ac:dyDescent="0.3">
      <c r="I1378" s="101"/>
    </row>
    <row r="1379" spans="9:9" x14ac:dyDescent="0.3">
      <c r="I1379" s="101"/>
    </row>
    <row r="1380" spans="9:9" x14ac:dyDescent="0.3">
      <c r="I1380" s="101"/>
    </row>
    <row r="1381" spans="9:9" x14ac:dyDescent="0.3">
      <c r="I1381" s="101"/>
    </row>
    <row r="1382" spans="9:9" x14ac:dyDescent="0.3">
      <c r="I1382" s="101"/>
    </row>
    <row r="1383" spans="9:9" x14ac:dyDescent="0.3">
      <c r="I1383" s="101"/>
    </row>
    <row r="1384" spans="9:9" x14ac:dyDescent="0.3">
      <c r="I1384" s="101"/>
    </row>
    <row r="1385" spans="9:9" x14ac:dyDescent="0.3">
      <c r="I1385" s="101"/>
    </row>
    <row r="1386" spans="9:9" x14ac:dyDescent="0.3">
      <c r="I1386" s="101"/>
    </row>
    <row r="1387" spans="9:9" x14ac:dyDescent="0.3">
      <c r="I1387" s="101"/>
    </row>
    <row r="1388" spans="9:9" x14ac:dyDescent="0.3">
      <c r="I1388" s="101"/>
    </row>
    <row r="1389" spans="9:9" x14ac:dyDescent="0.3">
      <c r="I1389" s="101"/>
    </row>
    <row r="1390" spans="9:9" x14ac:dyDescent="0.3">
      <c r="I1390" s="101"/>
    </row>
    <row r="1391" spans="9:9" x14ac:dyDescent="0.3">
      <c r="I1391" s="101"/>
    </row>
    <row r="1392" spans="9:9" x14ac:dyDescent="0.3">
      <c r="I1392" s="101"/>
    </row>
    <row r="1393" spans="9:9" x14ac:dyDescent="0.3">
      <c r="I1393" s="101"/>
    </row>
    <row r="1394" spans="9:9" x14ac:dyDescent="0.3">
      <c r="I1394" s="101"/>
    </row>
    <row r="1395" spans="9:9" x14ac:dyDescent="0.3">
      <c r="I1395" s="101"/>
    </row>
    <row r="1396" spans="9:9" x14ac:dyDescent="0.3">
      <c r="I1396" s="101"/>
    </row>
    <row r="1397" spans="9:9" x14ac:dyDescent="0.3">
      <c r="I1397" s="101"/>
    </row>
    <row r="1398" spans="9:9" x14ac:dyDescent="0.3">
      <c r="I1398" s="101"/>
    </row>
    <row r="1399" spans="9:9" x14ac:dyDescent="0.3">
      <c r="I1399" s="101"/>
    </row>
    <row r="1400" spans="9:9" x14ac:dyDescent="0.3">
      <c r="I1400" s="101"/>
    </row>
    <row r="1401" spans="9:9" x14ac:dyDescent="0.3">
      <c r="I1401" s="101"/>
    </row>
    <row r="1402" spans="9:9" x14ac:dyDescent="0.3">
      <c r="I1402" s="101"/>
    </row>
    <row r="1403" spans="9:9" x14ac:dyDescent="0.3">
      <c r="I1403" s="101"/>
    </row>
    <row r="1404" spans="9:9" x14ac:dyDescent="0.3">
      <c r="I1404" s="101"/>
    </row>
    <row r="1405" spans="9:9" x14ac:dyDescent="0.3">
      <c r="I1405" s="101"/>
    </row>
    <row r="1406" spans="9:9" x14ac:dyDescent="0.3">
      <c r="I1406" s="101"/>
    </row>
    <row r="1407" spans="9:9" x14ac:dyDescent="0.3">
      <c r="I1407" s="101"/>
    </row>
    <row r="1408" spans="9:9" x14ac:dyDescent="0.3">
      <c r="I1408" s="101"/>
    </row>
    <row r="1409" spans="9:9" x14ac:dyDescent="0.3">
      <c r="I1409" s="101"/>
    </row>
    <row r="1410" spans="9:9" x14ac:dyDescent="0.3">
      <c r="I1410" s="101"/>
    </row>
    <row r="1411" spans="9:9" x14ac:dyDescent="0.3">
      <c r="I1411" s="101"/>
    </row>
    <row r="1412" spans="9:9" x14ac:dyDescent="0.3">
      <c r="I1412" s="101"/>
    </row>
    <row r="1413" spans="9:9" x14ac:dyDescent="0.3">
      <c r="I1413" s="101"/>
    </row>
    <row r="1414" spans="9:9" x14ac:dyDescent="0.3">
      <c r="I1414" s="101"/>
    </row>
    <row r="1415" spans="9:9" x14ac:dyDescent="0.3">
      <c r="I1415" s="101"/>
    </row>
    <row r="1416" spans="9:9" x14ac:dyDescent="0.3">
      <c r="I1416" s="101"/>
    </row>
    <row r="1417" spans="9:9" x14ac:dyDescent="0.3">
      <c r="I1417" s="101"/>
    </row>
    <row r="1418" spans="9:9" x14ac:dyDescent="0.3">
      <c r="I1418" s="101"/>
    </row>
    <row r="1419" spans="9:9" x14ac:dyDescent="0.3">
      <c r="I1419" s="101"/>
    </row>
    <row r="1420" spans="9:9" x14ac:dyDescent="0.3">
      <c r="I1420" s="101"/>
    </row>
    <row r="1421" spans="9:9" x14ac:dyDescent="0.3">
      <c r="I1421" s="101"/>
    </row>
    <row r="1422" spans="9:9" x14ac:dyDescent="0.3">
      <c r="I1422" s="101"/>
    </row>
    <row r="1423" spans="9:9" x14ac:dyDescent="0.3">
      <c r="I1423" s="101"/>
    </row>
    <row r="1424" spans="9:9" x14ac:dyDescent="0.3">
      <c r="I1424" s="101"/>
    </row>
    <row r="1425" spans="9:9" x14ac:dyDescent="0.3">
      <c r="I1425" s="101"/>
    </row>
    <row r="1426" spans="9:9" x14ac:dyDescent="0.3">
      <c r="I1426" s="101"/>
    </row>
    <row r="1427" spans="9:9" x14ac:dyDescent="0.3">
      <c r="I1427" s="101"/>
    </row>
    <row r="1428" spans="9:9" x14ac:dyDescent="0.3">
      <c r="I1428" s="101"/>
    </row>
    <row r="1429" spans="9:9" x14ac:dyDescent="0.3">
      <c r="I1429" s="101"/>
    </row>
    <row r="1430" spans="9:9" x14ac:dyDescent="0.3">
      <c r="I1430" s="101"/>
    </row>
    <row r="1431" spans="9:9" x14ac:dyDescent="0.3">
      <c r="I1431" s="101"/>
    </row>
    <row r="1432" spans="9:9" x14ac:dyDescent="0.3">
      <c r="I1432" s="101"/>
    </row>
    <row r="1433" spans="9:9" x14ac:dyDescent="0.3">
      <c r="I1433" s="101"/>
    </row>
    <row r="1434" spans="9:9" x14ac:dyDescent="0.3">
      <c r="I1434" s="101"/>
    </row>
    <row r="1435" spans="9:9" x14ac:dyDescent="0.3">
      <c r="I1435" s="101"/>
    </row>
    <row r="1436" spans="9:9" x14ac:dyDescent="0.3">
      <c r="I1436" s="101"/>
    </row>
    <row r="1437" spans="9:9" x14ac:dyDescent="0.3">
      <c r="I1437" s="101"/>
    </row>
    <row r="1438" spans="9:9" x14ac:dyDescent="0.3">
      <c r="I1438" s="101"/>
    </row>
    <row r="1439" spans="9:9" x14ac:dyDescent="0.3">
      <c r="I1439" s="101"/>
    </row>
    <row r="1440" spans="9:9" x14ac:dyDescent="0.3">
      <c r="I1440" s="101"/>
    </row>
    <row r="1441" spans="9:9" x14ac:dyDescent="0.3">
      <c r="I1441" s="101"/>
    </row>
    <row r="1442" spans="9:9" x14ac:dyDescent="0.3">
      <c r="I1442" s="101"/>
    </row>
    <row r="1443" spans="9:9" x14ac:dyDescent="0.3">
      <c r="I1443" s="101"/>
    </row>
    <row r="1444" spans="9:9" x14ac:dyDescent="0.3">
      <c r="I1444" s="101"/>
    </row>
    <row r="1445" spans="9:9" x14ac:dyDescent="0.3">
      <c r="I1445" s="101"/>
    </row>
    <row r="1446" spans="9:9" x14ac:dyDescent="0.3">
      <c r="I1446" s="101"/>
    </row>
    <row r="1447" spans="9:9" x14ac:dyDescent="0.3">
      <c r="I1447" s="101"/>
    </row>
    <row r="1448" spans="9:9" x14ac:dyDescent="0.3">
      <c r="I1448" s="101"/>
    </row>
    <row r="1449" spans="9:9" x14ac:dyDescent="0.3">
      <c r="I1449" s="101"/>
    </row>
    <row r="1450" spans="9:9" x14ac:dyDescent="0.3">
      <c r="I1450" s="101"/>
    </row>
    <row r="1451" spans="9:9" x14ac:dyDescent="0.3">
      <c r="I1451" s="101"/>
    </row>
    <row r="1452" spans="9:9" x14ac:dyDescent="0.3">
      <c r="I1452" s="101"/>
    </row>
    <row r="1453" spans="9:9" x14ac:dyDescent="0.3">
      <c r="I1453" s="101"/>
    </row>
    <row r="1454" spans="9:9" x14ac:dyDescent="0.3">
      <c r="I1454" s="101"/>
    </row>
    <row r="1455" spans="9:9" x14ac:dyDescent="0.3">
      <c r="I1455" s="101"/>
    </row>
    <row r="1456" spans="9:9" x14ac:dyDescent="0.3">
      <c r="I1456" s="101"/>
    </row>
    <row r="1457" spans="9:9" x14ac:dyDescent="0.3">
      <c r="I1457" s="101"/>
    </row>
    <row r="1458" spans="9:9" x14ac:dyDescent="0.3">
      <c r="I1458" s="101"/>
    </row>
    <row r="1459" spans="9:9" x14ac:dyDescent="0.3">
      <c r="I1459" s="101"/>
    </row>
    <row r="1460" spans="9:9" x14ac:dyDescent="0.3">
      <c r="I1460" s="101"/>
    </row>
    <row r="1461" spans="9:9" x14ac:dyDescent="0.3">
      <c r="I1461" s="101"/>
    </row>
    <row r="1462" spans="9:9" x14ac:dyDescent="0.3">
      <c r="I1462" s="101"/>
    </row>
    <row r="1463" spans="9:9" x14ac:dyDescent="0.3">
      <c r="I1463" s="101"/>
    </row>
    <row r="1464" spans="9:9" x14ac:dyDescent="0.3">
      <c r="I1464" s="101"/>
    </row>
    <row r="1465" spans="9:9" x14ac:dyDescent="0.3">
      <c r="I1465" s="101"/>
    </row>
    <row r="1466" spans="9:9" x14ac:dyDescent="0.3">
      <c r="I1466" s="101"/>
    </row>
    <row r="1467" spans="9:9" x14ac:dyDescent="0.3">
      <c r="I1467" s="101"/>
    </row>
    <row r="1468" spans="9:9" x14ac:dyDescent="0.3">
      <c r="I1468" s="101"/>
    </row>
    <row r="1469" spans="9:9" x14ac:dyDescent="0.3">
      <c r="I1469" s="101"/>
    </row>
    <row r="1470" spans="9:9" x14ac:dyDescent="0.3">
      <c r="I1470" s="101"/>
    </row>
    <row r="1471" spans="9:9" x14ac:dyDescent="0.3">
      <c r="I1471" s="101"/>
    </row>
    <row r="1472" spans="9:9" x14ac:dyDescent="0.3">
      <c r="I1472" s="101"/>
    </row>
    <row r="1473" spans="9:9" x14ac:dyDescent="0.3">
      <c r="I1473" s="101"/>
    </row>
    <row r="1474" spans="9:9" x14ac:dyDescent="0.3">
      <c r="I1474" s="101"/>
    </row>
    <row r="1475" spans="9:9" x14ac:dyDescent="0.3">
      <c r="I1475" s="101"/>
    </row>
    <row r="1476" spans="9:9" x14ac:dyDescent="0.3">
      <c r="I1476" s="101"/>
    </row>
    <row r="1477" spans="9:9" x14ac:dyDescent="0.3">
      <c r="I1477" s="101"/>
    </row>
    <row r="1478" spans="9:9" x14ac:dyDescent="0.3">
      <c r="I1478" s="101"/>
    </row>
    <row r="1479" spans="9:9" x14ac:dyDescent="0.3">
      <c r="I1479" s="101"/>
    </row>
    <row r="1480" spans="9:9" x14ac:dyDescent="0.3">
      <c r="I1480" s="101"/>
    </row>
    <row r="1481" spans="9:9" x14ac:dyDescent="0.3">
      <c r="I1481" s="101"/>
    </row>
    <row r="1482" spans="9:9" x14ac:dyDescent="0.3">
      <c r="I1482" s="101"/>
    </row>
    <row r="1483" spans="9:9" x14ac:dyDescent="0.3">
      <c r="I1483" s="101"/>
    </row>
    <row r="1484" spans="9:9" x14ac:dyDescent="0.3">
      <c r="I1484" s="101"/>
    </row>
    <row r="1485" spans="9:9" x14ac:dyDescent="0.3">
      <c r="I1485" s="101"/>
    </row>
    <row r="1486" spans="9:9" x14ac:dyDescent="0.3">
      <c r="I1486" s="101"/>
    </row>
    <row r="1487" spans="9:9" x14ac:dyDescent="0.3">
      <c r="I1487" s="101"/>
    </row>
    <row r="1488" spans="9:9" x14ac:dyDescent="0.3">
      <c r="I1488" s="101"/>
    </row>
    <row r="1489" spans="9:9" x14ac:dyDescent="0.3">
      <c r="I1489" s="101"/>
    </row>
    <row r="1490" spans="9:9" x14ac:dyDescent="0.3">
      <c r="I1490" s="101"/>
    </row>
    <row r="1491" spans="9:9" x14ac:dyDescent="0.3">
      <c r="I1491" s="101"/>
    </row>
    <row r="1492" spans="9:9" x14ac:dyDescent="0.3">
      <c r="I1492" s="101"/>
    </row>
    <row r="1493" spans="9:9" x14ac:dyDescent="0.3">
      <c r="I1493" s="101"/>
    </row>
    <row r="1494" spans="9:9" x14ac:dyDescent="0.3">
      <c r="I1494" s="101"/>
    </row>
    <row r="1495" spans="9:9" x14ac:dyDescent="0.3">
      <c r="I1495" s="101"/>
    </row>
    <row r="1496" spans="9:9" x14ac:dyDescent="0.3">
      <c r="I1496" s="101"/>
    </row>
    <row r="1497" spans="9:9" x14ac:dyDescent="0.3">
      <c r="I1497" s="101"/>
    </row>
    <row r="1498" spans="9:9" x14ac:dyDescent="0.3">
      <c r="I1498" s="101"/>
    </row>
    <row r="1499" spans="9:9" x14ac:dyDescent="0.3">
      <c r="I1499" s="101"/>
    </row>
    <row r="1500" spans="9:9" x14ac:dyDescent="0.3">
      <c r="I1500" s="101"/>
    </row>
    <row r="1501" spans="9:9" x14ac:dyDescent="0.3">
      <c r="I1501" s="101"/>
    </row>
    <row r="1502" spans="9:9" x14ac:dyDescent="0.3">
      <c r="I1502" s="101"/>
    </row>
    <row r="1503" spans="9:9" x14ac:dyDescent="0.3">
      <c r="I1503" s="101"/>
    </row>
    <row r="1504" spans="9:9" x14ac:dyDescent="0.3">
      <c r="I1504" s="101"/>
    </row>
    <row r="1505" spans="9:9" x14ac:dyDescent="0.3">
      <c r="I1505" s="101"/>
    </row>
    <row r="1506" spans="9:9" x14ac:dyDescent="0.3">
      <c r="I1506" s="101"/>
    </row>
    <row r="1507" spans="9:9" x14ac:dyDescent="0.3">
      <c r="I1507" s="101"/>
    </row>
    <row r="1508" spans="9:9" x14ac:dyDescent="0.3">
      <c r="I1508" s="101"/>
    </row>
    <row r="1509" spans="9:9" x14ac:dyDescent="0.3">
      <c r="I1509" s="101"/>
    </row>
    <row r="1510" spans="9:9" x14ac:dyDescent="0.3">
      <c r="I1510" s="101"/>
    </row>
    <row r="1511" spans="9:9" x14ac:dyDescent="0.3">
      <c r="I1511" s="101"/>
    </row>
    <row r="1512" spans="9:9" x14ac:dyDescent="0.3">
      <c r="I1512" s="101"/>
    </row>
    <row r="1513" spans="9:9" x14ac:dyDescent="0.3">
      <c r="I1513" s="101"/>
    </row>
    <row r="1514" spans="9:9" x14ac:dyDescent="0.3">
      <c r="I1514" s="101"/>
    </row>
    <row r="1515" spans="9:9" x14ac:dyDescent="0.3">
      <c r="I1515" s="101"/>
    </row>
    <row r="1516" spans="9:9" x14ac:dyDescent="0.3">
      <c r="I1516" s="101"/>
    </row>
    <row r="1517" spans="9:9" x14ac:dyDescent="0.3">
      <c r="I1517" s="101"/>
    </row>
    <row r="1518" spans="9:9" x14ac:dyDescent="0.3">
      <c r="I1518" s="101"/>
    </row>
    <row r="1519" spans="9:9" x14ac:dyDescent="0.3">
      <c r="I1519" s="101"/>
    </row>
    <row r="1520" spans="9:9" x14ac:dyDescent="0.3">
      <c r="I1520" s="101"/>
    </row>
    <row r="1521" spans="9:9" x14ac:dyDescent="0.3">
      <c r="I1521" s="101"/>
    </row>
    <row r="1522" spans="9:9" x14ac:dyDescent="0.3">
      <c r="I1522" s="101"/>
    </row>
    <row r="1523" spans="9:9" x14ac:dyDescent="0.3">
      <c r="I1523" s="101"/>
    </row>
    <row r="1524" spans="9:9" x14ac:dyDescent="0.3">
      <c r="I1524" s="101"/>
    </row>
    <row r="1525" spans="9:9" x14ac:dyDescent="0.3">
      <c r="I1525" s="101"/>
    </row>
    <row r="1526" spans="9:9" x14ac:dyDescent="0.3">
      <c r="I1526" s="101"/>
    </row>
    <row r="1527" spans="9:9" x14ac:dyDescent="0.3">
      <c r="I1527" s="101"/>
    </row>
    <row r="1528" spans="9:9" x14ac:dyDescent="0.3">
      <c r="I1528" s="101"/>
    </row>
    <row r="1529" spans="9:9" x14ac:dyDescent="0.3">
      <c r="I1529" s="101"/>
    </row>
    <row r="1530" spans="9:9" x14ac:dyDescent="0.3">
      <c r="I1530" s="101"/>
    </row>
    <row r="1531" spans="9:9" x14ac:dyDescent="0.3">
      <c r="I1531" s="101"/>
    </row>
    <row r="1532" spans="9:9" x14ac:dyDescent="0.3">
      <c r="I1532" s="101"/>
    </row>
    <row r="1533" spans="9:9" x14ac:dyDescent="0.3">
      <c r="I1533" s="101"/>
    </row>
    <row r="1534" spans="9:9" x14ac:dyDescent="0.3">
      <c r="I1534" s="101"/>
    </row>
    <row r="1535" spans="9:9" x14ac:dyDescent="0.3">
      <c r="I1535" s="101"/>
    </row>
    <row r="1536" spans="9:9" x14ac:dyDescent="0.3">
      <c r="I1536" s="101"/>
    </row>
    <row r="1537" spans="9:9" x14ac:dyDescent="0.3">
      <c r="I1537" s="101"/>
    </row>
    <row r="1538" spans="9:9" x14ac:dyDescent="0.3">
      <c r="I1538" s="101"/>
    </row>
    <row r="1539" spans="9:9" x14ac:dyDescent="0.3">
      <c r="I1539" s="101"/>
    </row>
    <row r="1540" spans="9:9" x14ac:dyDescent="0.3">
      <c r="I1540" s="101"/>
    </row>
    <row r="1541" spans="9:9" x14ac:dyDescent="0.3">
      <c r="I1541" s="101"/>
    </row>
    <row r="1542" spans="9:9" x14ac:dyDescent="0.3">
      <c r="I1542" s="101"/>
    </row>
    <row r="1543" spans="9:9" x14ac:dyDescent="0.3">
      <c r="I1543" s="101"/>
    </row>
    <row r="1544" spans="9:9" x14ac:dyDescent="0.3">
      <c r="I1544" s="101"/>
    </row>
    <row r="1545" spans="9:9" x14ac:dyDescent="0.3">
      <c r="I1545" s="101"/>
    </row>
    <row r="1546" spans="9:9" x14ac:dyDescent="0.3">
      <c r="I1546" s="101"/>
    </row>
    <row r="1547" spans="9:9" x14ac:dyDescent="0.3">
      <c r="I1547" s="101"/>
    </row>
    <row r="1548" spans="9:9" x14ac:dyDescent="0.3">
      <c r="I1548" s="101"/>
    </row>
    <row r="1549" spans="9:9" x14ac:dyDescent="0.3">
      <c r="I1549" s="101"/>
    </row>
    <row r="1550" spans="9:9" x14ac:dyDescent="0.3">
      <c r="I1550" s="101"/>
    </row>
    <row r="1551" spans="9:9" x14ac:dyDescent="0.3">
      <c r="I1551" s="101"/>
    </row>
    <row r="1552" spans="9:9" x14ac:dyDescent="0.3">
      <c r="I1552" s="101"/>
    </row>
    <row r="1553" spans="9:9" x14ac:dyDescent="0.3">
      <c r="I1553" s="101"/>
    </row>
    <row r="1554" spans="9:9" x14ac:dyDescent="0.3">
      <c r="I1554" s="101"/>
    </row>
    <row r="1555" spans="9:9" x14ac:dyDescent="0.3">
      <c r="I1555" s="101"/>
    </row>
    <row r="1556" spans="9:9" x14ac:dyDescent="0.3">
      <c r="I1556" s="101"/>
    </row>
    <row r="1557" spans="9:9" x14ac:dyDescent="0.3">
      <c r="I1557" s="101"/>
    </row>
    <row r="1558" spans="9:9" x14ac:dyDescent="0.3">
      <c r="I1558" s="101"/>
    </row>
    <row r="1559" spans="9:9" x14ac:dyDescent="0.3">
      <c r="I1559" s="101"/>
    </row>
    <row r="1560" spans="9:9" x14ac:dyDescent="0.3">
      <c r="I1560" s="101"/>
    </row>
    <row r="1561" spans="9:9" x14ac:dyDescent="0.3">
      <c r="I1561" s="101"/>
    </row>
    <row r="1562" spans="9:9" x14ac:dyDescent="0.3">
      <c r="I1562" s="101"/>
    </row>
    <row r="1563" spans="9:9" x14ac:dyDescent="0.3">
      <c r="I1563" s="101"/>
    </row>
    <row r="1564" spans="9:9" x14ac:dyDescent="0.3">
      <c r="I1564" s="101"/>
    </row>
    <row r="1565" spans="9:9" x14ac:dyDescent="0.3">
      <c r="I1565" s="101"/>
    </row>
    <row r="1566" spans="9:9" x14ac:dyDescent="0.3">
      <c r="I1566" s="101"/>
    </row>
    <row r="1567" spans="9:9" x14ac:dyDescent="0.3">
      <c r="I1567" s="101"/>
    </row>
    <row r="1568" spans="9:9" x14ac:dyDescent="0.3">
      <c r="I1568" s="101"/>
    </row>
    <row r="1569" spans="9:9" x14ac:dyDescent="0.3">
      <c r="I1569" s="101"/>
    </row>
    <row r="1570" spans="9:9" x14ac:dyDescent="0.3">
      <c r="I1570" s="101"/>
    </row>
    <row r="1571" spans="9:9" x14ac:dyDescent="0.3">
      <c r="I1571" s="101"/>
    </row>
    <row r="1572" spans="9:9" x14ac:dyDescent="0.3">
      <c r="I1572" s="101"/>
    </row>
    <row r="1573" spans="9:9" x14ac:dyDescent="0.3">
      <c r="I1573" s="101"/>
    </row>
    <row r="1574" spans="9:9" x14ac:dyDescent="0.3">
      <c r="I1574" s="101"/>
    </row>
    <row r="1575" spans="9:9" x14ac:dyDescent="0.3">
      <c r="I1575" s="101"/>
    </row>
    <row r="1576" spans="9:9" x14ac:dyDescent="0.3">
      <c r="I1576" s="101"/>
    </row>
    <row r="1577" spans="9:9" x14ac:dyDescent="0.3">
      <c r="I1577" s="101"/>
    </row>
    <row r="1578" spans="9:9" x14ac:dyDescent="0.3">
      <c r="I1578" s="101"/>
    </row>
    <row r="1579" spans="9:9" x14ac:dyDescent="0.3">
      <c r="I1579" s="101"/>
    </row>
    <row r="1580" spans="9:9" x14ac:dyDescent="0.3">
      <c r="I1580" s="101"/>
    </row>
    <row r="1581" spans="9:9" x14ac:dyDescent="0.3">
      <c r="I1581" s="101"/>
    </row>
    <row r="1582" spans="9:9" x14ac:dyDescent="0.3">
      <c r="I1582" s="101"/>
    </row>
    <row r="1583" spans="9:9" x14ac:dyDescent="0.3">
      <c r="I1583" s="101"/>
    </row>
    <row r="1584" spans="9:9" x14ac:dyDescent="0.3">
      <c r="I1584" s="101"/>
    </row>
    <row r="1585" spans="9:9" x14ac:dyDescent="0.3">
      <c r="I1585" s="101"/>
    </row>
    <row r="1586" spans="9:9" x14ac:dyDescent="0.3">
      <c r="I1586" s="101"/>
    </row>
    <row r="1587" spans="9:9" x14ac:dyDescent="0.3">
      <c r="I1587" s="101"/>
    </row>
    <row r="1588" spans="9:9" x14ac:dyDescent="0.3">
      <c r="I1588" s="101"/>
    </row>
    <row r="1589" spans="9:9" x14ac:dyDescent="0.3">
      <c r="I1589" s="101"/>
    </row>
    <row r="1590" spans="9:9" x14ac:dyDescent="0.3">
      <c r="I1590" s="101"/>
    </row>
    <row r="1591" spans="9:9" x14ac:dyDescent="0.3">
      <c r="I1591" s="101"/>
    </row>
    <row r="1592" spans="9:9" x14ac:dyDescent="0.3">
      <c r="I1592" s="101"/>
    </row>
    <row r="1593" spans="9:9" x14ac:dyDescent="0.3">
      <c r="I1593" s="101"/>
    </row>
    <row r="1594" spans="9:9" x14ac:dyDescent="0.3">
      <c r="I1594" s="101"/>
    </row>
    <row r="1595" spans="9:9" x14ac:dyDescent="0.3">
      <c r="I1595" s="101"/>
    </row>
    <row r="1596" spans="9:9" x14ac:dyDescent="0.3">
      <c r="I1596" s="101"/>
    </row>
    <row r="1597" spans="9:9" x14ac:dyDescent="0.3">
      <c r="I1597" s="101"/>
    </row>
    <row r="1598" spans="9:9" x14ac:dyDescent="0.3">
      <c r="I1598" s="101"/>
    </row>
    <row r="1599" spans="9:9" x14ac:dyDescent="0.3">
      <c r="I1599" s="101"/>
    </row>
    <row r="1600" spans="9:9" x14ac:dyDescent="0.3">
      <c r="I1600" s="101"/>
    </row>
    <row r="1601" spans="9:9" x14ac:dyDescent="0.3">
      <c r="I1601" s="101"/>
    </row>
    <row r="1602" spans="9:9" x14ac:dyDescent="0.3">
      <c r="I1602" s="101"/>
    </row>
    <row r="1603" spans="9:9" x14ac:dyDescent="0.3">
      <c r="I1603" s="101"/>
    </row>
    <row r="1604" spans="9:9" x14ac:dyDescent="0.3">
      <c r="I1604" s="101"/>
    </row>
    <row r="1605" spans="9:9" x14ac:dyDescent="0.3">
      <c r="I1605" s="101"/>
    </row>
    <row r="1606" spans="9:9" x14ac:dyDescent="0.3">
      <c r="I1606" s="101"/>
    </row>
    <row r="1607" spans="9:9" x14ac:dyDescent="0.3">
      <c r="I1607" s="101"/>
    </row>
    <row r="1608" spans="9:9" x14ac:dyDescent="0.3">
      <c r="I1608" s="101"/>
    </row>
    <row r="1609" spans="9:9" x14ac:dyDescent="0.3">
      <c r="I1609" s="101"/>
    </row>
    <row r="1610" spans="9:9" x14ac:dyDescent="0.3">
      <c r="I1610" s="101"/>
    </row>
    <row r="1611" spans="9:9" x14ac:dyDescent="0.3">
      <c r="I1611" s="101"/>
    </row>
    <row r="1612" spans="9:9" x14ac:dyDescent="0.3">
      <c r="I1612" s="101"/>
    </row>
    <row r="1613" spans="9:9" x14ac:dyDescent="0.3">
      <c r="I1613" s="101"/>
    </row>
    <row r="1614" spans="9:9" x14ac:dyDescent="0.3">
      <c r="I1614" s="101"/>
    </row>
    <row r="1615" spans="9:9" x14ac:dyDescent="0.3">
      <c r="I1615" s="101"/>
    </row>
    <row r="1616" spans="9:9" x14ac:dyDescent="0.3">
      <c r="I1616" s="101"/>
    </row>
    <row r="1617" spans="9:9" x14ac:dyDescent="0.3">
      <c r="I1617" s="101"/>
    </row>
    <row r="1618" spans="9:9" x14ac:dyDescent="0.3">
      <c r="I1618" s="101"/>
    </row>
    <row r="1619" spans="9:9" x14ac:dyDescent="0.3">
      <c r="I1619" s="101"/>
    </row>
    <row r="1620" spans="9:9" x14ac:dyDescent="0.3">
      <c r="I1620" s="101"/>
    </row>
    <row r="1621" spans="9:9" x14ac:dyDescent="0.3">
      <c r="I1621" s="101"/>
    </row>
    <row r="1622" spans="9:9" x14ac:dyDescent="0.3">
      <c r="I1622" s="101"/>
    </row>
    <row r="1623" spans="9:9" x14ac:dyDescent="0.3">
      <c r="I1623" s="101"/>
    </row>
    <row r="1624" spans="9:9" x14ac:dyDescent="0.3">
      <c r="I1624" s="101"/>
    </row>
    <row r="1625" spans="9:9" x14ac:dyDescent="0.3">
      <c r="I1625" s="101"/>
    </row>
    <row r="1626" spans="9:9" x14ac:dyDescent="0.3">
      <c r="I1626" s="101"/>
    </row>
    <row r="1627" spans="9:9" x14ac:dyDescent="0.3">
      <c r="I1627" s="101"/>
    </row>
    <row r="1628" spans="9:9" x14ac:dyDescent="0.3">
      <c r="I1628" s="101"/>
    </row>
    <row r="1629" spans="9:9" x14ac:dyDescent="0.3">
      <c r="I1629" s="101"/>
    </row>
    <row r="1630" spans="9:9" x14ac:dyDescent="0.3">
      <c r="I1630" s="101"/>
    </row>
    <row r="1631" spans="9:9" x14ac:dyDescent="0.3">
      <c r="I1631" s="101"/>
    </row>
    <row r="1632" spans="9:9" x14ac:dyDescent="0.3">
      <c r="I1632" s="101"/>
    </row>
    <row r="1633" spans="9:9" x14ac:dyDescent="0.3">
      <c r="I1633" s="101"/>
    </row>
    <row r="1634" spans="9:9" x14ac:dyDescent="0.3">
      <c r="I1634" s="101"/>
    </row>
    <row r="1635" spans="9:9" x14ac:dyDescent="0.3">
      <c r="I1635" s="101"/>
    </row>
    <row r="1636" spans="9:9" x14ac:dyDescent="0.3">
      <c r="I1636" s="101"/>
    </row>
    <row r="1637" spans="9:9" x14ac:dyDescent="0.3">
      <c r="I1637" s="101"/>
    </row>
    <row r="1638" spans="9:9" x14ac:dyDescent="0.3">
      <c r="I1638" s="101"/>
    </row>
    <row r="1639" spans="9:9" x14ac:dyDescent="0.3">
      <c r="I1639" s="101"/>
    </row>
    <row r="1640" spans="9:9" x14ac:dyDescent="0.3">
      <c r="I1640" s="101"/>
    </row>
    <row r="1641" spans="9:9" x14ac:dyDescent="0.3">
      <c r="I1641" s="101"/>
    </row>
    <row r="1642" spans="9:9" x14ac:dyDescent="0.3">
      <c r="I1642" s="101"/>
    </row>
    <row r="1643" spans="9:9" x14ac:dyDescent="0.3">
      <c r="I1643" s="101"/>
    </row>
    <row r="1644" spans="9:9" x14ac:dyDescent="0.3">
      <c r="I1644" s="101"/>
    </row>
    <row r="1645" spans="9:9" x14ac:dyDescent="0.3">
      <c r="I1645" s="101"/>
    </row>
    <row r="1646" spans="9:9" x14ac:dyDescent="0.3">
      <c r="I1646" s="101"/>
    </row>
    <row r="1647" spans="9:9" x14ac:dyDescent="0.3">
      <c r="I1647" s="101"/>
    </row>
    <row r="1648" spans="9:9" x14ac:dyDescent="0.3">
      <c r="I1648" s="101"/>
    </row>
    <row r="1649" spans="9:9" x14ac:dyDescent="0.3">
      <c r="I1649" s="101"/>
    </row>
    <row r="1650" spans="9:9" x14ac:dyDescent="0.3">
      <c r="I1650" s="101"/>
    </row>
    <row r="1651" spans="9:9" x14ac:dyDescent="0.3">
      <c r="I1651" s="101"/>
    </row>
    <row r="1652" spans="9:9" x14ac:dyDescent="0.3">
      <c r="I1652" s="101"/>
    </row>
    <row r="1653" spans="9:9" x14ac:dyDescent="0.3">
      <c r="I1653" s="101"/>
    </row>
    <row r="1654" spans="9:9" x14ac:dyDescent="0.3">
      <c r="I1654" s="101"/>
    </row>
    <row r="1655" spans="9:9" x14ac:dyDescent="0.3">
      <c r="I1655" s="101"/>
    </row>
    <row r="1656" spans="9:9" x14ac:dyDescent="0.3">
      <c r="I1656" s="101"/>
    </row>
    <row r="1657" spans="9:9" x14ac:dyDescent="0.3">
      <c r="I1657" s="101"/>
    </row>
    <row r="1658" spans="9:9" x14ac:dyDescent="0.3">
      <c r="I1658" s="101"/>
    </row>
    <row r="1659" spans="9:9" x14ac:dyDescent="0.3">
      <c r="I1659" s="101"/>
    </row>
    <row r="1660" spans="9:9" x14ac:dyDescent="0.3">
      <c r="I1660" s="101"/>
    </row>
    <row r="1661" spans="9:9" x14ac:dyDescent="0.3">
      <c r="I1661" s="101"/>
    </row>
    <row r="1662" spans="9:9" x14ac:dyDescent="0.3">
      <c r="I1662" s="101"/>
    </row>
    <row r="1663" spans="9:9" x14ac:dyDescent="0.3">
      <c r="I1663" s="101"/>
    </row>
    <row r="1664" spans="9:9" x14ac:dyDescent="0.3">
      <c r="I1664" s="101"/>
    </row>
    <row r="1665" spans="9:9" x14ac:dyDescent="0.3">
      <c r="I1665" s="101"/>
    </row>
    <row r="1666" spans="9:9" x14ac:dyDescent="0.3">
      <c r="I1666" s="101"/>
    </row>
    <row r="1667" spans="9:9" x14ac:dyDescent="0.3">
      <c r="I1667" s="101"/>
    </row>
    <row r="1668" spans="9:9" x14ac:dyDescent="0.3">
      <c r="I1668" s="101"/>
    </row>
    <row r="1669" spans="9:9" x14ac:dyDescent="0.3">
      <c r="I1669" s="101"/>
    </row>
    <row r="1670" spans="9:9" x14ac:dyDescent="0.3">
      <c r="I1670" s="101"/>
    </row>
    <row r="1671" spans="9:9" x14ac:dyDescent="0.3">
      <c r="I1671" s="101"/>
    </row>
    <row r="1672" spans="9:9" x14ac:dyDescent="0.3">
      <c r="I1672" s="101"/>
    </row>
    <row r="1673" spans="9:9" x14ac:dyDescent="0.3">
      <c r="I1673" s="101"/>
    </row>
    <row r="1674" spans="9:9" x14ac:dyDescent="0.3">
      <c r="I1674" s="101"/>
    </row>
    <row r="1675" spans="9:9" x14ac:dyDescent="0.3">
      <c r="I1675" s="101"/>
    </row>
    <row r="1676" spans="9:9" x14ac:dyDescent="0.3">
      <c r="I1676" s="101"/>
    </row>
    <row r="1677" spans="9:9" x14ac:dyDescent="0.3">
      <c r="I1677" s="101"/>
    </row>
    <row r="1678" spans="9:9" x14ac:dyDescent="0.3">
      <c r="I1678" s="101"/>
    </row>
    <row r="1679" spans="9:9" x14ac:dyDescent="0.3">
      <c r="I1679" s="101"/>
    </row>
    <row r="1680" spans="9:9" x14ac:dyDescent="0.3">
      <c r="I1680" s="101"/>
    </row>
    <row r="1681" spans="9:9" x14ac:dyDescent="0.3">
      <c r="I1681" s="101"/>
    </row>
    <row r="1682" spans="9:9" x14ac:dyDescent="0.3">
      <c r="I1682" s="101"/>
    </row>
    <row r="1683" spans="9:9" x14ac:dyDescent="0.3">
      <c r="I1683" s="101"/>
    </row>
    <row r="1684" spans="9:9" x14ac:dyDescent="0.3">
      <c r="I1684" s="101"/>
    </row>
    <row r="1685" spans="9:9" x14ac:dyDescent="0.3">
      <c r="I1685" s="101"/>
    </row>
    <row r="1686" spans="9:9" x14ac:dyDescent="0.3">
      <c r="I1686" s="101"/>
    </row>
    <row r="1687" spans="9:9" x14ac:dyDescent="0.3">
      <c r="I1687" s="101"/>
    </row>
    <row r="1688" spans="9:9" x14ac:dyDescent="0.3">
      <c r="I1688" s="101"/>
    </row>
    <row r="1689" spans="9:9" x14ac:dyDescent="0.3">
      <c r="I1689" s="101"/>
    </row>
    <row r="1690" spans="9:9" x14ac:dyDescent="0.3">
      <c r="I1690" s="101"/>
    </row>
    <row r="1691" spans="9:9" x14ac:dyDescent="0.3">
      <c r="I1691" s="101"/>
    </row>
    <row r="1692" spans="9:9" x14ac:dyDescent="0.3">
      <c r="I1692" s="101"/>
    </row>
    <row r="1693" spans="9:9" x14ac:dyDescent="0.3">
      <c r="I1693" s="101"/>
    </row>
    <row r="1694" spans="9:9" x14ac:dyDescent="0.3">
      <c r="I1694" s="101"/>
    </row>
    <row r="1695" spans="9:9" x14ac:dyDescent="0.3">
      <c r="I1695" s="101"/>
    </row>
    <row r="1696" spans="9:9" x14ac:dyDescent="0.3">
      <c r="I1696" s="101"/>
    </row>
    <row r="1697" spans="9:9" x14ac:dyDescent="0.3">
      <c r="I1697" s="101"/>
    </row>
    <row r="1698" spans="9:9" x14ac:dyDescent="0.3">
      <c r="I1698" s="101"/>
    </row>
    <row r="1699" spans="9:9" x14ac:dyDescent="0.3">
      <c r="I1699" s="101"/>
    </row>
    <row r="1700" spans="9:9" x14ac:dyDescent="0.3">
      <c r="I1700" s="101"/>
    </row>
    <row r="1701" spans="9:9" x14ac:dyDescent="0.3">
      <c r="I1701" s="101"/>
    </row>
    <row r="1702" spans="9:9" x14ac:dyDescent="0.3">
      <c r="I1702" s="101"/>
    </row>
    <row r="1703" spans="9:9" x14ac:dyDescent="0.3">
      <c r="I1703" s="101"/>
    </row>
    <row r="1704" spans="9:9" x14ac:dyDescent="0.3">
      <c r="I1704" s="101"/>
    </row>
    <row r="1705" spans="9:9" x14ac:dyDescent="0.3">
      <c r="I1705" s="101"/>
    </row>
    <row r="1706" spans="9:9" x14ac:dyDescent="0.3">
      <c r="I1706" s="101"/>
    </row>
    <row r="1707" spans="9:9" x14ac:dyDescent="0.3">
      <c r="I1707" s="101"/>
    </row>
    <row r="1708" spans="9:9" x14ac:dyDescent="0.3">
      <c r="I1708" s="101"/>
    </row>
    <row r="1709" spans="9:9" x14ac:dyDescent="0.3">
      <c r="I1709" s="101"/>
    </row>
    <row r="1710" spans="9:9" x14ac:dyDescent="0.3">
      <c r="I1710" s="101"/>
    </row>
    <row r="1711" spans="9:9" x14ac:dyDescent="0.3">
      <c r="I1711" s="101"/>
    </row>
    <row r="1712" spans="9:9" x14ac:dyDescent="0.3">
      <c r="I1712" s="101"/>
    </row>
    <row r="1713" spans="9:9" x14ac:dyDescent="0.3">
      <c r="I1713" s="101"/>
    </row>
    <row r="1714" spans="9:9" x14ac:dyDescent="0.3">
      <c r="I1714" s="101"/>
    </row>
    <row r="1715" spans="9:9" x14ac:dyDescent="0.3">
      <c r="I1715" s="101"/>
    </row>
    <row r="1716" spans="9:9" x14ac:dyDescent="0.3">
      <c r="I1716" s="101"/>
    </row>
    <row r="1717" spans="9:9" x14ac:dyDescent="0.3">
      <c r="I1717" s="101"/>
    </row>
    <row r="1718" spans="9:9" x14ac:dyDescent="0.3">
      <c r="I1718" s="101"/>
    </row>
    <row r="1719" spans="9:9" x14ac:dyDescent="0.3">
      <c r="I1719" s="101"/>
    </row>
    <row r="1720" spans="9:9" x14ac:dyDescent="0.3">
      <c r="I1720" s="101"/>
    </row>
    <row r="1721" spans="9:9" x14ac:dyDescent="0.3">
      <c r="I1721" s="101"/>
    </row>
    <row r="1722" spans="9:9" x14ac:dyDescent="0.3">
      <c r="I1722" s="101"/>
    </row>
    <row r="1723" spans="9:9" x14ac:dyDescent="0.3">
      <c r="I1723" s="101"/>
    </row>
    <row r="1724" spans="9:9" x14ac:dyDescent="0.3">
      <c r="I1724" s="101"/>
    </row>
    <row r="1725" spans="9:9" x14ac:dyDescent="0.3">
      <c r="I1725" s="101"/>
    </row>
    <row r="1726" spans="9:9" x14ac:dyDescent="0.3">
      <c r="I1726" s="101"/>
    </row>
    <row r="1727" spans="9:9" x14ac:dyDescent="0.3">
      <c r="I1727" s="101"/>
    </row>
    <row r="1728" spans="9:9" x14ac:dyDescent="0.3">
      <c r="I1728" s="101"/>
    </row>
    <row r="1729" spans="9:9" x14ac:dyDescent="0.3">
      <c r="I1729" s="101"/>
    </row>
    <row r="1730" spans="9:9" x14ac:dyDescent="0.3">
      <c r="I1730" s="101"/>
    </row>
    <row r="1731" spans="9:9" x14ac:dyDescent="0.3">
      <c r="I1731" s="101"/>
    </row>
    <row r="1732" spans="9:9" x14ac:dyDescent="0.3">
      <c r="I1732" s="101"/>
    </row>
    <row r="1733" spans="9:9" x14ac:dyDescent="0.3">
      <c r="I1733" s="101"/>
    </row>
    <row r="1734" spans="9:9" x14ac:dyDescent="0.3">
      <c r="I1734" s="101"/>
    </row>
    <row r="1735" spans="9:9" x14ac:dyDescent="0.3">
      <c r="I1735" s="101"/>
    </row>
    <row r="1736" spans="9:9" x14ac:dyDescent="0.3">
      <c r="I1736" s="101"/>
    </row>
    <row r="1737" spans="9:9" x14ac:dyDescent="0.3">
      <c r="I1737" s="101"/>
    </row>
    <row r="1738" spans="9:9" x14ac:dyDescent="0.3">
      <c r="I1738" s="101"/>
    </row>
    <row r="1739" spans="9:9" x14ac:dyDescent="0.3">
      <c r="I1739" s="101"/>
    </row>
    <row r="1740" spans="9:9" x14ac:dyDescent="0.3">
      <c r="I1740" s="101"/>
    </row>
    <row r="1741" spans="9:9" x14ac:dyDescent="0.3">
      <c r="I1741" s="101"/>
    </row>
    <row r="1742" spans="9:9" x14ac:dyDescent="0.3">
      <c r="I1742" s="101"/>
    </row>
    <row r="1743" spans="9:9" x14ac:dyDescent="0.3">
      <c r="I1743" s="101"/>
    </row>
    <row r="1744" spans="9:9" x14ac:dyDescent="0.3">
      <c r="I1744" s="101"/>
    </row>
    <row r="1745" spans="9:9" x14ac:dyDescent="0.3">
      <c r="I1745" s="101"/>
    </row>
    <row r="1746" spans="9:9" x14ac:dyDescent="0.3">
      <c r="I1746" s="101"/>
    </row>
    <row r="1747" spans="9:9" x14ac:dyDescent="0.3">
      <c r="I1747" s="101"/>
    </row>
    <row r="1748" spans="9:9" x14ac:dyDescent="0.3">
      <c r="I1748" s="101"/>
    </row>
    <row r="1749" spans="9:9" x14ac:dyDescent="0.3">
      <c r="I1749" s="101"/>
    </row>
    <row r="1750" spans="9:9" x14ac:dyDescent="0.3">
      <c r="I1750" s="101"/>
    </row>
    <row r="1751" spans="9:9" x14ac:dyDescent="0.3">
      <c r="I1751" s="101"/>
    </row>
    <row r="1752" spans="9:9" x14ac:dyDescent="0.3">
      <c r="I1752" s="101"/>
    </row>
    <row r="1753" spans="9:9" x14ac:dyDescent="0.3">
      <c r="I1753" s="101"/>
    </row>
    <row r="1754" spans="9:9" x14ac:dyDescent="0.3">
      <c r="I1754" s="101"/>
    </row>
    <row r="1755" spans="9:9" x14ac:dyDescent="0.3">
      <c r="I1755" s="101"/>
    </row>
    <row r="1756" spans="9:9" x14ac:dyDescent="0.3">
      <c r="I1756" s="101"/>
    </row>
    <row r="1757" spans="9:9" x14ac:dyDescent="0.3">
      <c r="I1757" s="101"/>
    </row>
    <row r="1758" spans="9:9" x14ac:dyDescent="0.3">
      <c r="I1758" s="101"/>
    </row>
    <row r="1759" spans="9:9" x14ac:dyDescent="0.3">
      <c r="I1759" s="101"/>
    </row>
    <row r="1760" spans="9:9" x14ac:dyDescent="0.3">
      <c r="I1760" s="101"/>
    </row>
    <row r="1761" spans="9:9" x14ac:dyDescent="0.3">
      <c r="I1761" s="101"/>
    </row>
    <row r="1762" spans="9:9" x14ac:dyDescent="0.3">
      <c r="I1762" s="101"/>
    </row>
    <row r="1763" spans="9:9" x14ac:dyDescent="0.3">
      <c r="I1763" s="101"/>
    </row>
    <row r="1764" spans="9:9" x14ac:dyDescent="0.3">
      <c r="I1764" s="101"/>
    </row>
    <row r="1765" spans="9:9" x14ac:dyDescent="0.3">
      <c r="I1765" s="101"/>
    </row>
    <row r="1766" spans="9:9" x14ac:dyDescent="0.3">
      <c r="I1766" s="101"/>
    </row>
    <row r="1767" spans="9:9" x14ac:dyDescent="0.3">
      <c r="I1767" s="101"/>
    </row>
    <row r="1768" spans="9:9" x14ac:dyDescent="0.3">
      <c r="I1768" s="101"/>
    </row>
    <row r="1769" spans="9:9" x14ac:dyDescent="0.3">
      <c r="I1769" s="101"/>
    </row>
    <row r="1770" spans="9:9" x14ac:dyDescent="0.3">
      <c r="I1770" s="101"/>
    </row>
    <row r="1771" spans="9:9" x14ac:dyDescent="0.3">
      <c r="I1771" s="101"/>
    </row>
    <row r="1772" spans="9:9" x14ac:dyDescent="0.3">
      <c r="I1772" s="101"/>
    </row>
    <row r="1773" spans="9:9" x14ac:dyDescent="0.3">
      <c r="I1773" s="101"/>
    </row>
    <row r="1774" spans="9:9" x14ac:dyDescent="0.3">
      <c r="I1774" s="101"/>
    </row>
    <row r="1775" spans="9:9" x14ac:dyDescent="0.3">
      <c r="I1775" s="101"/>
    </row>
    <row r="1776" spans="9:9" x14ac:dyDescent="0.3">
      <c r="I1776" s="101"/>
    </row>
    <row r="1777" spans="9:9" x14ac:dyDescent="0.3">
      <c r="I1777" s="101"/>
    </row>
    <row r="1778" spans="9:9" x14ac:dyDescent="0.3">
      <c r="I1778" s="101"/>
    </row>
    <row r="1779" spans="9:9" x14ac:dyDescent="0.3">
      <c r="I1779" s="101"/>
    </row>
    <row r="1780" spans="9:9" x14ac:dyDescent="0.3">
      <c r="I1780" s="101"/>
    </row>
    <row r="1781" spans="9:9" x14ac:dyDescent="0.3">
      <c r="I1781" s="101"/>
    </row>
    <row r="1782" spans="9:9" x14ac:dyDescent="0.3">
      <c r="I1782" s="101"/>
    </row>
    <row r="1783" spans="9:9" x14ac:dyDescent="0.3">
      <c r="I1783" s="101"/>
    </row>
    <row r="1784" spans="9:9" x14ac:dyDescent="0.3">
      <c r="I1784" s="101"/>
    </row>
    <row r="1785" spans="9:9" x14ac:dyDescent="0.3">
      <c r="I1785" s="101"/>
    </row>
    <row r="1786" spans="9:9" x14ac:dyDescent="0.3">
      <c r="I1786" s="101"/>
    </row>
    <row r="1787" spans="9:9" x14ac:dyDescent="0.3">
      <c r="I1787" s="101"/>
    </row>
    <row r="1788" spans="9:9" x14ac:dyDescent="0.3">
      <c r="I1788" s="101"/>
    </row>
    <row r="1789" spans="9:9" x14ac:dyDescent="0.3">
      <c r="I1789" s="101"/>
    </row>
    <row r="1790" spans="9:9" x14ac:dyDescent="0.3">
      <c r="I1790" s="101"/>
    </row>
    <row r="1791" spans="9:9" x14ac:dyDescent="0.3">
      <c r="I1791" s="101"/>
    </row>
    <row r="1792" spans="9:9" x14ac:dyDescent="0.3">
      <c r="I1792" s="101"/>
    </row>
    <row r="1793" spans="9:9" x14ac:dyDescent="0.3">
      <c r="I1793" s="101"/>
    </row>
    <row r="1794" spans="9:9" x14ac:dyDescent="0.3">
      <c r="I1794" s="101"/>
    </row>
    <row r="1795" spans="9:9" x14ac:dyDescent="0.3">
      <c r="I1795" s="101"/>
    </row>
    <row r="1796" spans="9:9" x14ac:dyDescent="0.3">
      <c r="I1796" s="101"/>
    </row>
    <row r="1797" spans="9:9" x14ac:dyDescent="0.3">
      <c r="I1797" s="101"/>
    </row>
    <row r="1798" spans="9:9" x14ac:dyDescent="0.3">
      <c r="I1798" s="101"/>
    </row>
    <row r="1799" spans="9:9" x14ac:dyDescent="0.3">
      <c r="I1799" s="101"/>
    </row>
    <row r="1800" spans="9:9" x14ac:dyDescent="0.3">
      <c r="I1800" s="101"/>
    </row>
    <row r="1801" spans="9:9" x14ac:dyDescent="0.3">
      <c r="I1801" s="101"/>
    </row>
    <row r="1802" spans="9:9" x14ac:dyDescent="0.3">
      <c r="I1802" s="101"/>
    </row>
    <row r="1803" spans="9:9" x14ac:dyDescent="0.3">
      <c r="I1803" s="101"/>
    </row>
    <row r="1804" spans="9:9" x14ac:dyDescent="0.3">
      <c r="I1804" s="101"/>
    </row>
    <row r="1805" spans="9:9" x14ac:dyDescent="0.3">
      <c r="I1805" s="101"/>
    </row>
    <row r="1806" spans="9:9" x14ac:dyDescent="0.3">
      <c r="I1806" s="101"/>
    </row>
    <row r="1807" spans="9:9" x14ac:dyDescent="0.3">
      <c r="I1807" s="101"/>
    </row>
    <row r="1808" spans="9:9" x14ac:dyDescent="0.3">
      <c r="I1808" s="101"/>
    </row>
    <row r="1809" spans="9:9" x14ac:dyDescent="0.3">
      <c r="I1809" s="101"/>
    </row>
    <row r="1810" spans="9:9" x14ac:dyDescent="0.3">
      <c r="I1810" s="101"/>
    </row>
    <row r="1811" spans="9:9" x14ac:dyDescent="0.3">
      <c r="I1811" s="101"/>
    </row>
    <row r="1812" spans="9:9" x14ac:dyDescent="0.3">
      <c r="I1812" s="101"/>
    </row>
    <row r="1813" spans="9:9" x14ac:dyDescent="0.3">
      <c r="I1813" s="101"/>
    </row>
    <row r="1814" spans="9:9" x14ac:dyDescent="0.3">
      <c r="I1814" s="101"/>
    </row>
    <row r="1815" spans="9:9" x14ac:dyDescent="0.3">
      <c r="I1815" s="101"/>
    </row>
    <row r="1816" spans="9:9" x14ac:dyDescent="0.3">
      <c r="I1816" s="101"/>
    </row>
    <row r="1817" spans="9:9" x14ac:dyDescent="0.3">
      <c r="I1817" s="101"/>
    </row>
    <row r="1818" spans="9:9" x14ac:dyDescent="0.3">
      <c r="I1818" s="101"/>
    </row>
    <row r="1819" spans="9:9" x14ac:dyDescent="0.3">
      <c r="I1819" s="101"/>
    </row>
    <row r="1820" spans="9:9" x14ac:dyDescent="0.3">
      <c r="I1820" s="101"/>
    </row>
    <row r="1821" spans="9:9" x14ac:dyDescent="0.3">
      <c r="I1821" s="101"/>
    </row>
    <row r="1822" spans="9:9" x14ac:dyDescent="0.3">
      <c r="I1822" s="101"/>
    </row>
    <row r="1823" spans="9:9" x14ac:dyDescent="0.3">
      <c r="I1823" s="101"/>
    </row>
    <row r="1824" spans="9:9" x14ac:dyDescent="0.3">
      <c r="I1824" s="101"/>
    </row>
    <row r="1825" spans="9:9" x14ac:dyDescent="0.3">
      <c r="I1825" s="101"/>
    </row>
    <row r="1826" spans="9:9" x14ac:dyDescent="0.3">
      <c r="I1826" s="101"/>
    </row>
    <row r="1827" spans="9:9" x14ac:dyDescent="0.3">
      <c r="I1827" s="101"/>
    </row>
    <row r="1828" spans="9:9" x14ac:dyDescent="0.3">
      <c r="I1828" s="101"/>
    </row>
    <row r="1829" spans="9:9" x14ac:dyDescent="0.3">
      <c r="I1829" s="101"/>
    </row>
    <row r="1830" spans="9:9" x14ac:dyDescent="0.3">
      <c r="I1830" s="101"/>
    </row>
    <row r="1831" spans="9:9" x14ac:dyDescent="0.3">
      <c r="I1831" s="101"/>
    </row>
    <row r="1832" spans="9:9" x14ac:dyDescent="0.3">
      <c r="I1832" s="101"/>
    </row>
    <row r="1833" spans="9:9" x14ac:dyDescent="0.3">
      <c r="I1833" s="101"/>
    </row>
    <row r="1834" spans="9:9" x14ac:dyDescent="0.3">
      <c r="I1834" s="101"/>
    </row>
    <row r="1835" spans="9:9" x14ac:dyDescent="0.3">
      <c r="I1835" s="101"/>
    </row>
    <row r="1836" spans="9:9" x14ac:dyDescent="0.3">
      <c r="I1836" s="101"/>
    </row>
    <row r="1837" spans="9:9" x14ac:dyDescent="0.3">
      <c r="I1837" s="101"/>
    </row>
    <row r="1838" spans="9:9" x14ac:dyDescent="0.3">
      <c r="I1838" s="101"/>
    </row>
    <row r="1839" spans="9:9" x14ac:dyDescent="0.3">
      <c r="I1839" s="101"/>
    </row>
    <row r="1840" spans="9:9" x14ac:dyDescent="0.3">
      <c r="I1840" s="101"/>
    </row>
    <row r="1841" spans="9:9" x14ac:dyDescent="0.3">
      <c r="I1841" s="101"/>
    </row>
    <row r="1842" spans="9:9" x14ac:dyDescent="0.3">
      <c r="I1842" s="101"/>
    </row>
    <row r="1843" spans="9:9" x14ac:dyDescent="0.3">
      <c r="I1843" s="101"/>
    </row>
    <row r="1844" spans="9:9" x14ac:dyDescent="0.3">
      <c r="I1844" s="101"/>
    </row>
    <row r="1845" spans="9:9" x14ac:dyDescent="0.3">
      <c r="I1845" s="101"/>
    </row>
    <row r="1846" spans="9:9" x14ac:dyDescent="0.3">
      <c r="I1846" s="101"/>
    </row>
    <row r="1847" spans="9:9" x14ac:dyDescent="0.3">
      <c r="I1847" s="101"/>
    </row>
    <row r="1848" spans="9:9" x14ac:dyDescent="0.3">
      <c r="I1848" s="101"/>
    </row>
    <row r="1849" spans="9:9" x14ac:dyDescent="0.3">
      <c r="I1849" s="101"/>
    </row>
    <row r="1850" spans="9:9" x14ac:dyDescent="0.3">
      <c r="I1850" s="101"/>
    </row>
    <row r="1851" spans="9:9" x14ac:dyDescent="0.3">
      <c r="I1851" s="101"/>
    </row>
    <row r="1852" spans="9:9" x14ac:dyDescent="0.3">
      <c r="I1852" s="101"/>
    </row>
    <row r="1853" spans="9:9" x14ac:dyDescent="0.3">
      <c r="I1853" s="101"/>
    </row>
    <row r="1854" spans="9:9" x14ac:dyDescent="0.3">
      <c r="I1854" s="101"/>
    </row>
    <row r="1855" spans="9:9" x14ac:dyDescent="0.3">
      <c r="I1855" s="101"/>
    </row>
    <row r="1856" spans="9:9" x14ac:dyDescent="0.3">
      <c r="I1856" s="101"/>
    </row>
    <row r="1857" spans="9:9" x14ac:dyDescent="0.3">
      <c r="I1857" s="101"/>
    </row>
    <row r="1858" spans="9:9" x14ac:dyDescent="0.3">
      <c r="I1858" s="101"/>
    </row>
    <row r="1859" spans="9:9" x14ac:dyDescent="0.3">
      <c r="I1859" s="101"/>
    </row>
    <row r="1860" spans="9:9" x14ac:dyDescent="0.3">
      <c r="I1860" s="101"/>
    </row>
    <row r="1861" spans="9:9" x14ac:dyDescent="0.3">
      <c r="I1861" s="101"/>
    </row>
    <row r="1862" spans="9:9" x14ac:dyDescent="0.3">
      <c r="I1862" s="101"/>
    </row>
    <row r="1863" spans="9:9" x14ac:dyDescent="0.3">
      <c r="I1863" s="101"/>
    </row>
    <row r="1864" spans="9:9" x14ac:dyDescent="0.3">
      <c r="I1864" s="101"/>
    </row>
    <row r="1865" spans="9:9" x14ac:dyDescent="0.3">
      <c r="I1865" s="101"/>
    </row>
    <row r="1866" spans="9:9" x14ac:dyDescent="0.3">
      <c r="I1866" s="101"/>
    </row>
    <row r="1867" spans="9:9" x14ac:dyDescent="0.3">
      <c r="I1867" s="101"/>
    </row>
    <row r="1868" spans="9:9" x14ac:dyDescent="0.3">
      <c r="I1868" s="101"/>
    </row>
    <row r="1869" spans="9:9" x14ac:dyDescent="0.3">
      <c r="I1869" s="101"/>
    </row>
    <row r="1870" spans="9:9" x14ac:dyDescent="0.3">
      <c r="I1870" s="101"/>
    </row>
    <row r="1871" spans="9:9" x14ac:dyDescent="0.3">
      <c r="I1871" s="101"/>
    </row>
    <row r="1872" spans="9:9" x14ac:dyDescent="0.3">
      <c r="I1872" s="101"/>
    </row>
    <row r="1873" spans="9:9" x14ac:dyDescent="0.3">
      <c r="I1873" s="101"/>
    </row>
    <row r="1874" spans="9:9" x14ac:dyDescent="0.3">
      <c r="I1874" s="101"/>
    </row>
    <row r="1875" spans="9:9" x14ac:dyDescent="0.3">
      <c r="I1875" s="101"/>
    </row>
    <row r="1876" spans="9:9" x14ac:dyDescent="0.3">
      <c r="I1876" s="101"/>
    </row>
    <row r="1877" spans="9:9" x14ac:dyDescent="0.3">
      <c r="I1877" s="101"/>
    </row>
    <row r="1878" spans="9:9" x14ac:dyDescent="0.3">
      <c r="I1878" s="101"/>
    </row>
    <row r="1879" spans="9:9" x14ac:dyDescent="0.3">
      <c r="I1879" s="101"/>
    </row>
    <row r="1880" spans="9:9" x14ac:dyDescent="0.3">
      <c r="I1880" s="101"/>
    </row>
    <row r="1881" spans="9:9" x14ac:dyDescent="0.3">
      <c r="I1881" s="101"/>
    </row>
    <row r="1882" spans="9:9" x14ac:dyDescent="0.3">
      <c r="I1882" s="101"/>
    </row>
    <row r="1883" spans="9:9" x14ac:dyDescent="0.3">
      <c r="I1883" s="101"/>
    </row>
    <row r="1884" spans="9:9" x14ac:dyDescent="0.3">
      <c r="I1884" s="101"/>
    </row>
    <row r="1885" spans="9:9" x14ac:dyDescent="0.3">
      <c r="I1885" s="101"/>
    </row>
    <row r="1886" spans="9:9" x14ac:dyDescent="0.3">
      <c r="I1886" s="101"/>
    </row>
    <row r="1887" spans="9:9" x14ac:dyDescent="0.3">
      <c r="I1887" s="101"/>
    </row>
    <row r="1888" spans="9:9" x14ac:dyDescent="0.3">
      <c r="I1888" s="101"/>
    </row>
    <row r="1889" spans="9:9" x14ac:dyDescent="0.3">
      <c r="I1889" s="101"/>
    </row>
    <row r="1890" spans="9:9" x14ac:dyDescent="0.3">
      <c r="I1890" s="101"/>
    </row>
    <row r="1891" spans="9:9" x14ac:dyDescent="0.3">
      <c r="I1891" s="101"/>
    </row>
    <row r="1892" spans="9:9" x14ac:dyDescent="0.3">
      <c r="I1892" s="101"/>
    </row>
    <row r="1893" spans="9:9" x14ac:dyDescent="0.3">
      <c r="I1893" s="101"/>
    </row>
    <row r="1894" spans="9:9" x14ac:dyDescent="0.3">
      <c r="I1894" s="101"/>
    </row>
    <row r="1895" spans="9:9" x14ac:dyDescent="0.3">
      <c r="I1895" s="101"/>
    </row>
    <row r="1896" spans="9:9" x14ac:dyDescent="0.3">
      <c r="I1896" s="101"/>
    </row>
    <row r="1897" spans="9:9" x14ac:dyDescent="0.3">
      <c r="I1897" s="101"/>
    </row>
    <row r="1898" spans="9:9" x14ac:dyDescent="0.3">
      <c r="I1898" s="101"/>
    </row>
    <row r="1899" spans="9:9" x14ac:dyDescent="0.3">
      <c r="I1899" s="101"/>
    </row>
    <row r="1900" spans="9:9" x14ac:dyDescent="0.3">
      <c r="I1900" s="101"/>
    </row>
    <row r="1901" spans="9:9" x14ac:dyDescent="0.3">
      <c r="I1901" s="101"/>
    </row>
    <row r="1902" spans="9:9" x14ac:dyDescent="0.3">
      <c r="I1902" s="101"/>
    </row>
    <row r="1903" spans="9:9" x14ac:dyDescent="0.3">
      <c r="I1903" s="101"/>
    </row>
    <row r="1904" spans="9:9" x14ac:dyDescent="0.3">
      <c r="I1904" s="101"/>
    </row>
    <row r="1905" spans="9:9" x14ac:dyDescent="0.3">
      <c r="I1905" s="101"/>
    </row>
    <row r="1906" spans="9:9" x14ac:dyDescent="0.3">
      <c r="I1906" s="101"/>
    </row>
    <row r="1907" spans="9:9" x14ac:dyDescent="0.3">
      <c r="I1907" s="101"/>
    </row>
    <row r="1908" spans="9:9" x14ac:dyDescent="0.3">
      <c r="I1908" s="101"/>
    </row>
    <row r="1909" spans="9:9" x14ac:dyDescent="0.3">
      <c r="I1909" s="101"/>
    </row>
    <row r="1910" spans="9:9" x14ac:dyDescent="0.3">
      <c r="I1910" s="101"/>
    </row>
    <row r="1911" spans="9:9" x14ac:dyDescent="0.3">
      <c r="I1911" s="101"/>
    </row>
    <row r="1912" spans="9:9" x14ac:dyDescent="0.3">
      <c r="I1912" s="101"/>
    </row>
    <row r="1913" spans="9:9" x14ac:dyDescent="0.3">
      <c r="I1913" s="101"/>
    </row>
    <row r="1914" spans="9:9" x14ac:dyDescent="0.3">
      <c r="I1914" s="101"/>
    </row>
    <row r="1915" spans="9:9" x14ac:dyDescent="0.3">
      <c r="I1915" s="101"/>
    </row>
    <row r="1916" spans="9:9" x14ac:dyDescent="0.3">
      <c r="I1916" s="101"/>
    </row>
    <row r="1917" spans="9:9" x14ac:dyDescent="0.3">
      <c r="I1917" s="101"/>
    </row>
    <row r="1918" spans="9:9" x14ac:dyDescent="0.3">
      <c r="I1918" s="101"/>
    </row>
    <row r="1919" spans="9:9" x14ac:dyDescent="0.3">
      <c r="I1919" s="101"/>
    </row>
    <row r="1920" spans="9:9" x14ac:dyDescent="0.3">
      <c r="I1920" s="101"/>
    </row>
    <row r="1921" spans="9:9" x14ac:dyDescent="0.3">
      <c r="I1921" s="101"/>
    </row>
    <row r="1922" spans="9:9" x14ac:dyDescent="0.3">
      <c r="I1922" s="101"/>
    </row>
    <row r="1923" spans="9:9" x14ac:dyDescent="0.3">
      <c r="I1923" s="101"/>
    </row>
    <row r="1924" spans="9:9" x14ac:dyDescent="0.3">
      <c r="I1924" s="101"/>
    </row>
    <row r="1925" spans="9:9" x14ac:dyDescent="0.3">
      <c r="I1925" s="101"/>
    </row>
    <row r="1926" spans="9:9" x14ac:dyDescent="0.3">
      <c r="I1926" s="101"/>
    </row>
    <row r="1927" spans="9:9" x14ac:dyDescent="0.3">
      <c r="I1927" s="101"/>
    </row>
    <row r="1928" spans="9:9" x14ac:dyDescent="0.3">
      <c r="I1928" s="101"/>
    </row>
    <row r="1929" spans="9:9" x14ac:dyDescent="0.3">
      <c r="I1929" s="101"/>
    </row>
    <row r="1930" spans="9:9" x14ac:dyDescent="0.3">
      <c r="I1930" s="101"/>
    </row>
    <row r="1931" spans="9:9" x14ac:dyDescent="0.3">
      <c r="I1931" s="101"/>
    </row>
    <row r="1932" spans="9:9" x14ac:dyDescent="0.3">
      <c r="I1932" s="101"/>
    </row>
    <row r="1933" spans="9:9" x14ac:dyDescent="0.3">
      <c r="I1933" s="101"/>
    </row>
    <row r="1934" spans="9:9" x14ac:dyDescent="0.3">
      <c r="I1934" s="101"/>
    </row>
    <row r="1935" spans="9:9" x14ac:dyDescent="0.3">
      <c r="I1935" s="101"/>
    </row>
    <row r="1936" spans="9:9" x14ac:dyDescent="0.3">
      <c r="I1936" s="101"/>
    </row>
    <row r="1937" spans="9:9" x14ac:dyDescent="0.3">
      <c r="I1937" s="101"/>
    </row>
    <row r="1938" spans="9:9" x14ac:dyDescent="0.3">
      <c r="I1938" s="101"/>
    </row>
    <row r="1939" spans="9:9" x14ac:dyDescent="0.3">
      <c r="I1939" s="101"/>
    </row>
    <row r="1940" spans="9:9" x14ac:dyDescent="0.3">
      <c r="I1940" s="101"/>
    </row>
    <row r="1941" spans="9:9" x14ac:dyDescent="0.3">
      <c r="I1941" s="101"/>
    </row>
    <row r="1942" spans="9:9" x14ac:dyDescent="0.3">
      <c r="I1942" s="101"/>
    </row>
    <row r="1943" spans="9:9" x14ac:dyDescent="0.3">
      <c r="I1943" s="101"/>
    </row>
    <row r="1944" spans="9:9" x14ac:dyDescent="0.3">
      <c r="I1944" s="101"/>
    </row>
    <row r="1945" spans="9:9" x14ac:dyDescent="0.3">
      <c r="I1945" s="101"/>
    </row>
    <row r="1946" spans="9:9" x14ac:dyDescent="0.3">
      <c r="I1946" s="101"/>
    </row>
    <row r="1947" spans="9:9" x14ac:dyDescent="0.3">
      <c r="I1947" s="101"/>
    </row>
    <row r="1948" spans="9:9" x14ac:dyDescent="0.3">
      <c r="I1948" s="101"/>
    </row>
    <row r="1949" spans="9:9" x14ac:dyDescent="0.3">
      <c r="I1949" s="101"/>
    </row>
    <row r="1950" spans="9:9" x14ac:dyDescent="0.3">
      <c r="I1950" s="101"/>
    </row>
    <row r="1951" spans="9:9" x14ac:dyDescent="0.3">
      <c r="I1951" s="101"/>
    </row>
    <row r="1952" spans="9:9" x14ac:dyDescent="0.3">
      <c r="I1952" s="101"/>
    </row>
    <row r="1953" spans="9:9" x14ac:dyDescent="0.3">
      <c r="I1953" s="101"/>
    </row>
    <row r="1954" spans="9:9" x14ac:dyDescent="0.3">
      <c r="I1954" s="101"/>
    </row>
    <row r="1955" spans="9:9" x14ac:dyDescent="0.3">
      <c r="I1955" s="101"/>
    </row>
    <row r="1956" spans="9:9" x14ac:dyDescent="0.3">
      <c r="I1956" s="101"/>
    </row>
    <row r="1957" spans="9:9" x14ac:dyDescent="0.3">
      <c r="I1957" s="101"/>
    </row>
    <row r="1958" spans="9:9" x14ac:dyDescent="0.3">
      <c r="I1958" s="101"/>
    </row>
    <row r="1959" spans="9:9" x14ac:dyDescent="0.3">
      <c r="I1959" s="101"/>
    </row>
    <row r="1960" spans="9:9" x14ac:dyDescent="0.3">
      <c r="I1960" s="101"/>
    </row>
    <row r="1961" spans="9:9" x14ac:dyDescent="0.3">
      <c r="I1961" s="101"/>
    </row>
    <row r="1962" spans="9:9" x14ac:dyDescent="0.3">
      <c r="I1962" s="101"/>
    </row>
    <row r="1963" spans="9:9" x14ac:dyDescent="0.3">
      <c r="I1963" s="101"/>
    </row>
    <row r="1964" spans="9:9" x14ac:dyDescent="0.3">
      <c r="I1964" s="101"/>
    </row>
    <row r="1965" spans="9:9" x14ac:dyDescent="0.3">
      <c r="I1965" s="101"/>
    </row>
    <row r="1966" spans="9:9" x14ac:dyDescent="0.3">
      <c r="I1966" s="101"/>
    </row>
    <row r="1967" spans="9:9" x14ac:dyDescent="0.3">
      <c r="I1967" s="101"/>
    </row>
    <row r="1968" spans="9:9" x14ac:dyDescent="0.3">
      <c r="I1968" s="101"/>
    </row>
    <row r="1969" spans="9:9" x14ac:dyDescent="0.3">
      <c r="I1969" s="101"/>
    </row>
    <row r="1970" spans="9:9" x14ac:dyDescent="0.3">
      <c r="I1970" s="101"/>
    </row>
    <row r="1971" spans="9:9" x14ac:dyDescent="0.3">
      <c r="I1971" s="101"/>
    </row>
    <row r="1972" spans="9:9" x14ac:dyDescent="0.3">
      <c r="I1972" s="101"/>
    </row>
    <row r="1973" spans="9:9" x14ac:dyDescent="0.3">
      <c r="I1973" s="101"/>
    </row>
    <row r="1974" spans="9:9" x14ac:dyDescent="0.3">
      <c r="I1974" s="101"/>
    </row>
    <row r="1975" spans="9:9" x14ac:dyDescent="0.3">
      <c r="I1975" s="101"/>
    </row>
    <row r="1976" spans="9:9" x14ac:dyDescent="0.3">
      <c r="I1976" s="101"/>
    </row>
    <row r="1977" spans="9:9" x14ac:dyDescent="0.3">
      <c r="I1977" s="101"/>
    </row>
    <row r="1978" spans="9:9" x14ac:dyDescent="0.3">
      <c r="I1978" s="101"/>
    </row>
    <row r="1979" spans="9:9" x14ac:dyDescent="0.3">
      <c r="I1979" s="101"/>
    </row>
    <row r="1980" spans="9:9" x14ac:dyDescent="0.3">
      <c r="I1980" s="101"/>
    </row>
    <row r="1981" spans="9:9" x14ac:dyDescent="0.3">
      <c r="I1981" s="101"/>
    </row>
    <row r="1982" spans="9:9" x14ac:dyDescent="0.3">
      <c r="I1982" s="101"/>
    </row>
    <row r="1983" spans="9:9" x14ac:dyDescent="0.3">
      <c r="I1983" s="101"/>
    </row>
    <row r="1984" spans="9:9" x14ac:dyDescent="0.3">
      <c r="I1984" s="101"/>
    </row>
    <row r="1985" spans="9:9" x14ac:dyDescent="0.3">
      <c r="I1985" s="101"/>
    </row>
    <row r="1986" spans="9:9" x14ac:dyDescent="0.3">
      <c r="I1986" s="101"/>
    </row>
    <row r="1987" spans="9:9" x14ac:dyDescent="0.3">
      <c r="I1987" s="101"/>
    </row>
    <row r="1988" spans="9:9" x14ac:dyDescent="0.3">
      <c r="I1988" s="101"/>
    </row>
    <row r="1989" spans="9:9" x14ac:dyDescent="0.3">
      <c r="I1989" s="101"/>
    </row>
    <row r="1990" spans="9:9" x14ac:dyDescent="0.3">
      <c r="I1990" s="101"/>
    </row>
    <row r="1991" spans="9:9" x14ac:dyDescent="0.3">
      <c r="I1991" s="101"/>
    </row>
    <row r="1992" spans="9:9" x14ac:dyDescent="0.3">
      <c r="I1992" s="101"/>
    </row>
    <row r="1993" spans="9:9" x14ac:dyDescent="0.3">
      <c r="I1993" s="101"/>
    </row>
    <row r="1994" spans="9:9" x14ac:dyDescent="0.3">
      <c r="I1994" s="101"/>
    </row>
    <row r="1995" spans="9:9" x14ac:dyDescent="0.3">
      <c r="I1995" s="101"/>
    </row>
    <row r="1996" spans="9:9" x14ac:dyDescent="0.3">
      <c r="I1996" s="101"/>
    </row>
    <row r="1997" spans="9:9" x14ac:dyDescent="0.3">
      <c r="I1997" s="101"/>
    </row>
    <row r="1998" spans="9:9" x14ac:dyDescent="0.3">
      <c r="I1998" s="101"/>
    </row>
    <row r="1999" spans="9:9" x14ac:dyDescent="0.3">
      <c r="I1999" s="101"/>
    </row>
    <row r="2000" spans="9:9" x14ac:dyDescent="0.3">
      <c r="I2000" s="101"/>
    </row>
    <row r="2001" spans="9:9" x14ac:dyDescent="0.3">
      <c r="I2001" s="101"/>
    </row>
    <row r="2002" spans="9:9" x14ac:dyDescent="0.3">
      <c r="I2002" s="101"/>
    </row>
    <row r="2003" spans="9:9" x14ac:dyDescent="0.3">
      <c r="I2003" s="101"/>
    </row>
    <row r="2004" spans="9:9" x14ac:dyDescent="0.3">
      <c r="I2004" s="101"/>
    </row>
    <row r="2005" spans="9:9" x14ac:dyDescent="0.3">
      <c r="I2005" s="101"/>
    </row>
    <row r="2006" spans="9:9" x14ac:dyDescent="0.3">
      <c r="I2006" s="101"/>
    </row>
    <row r="2007" spans="9:9" x14ac:dyDescent="0.3">
      <c r="I2007" s="101"/>
    </row>
    <row r="2008" spans="9:9" x14ac:dyDescent="0.3">
      <c r="I2008" s="101"/>
    </row>
    <row r="2009" spans="9:9" x14ac:dyDescent="0.3">
      <c r="I2009" s="101"/>
    </row>
    <row r="2010" spans="9:9" x14ac:dyDescent="0.3">
      <c r="I2010" s="101"/>
    </row>
    <row r="2011" spans="9:9" x14ac:dyDescent="0.3">
      <c r="I2011" s="101"/>
    </row>
    <row r="2012" spans="9:9" x14ac:dyDescent="0.3">
      <c r="I2012" s="101"/>
    </row>
    <row r="2013" spans="9:9" x14ac:dyDescent="0.3">
      <c r="I2013" s="101"/>
    </row>
    <row r="2014" spans="9:9" x14ac:dyDescent="0.3">
      <c r="I2014" s="101"/>
    </row>
    <row r="2015" spans="9:9" x14ac:dyDescent="0.3">
      <c r="I2015" s="101"/>
    </row>
    <row r="2016" spans="9:9" x14ac:dyDescent="0.3">
      <c r="I2016" s="101"/>
    </row>
    <row r="2017" spans="9:9" x14ac:dyDescent="0.3">
      <c r="I2017" s="101"/>
    </row>
    <row r="2018" spans="9:9" x14ac:dyDescent="0.3">
      <c r="I2018" s="101"/>
    </row>
    <row r="2019" spans="9:9" x14ac:dyDescent="0.3">
      <c r="I2019" s="101"/>
    </row>
    <row r="2020" spans="9:9" x14ac:dyDescent="0.3">
      <c r="I2020" s="101"/>
    </row>
    <row r="2021" spans="9:9" x14ac:dyDescent="0.3">
      <c r="I2021" s="101"/>
    </row>
    <row r="2022" spans="9:9" x14ac:dyDescent="0.3">
      <c r="I2022" s="101"/>
    </row>
    <row r="2023" spans="9:9" x14ac:dyDescent="0.3">
      <c r="I2023" s="101"/>
    </row>
    <row r="2024" spans="9:9" x14ac:dyDescent="0.3">
      <c r="I2024" s="101"/>
    </row>
    <row r="2025" spans="9:9" x14ac:dyDescent="0.3">
      <c r="I2025" s="101"/>
    </row>
    <row r="2026" spans="9:9" x14ac:dyDescent="0.3">
      <c r="I2026" s="101"/>
    </row>
    <row r="2027" spans="9:9" x14ac:dyDescent="0.3">
      <c r="I2027" s="101"/>
    </row>
    <row r="2028" spans="9:9" x14ac:dyDescent="0.3">
      <c r="I2028" s="101"/>
    </row>
    <row r="2029" spans="9:9" x14ac:dyDescent="0.3">
      <c r="I2029" s="101"/>
    </row>
    <row r="2030" spans="9:9" x14ac:dyDescent="0.3">
      <c r="I2030" s="101"/>
    </row>
    <row r="2031" spans="9:9" x14ac:dyDescent="0.3">
      <c r="I2031" s="101"/>
    </row>
    <row r="2032" spans="9:9" x14ac:dyDescent="0.3">
      <c r="I2032" s="101"/>
    </row>
    <row r="2033" spans="9:9" x14ac:dyDescent="0.3">
      <c r="I2033" s="101"/>
    </row>
    <row r="2034" spans="9:9" x14ac:dyDescent="0.3">
      <c r="I2034" s="101"/>
    </row>
    <row r="2035" spans="9:9" x14ac:dyDescent="0.3">
      <c r="I2035" s="101"/>
    </row>
    <row r="2036" spans="9:9" x14ac:dyDescent="0.3">
      <c r="I2036" s="101"/>
    </row>
    <row r="2037" spans="9:9" x14ac:dyDescent="0.3">
      <c r="I2037" s="101"/>
    </row>
    <row r="2038" spans="9:9" x14ac:dyDescent="0.3">
      <c r="I2038" s="101"/>
    </row>
    <row r="2039" spans="9:9" x14ac:dyDescent="0.3">
      <c r="I2039" s="101"/>
    </row>
    <row r="2040" spans="9:9" x14ac:dyDescent="0.3">
      <c r="I2040" s="101"/>
    </row>
    <row r="2041" spans="9:9" x14ac:dyDescent="0.3">
      <c r="I2041" s="101"/>
    </row>
    <row r="2042" spans="9:9" x14ac:dyDescent="0.3">
      <c r="I2042" s="101"/>
    </row>
    <row r="2043" spans="9:9" x14ac:dyDescent="0.3">
      <c r="I2043" s="101"/>
    </row>
    <row r="2044" spans="9:9" x14ac:dyDescent="0.3">
      <c r="I2044" s="101"/>
    </row>
    <row r="2045" spans="9:9" x14ac:dyDescent="0.3">
      <c r="I2045" s="101"/>
    </row>
    <row r="2046" spans="9:9" x14ac:dyDescent="0.3">
      <c r="I2046" s="101"/>
    </row>
    <row r="2047" spans="9:9" x14ac:dyDescent="0.3">
      <c r="I2047" s="101"/>
    </row>
    <row r="2048" spans="9:9" x14ac:dyDescent="0.3">
      <c r="I2048" s="101"/>
    </row>
    <row r="2049" spans="9:9" x14ac:dyDescent="0.3">
      <c r="I2049" s="101"/>
    </row>
    <row r="2050" spans="9:9" x14ac:dyDescent="0.3">
      <c r="I2050" s="101"/>
    </row>
    <row r="2051" spans="9:9" x14ac:dyDescent="0.3">
      <c r="I2051" s="101"/>
    </row>
    <row r="2052" spans="9:9" x14ac:dyDescent="0.3">
      <c r="I2052" s="101"/>
    </row>
    <row r="2053" spans="9:9" x14ac:dyDescent="0.3">
      <c r="I2053" s="101"/>
    </row>
    <row r="2054" spans="9:9" x14ac:dyDescent="0.3">
      <c r="I2054" s="101"/>
    </row>
    <row r="2055" spans="9:9" x14ac:dyDescent="0.3">
      <c r="I2055" s="101"/>
    </row>
    <row r="2056" spans="9:9" x14ac:dyDescent="0.3">
      <c r="I2056" s="101"/>
    </row>
    <row r="2057" spans="9:9" x14ac:dyDescent="0.3">
      <c r="I2057" s="101"/>
    </row>
    <row r="2058" spans="9:9" x14ac:dyDescent="0.3">
      <c r="I2058" s="101"/>
    </row>
    <row r="2059" spans="9:9" x14ac:dyDescent="0.3">
      <c r="I2059" s="101"/>
    </row>
    <row r="2060" spans="9:9" x14ac:dyDescent="0.3">
      <c r="I2060" s="101"/>
    </row>
    <row r="2061" spans="9:9" x14ac:dyDescent="0.3">
      <c r="I2061" s="101"/>
    </row>
    <row r="2062" spans="9:9" x14ac:dyDescent="0.3">
      <c r="I2062" s="101"/>
    </row>
    <row r="2063" spans="9:9" x14ac:dyDescent="0.3">
      <c r="I2063" s="101"/>
    </row>
    <row r="2064" spans="9:9" x14ac:dyDescent="0.3">
      <c r="I2064" s="101"/>
    </row>
    <row r="2065" spans="9:9" x14ac:dyDescent="0.3">
      <c r="I2065" s="101"/>
    </row>
    <row r="2066" spans="9:9" x14ac:dyDescent="0.3">
      <c r="I2066" s="101"/>
    </row>
    <row r="2067" spans="9:9" x14ac:dyDescent="0.3">
      <c r="I2067" s="101"/>
    </row>
    <row r="2068" spans="9:9" x14ac:dyDescent="0.3">
      <c r="I2068" s="101"/>
    </row>
    <row r="2069" spans="9:9" x14ac:dyDescent="0.3">
      <c r="I2069" s="101"/>
    </row>
    <row r="2070" spans="9:9" x14ac:dyDescent="0.3">
      <c r="I2070" s="101"/>
    </row>
    <row r="2071" spans="9:9" x14ac:dyDescent="0.3">
      <c r="I2071" s="101"/>
    </row>
    <row r="2072" spans="9:9" x14ac:dyDescent="0.3">
      <c r="I2072" s="101"/>
    </row>
    <row r="2073" spans="9:9" x14ac:dyDescent="0.3">
      <c r="I2073" s="101"/>
    </row>
    <row r="2074" spans="9:9" x14ac:dyDescent="0.3">
      <c r="I2074" s="101"/>
    </row>
    <row r="2075" spans="9:9" x14ac:dyDescent="0.3">
      <c r="I2075" s="101"/>
    </row>
    <row r="2076" spans="9:9" x14ac:dyDescent="0.3">
      <c r="I2076" s="101"/>
    </row>
    <row r="2077" spans="9:9" x14ac:dyDescent="0.3">
      <c r="I2077" s="101"/>
    </row>
    <row r="2078" spans="9:9" x14ac:dyDescent="0.3">
      <c r="I2078" s="101"/>
    </row>
    <row r="2079" spans="9:9" x14ac:dyDescent="0.3">
      <c r="I2079" s="101"/>
    </row>
    <row r="2080" spans="9:9" x14ac:dyDescent="0.3">
      <c r="I2080" s="101"/>
    </row>
    <row r="2081" spans="9:9" x14ac:dyDescent="0.3">
      <c r="I2081" s="101"/>
    </row>
    <row r="2082" spans="9:9" x14ac:dyDescent="0.3">
      <c r="I2082" s="101"/>
    </row>
    <row r="2083" spans="9:9" x14ac:dyDescent="0.3">
      <c r="I2083" s="101"/>
    </row>
    <row r="2084" spans="9:9" x14ac:dyDescent="0.3">
      <c r="I2084" s="101"/>
    </row>
    <row r="2085" spans="9:9" x14ac:dyDescent="0.3">
      <c r="I2085" s="101"/>
    </row>
    <row r="2086" spans="9:9" x14ac:dyDescent="0.3">
      <c r="I2086" s="101"/>
    </row>
    <row r="2087" spans="9:9" x14ac:dyDescent="0.3">
      <c r="I2087" s="101"/>
    </row>
    <row r="2088" spans="9:9" x14ac:dyDescent="0.3">
      <c r="I2088" s="101"/>
    </row>
    <row r="2089" spans="9:9" x14ac:dyDescent="0.3">
      <c r="I2089" s="101"/>
    </row>
    <row r="2090" spans="9:9" x14ac:dyDescent="0.3">
      <c r="I2090" s="101"/>
    </row>
    <row r="2091" spans="9:9" x14ac:dyDescent="0.3">
      <c r="I2091" s="101"/>
    </row>
    <row r="2092" spans="9:9" x14ac:dyDescent="0.3">
      <c r="I2092" s="101"/>
    </row>
    <row r="2093" spans="9:9" x14ac:dyDescent="0.3">
      <c r="I2093" s="101"/>
    </row>
    <row r="2094" spans="9:9" x14ac:dyDescent="0.3">
      <c r="I2094" s="101"/>
    </row>
    <row r="2095" spans="9:9" x14ac:dyDescent="0.3">
      <c r="I2095" s="101"/>
    </row>
    <row r="2096" spans="9:9" x14ac:dyDescent="0.3">
      <c r="I2096" s="101"/>
    </row>
    <row r="2097" spans="9:9" x14ac:dyDescent="0.3">
      <c r="I2097" s="101"/>
    </row>
    <row r="2098" spans="9:9" x14ac:dyDescent="0.3">
      <c r="I2098" s="101"/>
    </row>
    <row r="2099" spans="9:9" x14ac:dyDescent="0.3">
      <c r="I2099" s="101"/>
    </row>
    <row r="2100" spans="9:9" x14ac:dyDescent="0.3">
      <c r="I2100" s="101"/>
    </row>
    <row r="2101" spans="9:9" x14ac:dyDescent="0.3">
      <c r="I2101" s="101"/>
    </row>
    <row r="2102" spans="9:9" x14ac:dyDescent="0.3">
      <c r="I2102" s="101"/>
    </row>
    <row r="2103" spans="9:9" x14ac:dyDescent="0.3">
      <c r="I2103" s="101"/>
    </row>
    <row r="2104" spans="9:9" x14ac:dyDescent="0.3">
      <c r="I2104" s="101"/>
    </row>
    <row r="2105" spans="9:9" x14ac:dyDescent="0.3">
      <c r="I2105" s="101"/>
    </row>
    <row r="2106" spans="9:9" x14ac:dyDescent="0.3">
      <c r="I2106" s="101"/>
    </row>
    <row r="2107" spans="9:9" x14ac:dyDescent="0.3">
      <c r="I2107" s="101"/>
    </row>
    <row r="2108" spans="9:9" x14ac:dyDescent="0.3">
      <c r="I2108" s="101"/>
    </row>
    <row r="2109" spans="9:9" x14ac:dyDescent="0.3">
      <c r="I2109" s="101"/>
    </row>
    <row r="2110" spans="9:9" x14ac:dyDescent="0.3">
      <c r="I2110" s="101"/>
    </row>
    <row r="2111" spans="9:9" x14ac:dyDescent="0.3">
      <c r="I2111" s="101"/>
    </row>
    <row r="2112" spans="9:9" x14ac:dyDescent="0.3">
      <c r="I2112" s="101"/>
    </row>
    <row r="2113" spans="9:9" x14ac:dyDescent="0.3">
      <c r="I2113" s="101"/>
    </row>
    <row r="2114" spans="9:9" x14ac:dyDescent="0.3">
      <c r="I2114" s="101"/>
    </row>
    <row r="2115" spans="9:9" x14ac:dyDescent="0.3">
      <c r="I2115" s="101"/>
    </row>
    <row r="2116" spans="9:9" x14ac:dyDescent="0.3">
      <c r="I2116" s="101"/>
    </row>
    <row r="2117" spans="9:9" x14ac:dyDescent="0.3">
      <c r="I2117" s="101"/>
    </row>
    <row r="2118" spans="9:9" x14ac:dyDescent="0.3">
      <c r="I2118" s="101"/>
    </row>
    <row r="2119" spans="9:9" x14ac:dyDescent="0.3">
      <c r="I2119" s="101"/>
    </row>
    <row r="2120" spans="9:9" x14ac:dyDescent="0.3">
      <c r="I2120" s="101"/>
    </row>
    <row r="2121" spans="9:9" x14ac:dyDescent="0.3">
      <c r="I2121" s="101"/>
    </row>
    <row r="2122" spans="9:9" x14ac:dyDescent="0.3">
      <c r="I2122" s="101"/>
    </row>
    <row r="2123" spans="9:9" x14ac:dyDescent="0.3">
      <c r="I2123" s="101"/>
    </row>
    <row r="2124" spans="9:9" x14ac:dyDescent="0.3">
      <c r="I2124" s="101"/>
    </row>
    <row r="2125" spans="9:9" x14ac:dyDescent="0.3">
      <c r="I2125" s="101"/>
    </row>
    <row r="2126" spans="9:9" x14ac:dyDescent="0.3">
      <c r="I2126" s="101"/>
    </row>
    <row r="2127" spans="9:9" x14ac:dyDescent="0.3">
      <c r="I2127" s="101"/>
    </row>
    <row r="2128" spans="9:9" x14ac:dyDescent="0.3">
      <c r="I2128" s="101"/>
    </row>
    <row r="2129" spans="9:9" x14ac:dyDescent="0.3">
      <c r="I2129" s="101"/>
    </row>
    <row r="2130" spans="9:9" x14ac:dyDescent="0.3">
      <c r="I2130" s="101"/>
    </row>
    <row r="2131" spans="9:9" x14ac:dyDescent="0.3">
      <c r="I2131" s="101"/>
    </row>
    <row r="2132" spans="9:9" x14ac:dyDescent="0.3">
      <c r="I2132" s="101"/>
    </row>
    <row r="2133" spans="9:9" x14ac:dyDescent="0.3">
      <c r="I2133" s="101"/>
    </row>
    <row r="2134" spans="9:9" x14ac:dyDescent="0.3">
      <c r="I2134" s="101"/>
    </row>
    <row r="2135" spans="9:9" x14ac:dyDescent="0.3">
      <c r="I2135" s="101"/>
    </row>
    <row r="2136" spans="9:9" x14ac:dyDescent="0.3">
      <c r="I2136" s="101"/>
    </row>
    <row r="2137" spans="9:9" x14ac:dyDescent="0.3">
      <c r="I2137" s="101"/>
    </row>
    <row r="2138" spans="9:9" x14ac:dyDescent="0.3">
      <c r="I2138" s="101"/>
    </row>
    <row r="2139" spans="9:9" x14ac:dyDescent="0.3">
      <c r="I2139" s="101"/>
    </row>
    <row r="2140" spans="9:9" x14ac:dyDescent="0.3">
      <c r="I2140" s="101"/>
    </row>
    <row r="2141" spans="9:9" x14ac:dyDescent="0.3">
      <c r="I2141" s="101"/>
    </row>
    <row r="2142" spans="9:9" x14ac:dyDescent="0.3">
      <c r="I2142" s="101"/>
    </row>
    <row r="2143" spans="9:9" x14ac:dyDescent="0.3">
      <c r="I2143" s="101"/>
    </row>
    <row r="2144" spans="9:9" x14ac:dyDescent="0.3">
      <c r="I2144" s="101"/>
    </row>
    <row r="2145" spans="9:9" x14ac:dyDescent="0.3">
      <c r="I2145" s="101"/>
    </row>
    <row r="2146" spans="9:9" x14ac:dyDescent="0.3">
      <c r="I2146" s="101"/>
    </row>
    <row r="2147" spans="9:9" x14ac:dyDescent="0.3">
      <c r="I2147" s="101"/>
    </row>
    <row r="2148" spans="9:9" x14ac:dyDescent="0.3">
      <c r="I2148" s="101"/>
    </row>
    <row r="2149" spans="9:9" x14ac:dyDescent="0.3">
      <c r="I2149" s="101"/>
    </row>
    <row r="2150" spans="9:9" x14ac:dyDescent="0.3">
      <c r="I2150" s="101"/>
    </row>
    <row r="2151" spans="9:9" x14ac:dyDescent="0.3">
      <c r="I2151" s="101"/>
    </row>
    <row r="2152" spans="9:9" x14ac:dyDescent="0.3">
      <c r="I2152" s="101"/>
    </row>
    <row r="2153" spans="9:9" x14ac:dyDescent="0.3">
      <c r="I2153" s="101"/>
    </row>
    <row r="2154" spans="9:9" x14ac:dyDescent="0.3">
      <c r="I2154" s="101"/>
    </row>
    <row r="2155" spans="9:9" x14ac:dyDescent="0.3">
      <c r="I2155" s="101"/>
    </row>
    <row r="2156" spans="9:9" x14ac:dyDescent="0.3">
      <c r="I2156" s="101"/>
    </row>
    <row r="2157" spans="9:9" x14ac:dyDescent="0.3">
      <c r="I2157" s="101"/>
    </row>
    <row r="2158" spans="9:9" x14ac:dyDescent="0.3">
      <c r="I2158" s="101"/>
    </row>
    <row r="2159" spans="9:9" x14ac:dyDescent="0.3">
      <c r="I2159" s="101"/>
    </row>
    <row r="2160" spans="9:9" x14ac:dyDescent="0.3">
      <c r="I2160" s="101"/>
    </row>
    <row r="2161" spans="9:9" x14ac:dyDescent="0.3">
      <c r="I2161" s="101"/>
    </row>
    <row r="2162" spans="9:9" x14ac:dyDescent="0.3">
      <c r="I2162" s="101"/>
    </row>
    <row r="2163" spans="9:9" x14ac:dyDescent="0.3">
      <c r="I2163" s="101"/>
    </row>
    <row r="2164" spans="9:9" x14ac:dyDescent="0.3">
      <c r="I2164" s="101"/>
    </row>
    <row r="2165" spans="9:9" x14ac:dyDescent="0.3">
      <c r="I2165" s="101"/>
    </row>
    <row r="2166" spans="9:9" x14ac:dyDescent="0.3">
      <c r="I2166" s="101"/>
    </row>
    <row r="2167" spans="9:9" x14ac:dyDescent="0.3">
      <c r="I2167" s="101"/>
    </row>
    <row r="2168" spans="9:9" x14ac:dyDescent="0.3">
      <c r="I2168" s="101"/>
    </row>
    <row r="2169" spans="9:9" x14ac:dyDescent="0.3">
      <c r="I2169" s="101"/>
    </row>
    <row r="2170" spans="9:9" x14ac:dyDescent="0.3">
      <c r="I2170" s="101"/>
    </row>
    <row r="2171" spans="9:9" x14ac:dyDescent="0.3">
      <c r="I2171" s="101"/>
    </row>
    <row r="2172" spans="9:9" x14ac:dyDescent="0.3">
      <c r="I2172" s="101"/>
    </row>
    <row r="2173" spans="9:9" x14ac:dyDescent="0.3">
      <c r="I2173" s="101"/>
    </row>
    <row r="2174" spans="9:9" x14ac:dyDescent="0.3">
      <c r="I2174" s="101"/>
    </row>
    <row r="2175" spans="9:9" x14ac:dyDescent="0.3">
      <c r="I2175" s="101"/>
    </row>
    <row r="2176" spans="9:9" x14ac:dyDescent="0.3">
      <c r="I2176" s="101"/>
    </row>
    <row r="2177" spans="9:9" x14ac:dyDescent="0.3">
      <c r="I2177" s="101"/>
    </row>
    <row r="2178" spans="9:9" x14ac:dyDescent="0.3">
      <c r="I2178" s="101"/>
    </row>
    <row r="2179" spans="9:9" x14ac:dyDescent="0.3">
      <c r="I2179" s="101"/>
    </row>
    <row r="2180" spans="9:9" x14ac:dyDescent="0.3">
      <c r="I2180" s="101"/>
    </row>
    <row r="2181" spans="9:9" x14ac:dyDescent="0.3">
      <c r="I2181" s="101"/>
    </row>
    <row r="2182" spans="9:9" x14ac:dyDescent="0.3">
      <c r="I2182" s="101"/>
    </row>
    <row r="2183" spans="9:9" x14ac:dyDescent="0.3">
      <c r="I2183" s="101"/>
    </row>
    <row r="2184" spans="9:9" x14ac:dyDescent="0.3">
      <c r="I2184" s="101"/>
    </row>
    <row r="2185" spans="9:9" x14ac:dyDescent="0.3">
      <c r="I2185" s="101"/>
    </row>
    <row r="2186" spans="9:9" x14ac:dyDescent="0.3">
      <c r="I2186" s="101"/>
    </row>
    <row r="2187" spans="9:9" x14ac:dyDescent="0.3">
      <c r="I2187" s="101"/>
    </row>
    <row r="2188" spans="9:9" x14ac:dyDescent="0.3">
      <c r="I2188" s="101"/>
    </row>
    <row r="2189" spans="9:9" x14ac:dyDescent="0.3">
      <c r="I2189" s="101"/>
    </row>
    <row r="2190" spans="9:9" x14ac:dyDescent="0.3">
      <c r="I2190" s="101"/>
    </row>
    <row r="2191" spans="9:9" x14ac:dyDescent="0.3">
      <c r="I2191" s="101"/>
    </row>
    <row r="2192" spans="9:9" x14ac:dyDescent="0.3">
      <c r="I2192" s="101"/>
    </row>
    <row r="2193" spans="9:9" x14ac:dyDescent="0.3">
      <c r="I2193" s="101"/>
    </row>
    <row r="2194" spans="9:9" x14ac:dyDescent="0.3">
      <c r="I2194" s="101"/>
    </row>
    <row r="2195" spans="9:9" x14ac:dyDescent="0.3">
      <c r="I2195" s="101"/>
    </row>
    <row r="2196" spans="9:9" x14ac:dyDescent="0.3">
      <c r="I2196" s="101"/>
    </row>
    <row r="2197" spans="9:9" x14ac:dyDescent="0.3">
      <c r="I2197" s="101"/>
    </row>
    <row r="2198" spans="9:9" x14ac:dyDescent="0.3">
      <c r="I2198" s="101"/>
    </row>
    <row r="2199" spans="9:9" x14ac:dyDescent="0.3">
      <c r="I2199" s="101"/>
    </row>
    <row r="2200" spans="9:9" x14ac:dyDescent="0.3">
      <c r="I2200" s="101"/>
    </row>
    <row r="2201" spans="9:9" x14ac:dyDescent="0.3">
      <c r="I2201" s="101"/>
    </row>
    <row r="2202" spans="9:9" x14ac:dyDescent="0.3">
      <c r="I2202" s="101"/>
    </row>
    <row r="2203" spans="9:9" x14ac:dyDescent="0.3">
      <c r="I2203" s="101"/>
    </row>
    <row r="2204" spans="9:9" x14ac:dyDescent="0.3">
      <c r="I2204" s="101"/>
    </row>
    <row r="2205" spans="9:9" x14ac:dyDescent="0.3">
      <c r="I2205" s="101"/>
    </row>
    <row r="2206" spans="9:9" x14ac:dyDescent="0.3">
      <c r="I2206" s="101"/>
    </row>
    <row r="2207" spans="9:9" x14ac:dyDescent="0.3">
      <c r="I2207" s="101"/>
    </row>
    <row r="2208" spans="9:9" x14ac:dyDescent="0.3">
      <c r="I2208" s="101"/>
    </row>
    <row r="2209" spans="9:9" x14ac:dyDescent="0.3">
      <c r="I2209" s="101"/>
    </row>
    <row r="2210" spans="9:9" x14ac:dyDescent="0.3">
      <c r="I2210" s="101"/>
    </row>
    <row r="2211" spans="9:9" x14ac:dyDescent="0.3">
      <c r="I2211" s="101"/>
    </row>
    <row r="2212" spans="9:9" x14ac:dyDescent="0.3">
      <c r="I2212" s="101"/>
    </row>
    <row r="2213" spans="9:9" x14ac:dyDescent="0.3">
      <c r="I2213" s="101"/>
    </row>
    <row r="2214" spans="9:9" x14ac:dyDescent="0.3">
      <c r="I2214" s="101"/>
    </row>
    <row r="2215" spans="9:9" x14ac:dyDescent="0.3">
      <c r="I2215" s="101"/>
    </row>
    <row r="2216" spans="9:9" x14ac:dyDescent="0.3">
      <c r="I2216" s="101"/>
    </row>
    <row r="2217" spans="9:9" x14ac:dyDescent="0.3">
      <c r="I2217" s="101"/>
    </row>
    <row r="2218" spans="9:9" x14ac:dyDescent="0.3">
      <c r="I2218" s="101"/>
    </row>
    <row r="2219" spans="9:9" x14ac:dyDescent="0.3">
      <c r="I2219" s="101"/>
    </row>
    <row r="2220" spans="9:9" x14ac:dyDescent="0.3">
      <c r="I2220" s="101"/>
    </row>
    <row r="2221" spans="9:9" x14ac:dyDescent="0.3">
      <c r="I2221" s="101"/>
    </row>
    <row r="2222" spans="9:9" x14ac:dyDescent="0.3">
      <c r="I2222" s="101"/>
    </row>
    <row r="2223" spans="9:9" x14ac:dyDescent="0.3">
      <c r="I2223" s="101"/>
    </row>
    <row r="2224" spans="9:9" x14ac:dyDescent="0.3">
      <c r="I2224" s="101"/>
    </row>
    <row r="2225" spans="9:9" x14ac:dyDescent="0.3">
      <c r="I2225" s="101"/>
    </row>
    <row r="2226" spans="9:9" x14ac:dyDescent="0.3">
      <c r="I2226" s="101"/>
    </row>
    <row r="2227" spans="9:9" x14ac:dyDescent="0.3">
      <c r="I2227" s="101"/>
    </row>
    <row r="2228" spans="9:9" x14ac:dyDescent="0.3">
      <c r="I2228" s="101"/>
    </row>
    <row r="2229" spans="9:9" x14ac:dyDescent="0.3">
      <c r="I2229" s="101"/>
    </row>
    <row r="2230" spans="9:9" x14ac:dyDescent="0.3">
      <c r="I2230" s="101"/>
    </row>
    <row r="2231" spans="9:9" x14ac:dyDescent="0.3">
      <c r="I2231" s="101"/>
    </row>
    <row r="2232" spans="9:9" x14ac:dyDescent="0.3">
      <c r="I2232" s="101"/>
    </row>
    <row r="2233" spans="9:9" x14ac:dyDescent="0.3">
      <c r="I2233" s="101"/>
    </row>
    <row r="2234" spans="9:9" x14ac:dyDescent="0.3">
      <c r="I2234" s="101"/>
    </row>
    <row r="2235" spans="9:9" x14ac:dyDescent="0.3">
      <c r="I2235" s="101"/>
    </row>
    <row r="2236" spans="9:9" x14ac:dyDescent="0.3">
      <c r="I2236" s="101"/>
    </row>
    <row r="2237" spans="9:9" x14ac:dyDescent="0.3">
      <c r="I2237" s="101"/>
    </row>
    <row r="2238" spans="9:9" x14ac:dyDescent="0.3">
      <c r="I2238" s="101"/>
    </row>
    <row r="2239" spans="9:9" x14ac:dyDescent="0.3">
      <c r="I2239" s="101"/>
    </row>
    <row r="2240" spans="9:9" x14ac:dyDescent="0.3">
      <c r="I2240" s="101"/>
    </row>
    <row r="2241" spans="9:9" x14ac:dyDescent="0.3">
      <c r="I2241" s="101"/>
    </row>
    <row r="2242" spans="9:9" x14ac:dyDescent="0.3">
      <c r="I2242" s="101"/>
    </row>
    <row r="2243" spans="9:9" x14ac:dyDescent="0.3">
      <c r="I2243" s="101"/>
    </row>
    <row r="2244" spans="9:9" x14ac:dyDescent="0.3">
      <c r="I2244" s="101"/>
    </row>
    <row r="2245" spans="9:9" x14ac:dyDescent="0.3">
      <c r="I2245" s="101"/>
    </row>
    <row r="2246" spans="9:9" x14ac:dyDescent="0.3">
      <c r="I2246" s="101"/>
    </row>
    <row r="2247" spans="9:9" x14ac:dyDescent="0.3">
      <c r="I2247" s="101"/>
    </row>
    <row r="2248" spans="9:9" x14ac:dyDescent="0.3">
      <c r="I2248" s="101"/>
    </row>
    <row r="2249" spans="9:9" x14ac:dyDescent="0.3">
      <c r="I2249" s="101"/>
    </row>
    <row r="2250" spans="9:9" x14ac:dyDescent="0.3">
      <c r="I2250" s="101"/>
    </row>
    <row r="2251" spans="9:9" x14ac:dyDescent="0.3">
      <c r="I2251" s="101"/>
    </row>
    <row r="2252" spans="9:9" x14ac:dyDescent="0.3">
      <c r="I2252" s="101"/>
    </row>
    <row r="2253" spans="9:9" x14ac:dyDescent="0.3">
      <c r="I2253" s="101"/>
    </row>
    <row r="2254" spans="9:9" x14ac:dyDescent="0.3">
      <c r="I2254" s="101"/>
    </row>
    <row r="2255" spans="9:9" x14ac:dyDescent="0.3">
      <c r="I2255" s="101"/>
    </row>
    <row r="2256" spans="9:9" x14ac:dyDescent="0.3">
      <c r="I2256" s="101"/>
    </row>
    <row r="2257" spans="9:9" x14ac:dyDescent="0.3">
      <c r="I2257" s="101"/>
    </row>
    <row r="2258" spans="9:9" x14ac:dyDescent="0.3">
      <c r="I2258" s="101"/>
    </row>
    <row r="2259" spans="9:9" x14ac:dyDescent="0.3">
      <c r="I2259" s="101"/>
    </row>
    <row r="2260" spans="9:9" x14ac:dyDescent="0.3">
      <c r="I2260" s="101"/>
    </row>
    <row r="2261" spans="9:9" x14ac:dyDescent="0.3">
      <c r="I2261" s="101"/>
    </row>
    <row r="2262" spans="9:9" x14ac:dyDescent="0.3">
      <c r="I2262" s="101"/>
    </row>
    <row r="2263" spans="9:9" x14ac:dyDescent="0.3">
      <c r="I2263" s="101"/>
    </row>
    <row r="2264" spans="9:9" x14ac:dyDescent="0.3">
      <c r="I2264" s="101"/>
    </row>
    <row r="2265" spans="9:9" x14ac:dyDescent="0.3">
      <c r="I2265" s="101"/>
    </row>
    <row r="2266" spans="9:9" x14ac:dyDescent="0.3">
      <c r="I2266" s="101"/>
    </row>
    <row r="2267" spans="9:9" x14ac:dyDescent="0.3">
      <c r="I2267" s="101"/>
    </row>
    <row r="2268" spans="9:9" x14ac:dyDescent="0.3">
      <c r="I2268" s="101"/>
    </row>
    <row r="2269" spans="9:9" x14ac:dyDescent="0.3">
      <c r="I2269" s="101"/>
    </row>
    <row r="2270" spans="9:9" x14ac:dyDescent="0.3">
      <c r="I2270" s="101"/>
    </row>
    <row r="2271" spans="9:9" x14ac:dyDescent="0.3">
      <c r="I2271" s="101"/>
    </row>
    <row r="2272" spans="9:9" x14ac:dyDescent="0.3">
      <c r="I2272" s="101"/>
    </row>
    <row r="2273" spans="9:9" x14ac:dyDescent="0.3">
      <c r="I2273" s="101"/>
    </row>
    <row r="2274" spans="9:9" x14ac:dyDescent="0.3">
      <c r="I2274" s="101"/>
    </row>
    <row r="2275" spans="9:9" x14ac:dyDescent="0.3">
      <c r="I2275" s="101"/>
    </row>
    <row r="2276" spans="9:9" x14ac:dyDescent="0.3">
      <c r="I2276" s="101"/>
    </row>
    <row r="2277" spans="9:9" x14ac:dyDescent="0.3">
      <c r="I2277" s="101"/>
    </row>
    <row r="2278" spans="9:9" x14ac:dyDescent="0.3">
      <c r="I2278" s="101"/>
    </row>
    <row r="2279" spans="9:9" x14ac:dyDescent="0.3">
      <c r="I2279" s="101"/>
    </row>
    <row r="2280" spans="9:9" x14ac:dyDescent="0.3">
      <c r="I2280" s="101"/>
    </row>
    <row r="2281" spans="9:9" x14ac:dyDescent="0.3">
      <c r="I2281" s="101"/>
    </row>
    <row r="2282" spans="9:9" x14ac:dyDescent="0.3">
      <c r="I2282" s="101"/>
    </row>
    <row r="2283" spans="9:9" x14ac:dyDescent="0.3">
      <c r="I2283" s="101"/>
    </row>
    <row r="2284" spans="9:9" x14ac:dyDescent="0.3">
      <c r="I2284" s="101"/>
    </row>
    <row r="2285" spans="9:9" x14ac:dyDescent="0.3">
      <c r="I2285" s="101"/>
    </row>
    <row r="2286" spans="9:9" x14ac:dyDescent="0.3">
      <c r="I2286" s="101"/>
    </row>
    <row r="2287" spans="9:9" x14ac:dyDescent="0.3">
      <c r="I2287" s="101"/>
    </row>
    <row r="2288" spans="9:9" x14ac:dyDescent="0.3">
      <c r="I2288" s="101"/>
    </row>
    <row r="2289" spans="9:9" x14ac:dyDescent="0.3">
      <c r="I2289" s="101"/>
    </row>
    <row r="2290" spans="9:9" x14ac:dyDescent="0.3">
      <c r="I2290" s="101"/>
    </row>
    <row r="2291" spans="9:9" x14ac:dyDescent="0.3">
      <c r="I2291" s="101"/>
    </row>
    <row r="2292" spans="9:9" x14ac:dyDescent="0.3">
      <c r="I2292" s="101"/>
    </row>
    <row r="2293" spans="9:9" x14ac:dyDescent="0.3">
      <c r="I2293" s="101"/>
    </row>
    <row r="2294" spans="9:9" x14ac:dyDescent="0.3">
      <c r="I2294" s="101"/>
    </row>
    <row r="2295" spans="9:9" x14ac:dyDescent="0.3">
      <c r="I2295" s="101"/>
    </row>
    <row r="2296" spans="9:9" x14ac:dyDescent="0.3">
      <c r="I2296" s="101"/>
    </row>
    <row r="2297" spans="9:9" x14ac:dyDescent="0.3">
      <c r="I2297" s="101"/>
    </row>
    <row r="2298" spans="9:9" x14ac:dyDescent="0.3">
      <c r="I2298" s="101"/>
    </row>
    <row r="2299" spans="9:9" x14ac:dyDescent="0.3">
      <c r="I2299" s="101"/>
    </row>
    <row r="2300" spans="9:9" x14ac:dyDescent="0.3">
      <c r="I2300" s="101"/>
    </row>
    <row r="2301" spans="9:9" x14ac:dyDescent="0.3">
      <c r="I2301" s="101"/>
    </row>
    <row r="2302" spans="9:9" x14ac:dyDescent="0.3">
      <c r="I2302" s="101"/>
    </row>
    <row r="2303" spans="9:9" x14ac:dyDescent="0.3">
      <c r="I2303" s="101"/>
    </row>
    <row r="2304" spans="9:9" x14ac:dyDescent="0.3">
      <c r="I2304" s="101"/>
    </row>
    <row r="2305" spans="9:9" x14ac:dyDescent="0.3">
      <c r="I2305" s="101"/>
    </row>
    <row r="2306" spans="9:9" x14ac:dyDescent="0.3">
      <c r="I2306" s="101"/>
    </row>
    <row r="2307" spans="9:9" x14ac:dyDescent="0.3">
      <c r="I2307" s="101"/>
    </row>
    <row r="2308" spans="9:9" x14ac:dyDescent="0.3">
      <c r="I2308" s="101"/>
    </row>
    <row r="2309" spans="9:9" x14ac:dyDescent="0.3">
      <c r="I2309" s="101"/>
    </row>
    <row r="2310" spans="9:9" x14ac:dyDescent="0.3">
      <c r="I2310" s="101"/>
    </row>
    <row r="2311" spans="9:9" x14ac:dyDescent="0.3">
      <c r="I2311" s="101"/>
    </row>
    <row r="2312" spans="9:9" x14ac:dyDescent="0.3">
      <c r="I2312" s="101"/>
    </row>
    <row r="2313" spans="9:9" x14ac:dyDescent="0.3">
      <c r="I2313" s="101"/>
    </row>
    <row r="2314" spans="9:9" x14ac:dyDescent="0.3">
      <c r="I2314" s="101"/>
    </row>
    <row r="2315" spans="9:9" x14ac:dyDescent="0.3">
      <c r="I2315" s="101"/>
    </row>
    <row r="2316" spans="9:9" x14ac:dyDescent="0.3">
      <c r="I2316" s="101"/>
    </row>
    <row r="2317" spans="9:9" x14ac:dyDescent="0.3">
      <c r="I2317" s="101"/>
    </row>
    <row r="2318" spans="9:9" x14ac:dyDescent="0.3">
      <c r="I2318" s="101"/>
    </row>
    <row r="2319" spans="9:9" x14ac:dyDescent="0.3">
      <c r="I2319" s="101"/>
    </row>
    <row r="2320" spans="9:9" x14ac:dyDescent="0.3">
      <c r="I2320" s="101"/>
    </row>
    <row r="2321" spans="9:9" x14ac:dyDescent="0.3">
      <c r="I2321" s="101"/>
    </row>
    <row r="2322" spans="9:9" x14ac:dyDescent="0.3">
      <c r="I2322" s="101"/>
    </row>
    <row r="2323" spans="9:9" x14ac:dyDescent="0.3">
      <c r="I2323" s="101"/>
    </row>
    <row r="2324" spans="9:9" x14ac:dyDescent="0.3">
      <c r="I2324" s="101"/>
    </row>
    <row r="2325" spans="9:9" x14ac:dyDescent="0.3">
      <c r="I2325" s="101"/>
    </row>
    <row r="2326" spans="9:9" x14ac:dyDescent="0.3">
      <c r="I2326" s="101"/>
    </row>
    <row r="2327" spans="9:9" x14ac:dyDescent="0.3">
      <c r="I2327" s="101"/>
    </row>
    <row r="2328" spans="9:9" x14ac:dyDescent="0.3">
      <c r="I2328" s="101"/>
    </row>
    <row r="2329" spans="9:9" x14ac:dyDescent="0.3">
      <c r="I2329" s="101"/>
    </row>
    <row r="2330" spans="9:9" x14ac:dyDescent="0.3">
      <c r="I2330" s="101"/>
    </row>
    <row r="2331" spans="9:9" x14ac:dyDescent="0.3">
      <c r="I2331" s="101"/>
    </row>
    <row r="2332" spans="9:9" x14ac:dyDescent="0.3">
      <c r="I2332" s="101"/>
    </row>
    <row r="2333" spans="9:9" x14ac:dyDescent="0.3">
      <c r="I2333" s="101"/>
    </row>
    <row r="2334" spans="9:9" x14ac:dyDescent="0.3">
      <c r="I2334" s="101"/>
    </row>
    <row r="2335" spans="9:9" x14ac:dyDescent="0.3">
      <c r="I2335" s="101"/>
    </row>
    <row r="2336" spans="9:9" x14ac:dyDescent="0.3">
      <c r="I2336" s="101"/>
    </row>
    <row r="2337" spans="9:9" x14ac:dyDescent="0.3">
      <c r="I2337" s="101"/>
    </row>
    <row r="2338" spans="9:9" x14ac:dyDescent="0.3">
      <c r="I2338" s="101"/>
    </row>
    <row r="2339" spans="9:9" x14ac:dyDescent="0.3">
      <c r="I2339" s="101"/>
    </row>
    <row r="2340" spans="9:9" x14ac:dyDescent="0.3">
      <c r="I2340" s="101"/>
    </row>
    <row r="2341" spans="9:9" x14ac:dyDescent="0.3">
      <c r="I2341" s="101"/>
    </row>
    <row r="2342" spans="9:9" x14ac:dyDescent="0.3">
      <c r="I2342" s="101"/>
    </row>
    <row r="2343" spans="9:9" x14ac:dyDescent="0.3">
      <c r="I2343" s="101"/>
    </row>
    <row r="2344" spans="9:9" x14ac:dyDescent="0.3">
      <c r="I2344" s="101"/>
    </row>
    <row r="2345" spans="9:9" x14ac:dyDescent="0.3">
      <c r="I2345" s="101"/>
    </row>
    <row r="2346" spans="9:9" x14ac:dyDescent="0.3">
      <c r="I2346" s="101"/>
    </row>
    <row r="2347" spans="9:9" x14ac:dyDescent="0.3">
      <c r="I2347" s="101"/>
    </row>
    <row r="2348" spans="9:9" x14ac:dyDescent="0.3">
      <c r="I2348" s="101"/>
    </row>
    <row r="2349" spans="9:9" x14ac:dyDescent="0.3">
      <c r="I2349" s="101"/>
    </row>
    <row r="2350" spans="9:9" x14ac:dyDescent="0.3">
      <c r="I2350" s="101"/>
    </row>
    <row r="2351" spans="9:9" x14ac:dyDescent="0.3">
      <c r="I2351" s="101"/>
    </row>
    <row r="2352" spans="9:9" x14ac:dyDescent="0.3">
      <c r="I2352" s="101"/>
    </row>
    <row r="2353" spans="9:9" x14ac:dyDescent="0.3">
      <c r="I2353" s="101"/>
    </row>
    <row r="2354" spans="9:9" x14ac:dyDescent="0.3">
      <c r="I2354" s="101"/>
    </row>
    <row r="2355" spans="9:9" x14ac:dyDescent="0.3">
      <c r="I2355" s="101"/>
    </row>
    <row r="2356" spans="9:9" x14ac:dyDescent="0.3">
      <c r="I2356" s="101"/>
    </row>
    <row r="2357" spans="9:9" x14ac:dyDescent="0.3">
      <c r="I2357" s="101"/>
    </row>
    <row r="2358" spans="9:9" x14ac:dyDescent="0.3">
      <c r="I2358" s="101"/>
    </row>
    <row r="2359" spans="9:9" x14ac:dyDescent="0.3">
      <c r="I2359" s="101"/>
    </row>
    <row r="2360" spans="9:9" x14ac:dyDescent="0.3">
      <c r="I2360" s="101"/>
    </row>
    <row r="2361" spans="9:9" x14ac:dyDescent="0.3">
      <c r="I2361" s="101"/>
    </row>
    <row r="2362" spans="9:9" x14ac:dyDescent="0.3">
      <c r="I2362" s="101"/>
    </row>
    <row r="2363" spans="9:9" x14ac:dyDescent="0.3">
      <c r="I2363" s="101"/>
    </row>
    <row r="2364" spans="9:9" x14ac:dyDescent="0.3">
      <c r="I2364" s="101"/>
    </row>
    <row r="2365" spans="9:9" x14ac:dyDescent="0.3">
      <c r="I2365" s="101"/>
    </row>
    <row r="2366" spans="9:9" x14ac:dyDescent="0.3">
      <c r="I2366" s="101"/>
    </row>
    <row r="2367" spans="9:9" x14ac:dyDescent="0.3">
      <c r="I2367" s="101"/>
    </row>
    <row r="2368" spans="9:9" x14ac:dyDescent="0.3">
      <c r="I2368" s="101"/>
    </row>
    <row r="2369" spans="9:9" x14ac:dyDescent="0.3">
      <c r="I2369" s="101"/>
    </row>
    <row r="2370" spans="9:9" x14ac:dyDescent="0.3">
      <c r="I2370" s="101"/>
    </row>
    <row r="2371" spans="9:9" x14ac:dyDescent="0.3">
      <c r="I2371" s="101"/>
    </row>
    <row r="2372" spans="9:9" x14ac:dyDescent="0.3">
      <c r="I2372" s="101"/>
    </row>
    <row r="2373" spans="9:9" x14ac:dyDescent="0.3">
      <c r="I2373" s="101"/>
    </row>
    <row r="2374" spans="9:9" x14ac:dyDescent="0.3">
      <c r="I2374" s="101"/>
    </row>
    <row r="2375" spans="9:9" x14ac:dyDescent="0.3">
      <c r="I2375" s="101"/>
    </row>
    <row r="2376" spans="9:9" x14ac:dyDescent="0.3">
      <c r="I2376" s="101"/>
    </row>
    <row r="2377" spans="9:9" x14ac:dyDescent="0.3">
      <c r="I2377" s="101"/>
    </row>
    <row r="2378" spans="9:9" x14ac:dyDescent="0.3">
      <c r="I2378" s="101"/>
    </row>
    <row r="2379" spans="9:9" x14ac:dyDescent="0.3">
      <c r="I2379" s="101"/>
    </row>
    <row r="2380" spans="9:9" x14ac:dyDescent="0.3">
      <c r="I2380" s="101"/>
    </row>
    <row r="2381" spans="9:9" x14ac:dyDescent="0.3">
      <c r="I2381" s="101"/>
    </row>
    <row r="2382" spans="9:9" x14ac:dyDescent="0.3">
      <c r="I2382" s="101"/>
    </row>
    <row r="2383" spans="9:9" x14ac:dyDescent="0.3">
      <c r="I2383" s="101"/>
    </row>
    <row r="2384" spans="9:9" x14ac:dyDescent="0.3">
      <c r="I2384" s="101"/>
    </row>
    <row r="2385" spans="9:9" x14ac:dyDescent="0.3">
      <c r="I2385" s="101"/>
    </row>
    <row r="2386" spans="9:9" x14ac:dyDescent="0.3">
      <c r="I2386" s="101"/>
    </row>
    <row r="2387" spans="9:9" x14ac:dyDescent="0.3">
      <c r="I2387" s="101"/>
    </row>
    <row r="2388" spans="9:9" x14ac:dyDescent="0.3">
      <c r="I2388" s="101"/>
    </row>
    <row r="2389" spans="9:9" x14ac:dyDescent="0.3">
      <c r="I2389" s="101"/>
    </row>
    <row r="2390" spans="9:9" x14ac:dyDescent="0.3">
      <c r="I2390" s="101"/>
    </row>
    <row r="2391" spans="9:9" x14ac:dyDescent="0.3">
      <c r="I2391" s="101"/>
    </row>
    <row r="2392" spans="9:9" x14ac:dyDescent="0.3">
      <c r="I2392" s="101"/>
    </row>
    <row r="2393" spans="9:9" x14ac:dyDescent="0.3">
      <c r="I2393" s="101"/>
    </row>
    <row r="2394" spans="9:9" x14ac:dyDescent="0.3">
      <c r="I2394" s="101"/>
    </row>
    <row r="2395" spans="9:9" x14ac:dyDescent="0.3">
      <c r="I2395" s="101"/>
    </row>
    <row r="2396" spans="9:9" x14ac:dyDescent="0.3">
      <c r="I2396" s="101"/>
    </row>
    <row r="2397" spans="9:9" x14ac:dyDescent="0.3">
      <c r="I2397" s="101"/>
    </row>
    <row r="2398" spans="9:9" x14ac:dyDescent="0.3">
      <c r="I2398" s="101"/>
    </row>
    <row r="2399" spans="9:9" x14ac:dyDescent="0.3">
      <c r="I2399" s="101"/>
    </row>
    <row r="2400" spans="9:9" x14ac:dyDescent="0.3">
      <c r="I2400" s="101"/>
    </row>
    <row r="2401" spans="9:9" x14ac:dyDescent="0.3">
      <c r="I2401" s="101"/>
    </row>
    <row r="2402" spans="9:9" x14ac:dyDescent="0.3">
      <c r="I2402" s="101"/>
    </row>
    <row r="2403" spans="9:9" x14ac:dyDescent="0.3">
      <c r="I2403" s="101"/>
    </row>
    <row r="2404" spans="9:9" x14ac:dyDescent="0.3">
      <c r="I2404" s="101"/>
    </row>
    <row r="2405" spans="9:9" x14ac:dyDescent="0.3">
      <c r="I2405" s="101"/>
    </row>
    <row r="2406" spans="9:9" x14ac:dyDescent="0.3">
      <c r="I2406" s="101"/>
    </row>
    <row r="2407" spans="9:9" x14ac:dyDescent="0.3">
      <c r="I2407" s="101"/>
    </row>
    <row r="2408" spans="9:9" x14ac:dyDescent="0.3">
      <c r="I2408" s="101"/>
    </row>
    <row r="2409" spans="9:9" x14ac:dyDescent="0.3">
      <c r="I2409" s="101"/>
    </row>
    <row r="2410" spans="9:9" x14ac:dyDescent="0.3">
      <c r="I2410" s="101"/>
    </row>
    <row r="2411" spans="9:9" x14ac:dyDescent="0.3">
      <c r="I2411" s="101"/>
    </row>
    <row r="2412" spans="9:9" x14ac:dyDescent="0.3">
      <c r="I2412" s="101"/>
    </row>
    <row r="2413" spans="9:9" x14ac:dyDescent="0.3">
      <c r="I2413" s="101"/>
    </row>
    <row r="2414" spans="9:9" x14ac:dyDescent="0.3">
      <c r="I2414" s="101"/>
    </row>
    <row r="2415" spans="9:9" x14ac:dyDescent="0.3">
      <c r="I2415" s="101"/>
    </row>
    <row r="2416" spans="9:9" x14ac:dyDescent="0.3">
      <c r="I2416" s="101"/>
    </row>
    <row r="2417" spans="9:9" x14ac:dyDescent="0.3">
      <c r="I2417" s="101"/>
    </row>
    <row r="2418" spans="9:9" x14ac:dyDescent="0.3">
      <c r="I2418" s="101"/>
    </row>
    <row r="2419" spans="9:9" x14ac:dyDescent="0.3">
      <c r="I2419" s="101"/>
    </row>
    <row r="2420" spans="9:9" x14ac:dyDescent="0.3">
      <c r="I2420" s="101"/>
    </row>
    <row r="2421" spans="9:9" x14ac:dyDescent="0.3">
      <c r="I2421" s="101"/>
    </row>
    <row r="2422" spans="9:9" x14ac:dyDescent="0.3">
      <c r="I2422" s="101"/>
    </row>
    <row r="2423" spans="9:9" x14ac:dyDescent="0.3">
      <c r="I2423" s="101"/>
    </row>
    <row r="2424" spans="9:9" x14ac:dyDescent="0.3">
      <c r="I2424" s="101"/>
    </row>
    <row r="2425" spans="9:9" x14ac:dyDescent="0.3">
      <c r="I2425" s="101"/>
    </row>
    <row r="2426" spans="9:9" x14ac:dyDescent="0.3">
      <c r="I2426" s="101"/>
    </row>
    <row r="2427" spans="9:9" x14ac:dyDescent="0.3">
      <c r="I2427" s="101"/>
    </row>
    <row r="2428" spans="9:9" x14ac:dyDescent="0.3">
      <c r="I2428" s="101"/>
    </row>
    <row r="2429" spans="9:9" x14ac:dyDescent="0.3">
      <c r="I2429" s="101"/>
    </row>
    <row r="2430" spans="9:9" x14ac:dyDescent="0.3">
      <c r="I2430" s="101"/>
    </row>
    <row r="2431" spans="9:9" x14ac:dyDescent="0.3">
      <c r="I2431" s="101"/>
    </row>
    <row r="2432" spans="9:9" x14ac:dyDescent="0.3">
      <c r="I2432" s="101"/>
    </row>
    <row r="2433" spans="9:9" x14ac:dyDescent="0.3">
      <c r="I2433" s="101"/>
    </row>
    <row r="2434" spans="9:9" x14ac:dyDescent="0.3">
      <c r="I2434" s="101"/>
    </row>
    <row r="2435" spans="9:9" x14ac:dyDescent="0.3">
      <c r="I2435" s="101"/>
    </row>
    <row r="2436" spans="9:9" x14ac:dyDescent="0.3">
      <c r="I2436" s="101"/>
    </row>
    <row r="2437" spans="9:9" x14ac:dyDescent="0.3">
      <c r="I2437" s="101"/>
    </row>
    <row r="2438" spans="9:9" x14ac:dyDescent="0.3">
      <c r="I2438" s="101"/>
    </row>
    <row r="2439" spans="9:9" x14ac:dyDescent="0.3">
      <c r="I2439" s="101"/>
    </row>
    <row r="2440" spans="9:9" x14ac:dyDescent="0.3">
      <c r="I2440" s="101"/>
    </row>
    <row r="2441" spans="9:9" x14ac:dyDescent="0.3">
      <c r="I2441" s="101"/>
    </row>
    <row r="2442" spans="9:9" x14ac:dyDescent="0.3">
      <c r="I2442" s="101"/>
    </row>
    <row r="2443" spans="9:9" x14ac:dyDescent="0.3">
      <c r="I2443" s="101"/>
    </row>
    <row r="2444" spans="9:9" x14ac:dyDescent="0.3">
      <c r="I2444" s="101"/>
    </row>
    <row r="2445" spans="9:9" x14ac:dyDescent="0.3">
      <c r="I2445" s="101"/>
    </row>
    <row r="2446" spans="9:9" x14ac:dyDescent="0.3">
      <c r="I2446" s="101"/>
    </row>
    <row r="2447" spans="9:9" x14ac:dyDescent="0.3">
      <c r="I2447" s="101"/>
    </row>
    <row r="2448" spans="9:9" x14ac:dyDescent="0.3">
      <c r="I2448" s="101"/>
    </row>
    <row r="2449" spans="9:9" x14ac:dyDescent="0.3">
      <c r="I2449" s="101"/>
    </row>
    <row r="2450" spans="9:9" x14ac:dyDescent="0.3">
      <c r="I2450" s="101"/>
    </row>
    <row r="2451" spans="9:9" x14ac:dyDescent="0.3">
      <c r="I2451" s="101"/>
    </row>
    <row r="2452" spans="9:9" x14ac:dyDescent="0.3">
      <c r="I2452" s="101"/>
    </row>
    <row r="2453" spans="9:9" x14ac:dyDescent="0.3">
      <c r="I2453" s="101"/>
    </row>
    <row r="2454" spans="9:9" x14ac:dyDescent="0.3">
      <c r="I2454" s="101"/>
    </row>
    <row r="2455" spans="9:9" x14ac:dyDescent="0.3">
      <c r="I2455" s="101"/>
    </row>
    <row r="2456" spans="9:9" x14ac:dyDescent="0.3">
      <c r="I2456" s="101"/>
    </row>
    <row r="2457" spans="9:9" x14ac:dyDescent="0.3">
      <c r="I2457" s="101"/>
    </row>
    <row r="2458" spans="9:9" x14ac:dyDescent="0.3">
      <c r="I2458" s="101"/>
    </row>
    <row r="2459" spans="9:9" x14ac:dyDescent="0.3">
      <c r="I2459" s="101"/>
    </row>
    <row r="2460" spans="9:9" x14ac:dyDescent="0.3">
      <c r="I2460" s="101"/>
    </row>
    <row r="2461" spans="9:9" x14ac:dyDescent="0.3">
      <c r="I2461" s="101"/>
    </row>
    <row r="2462" spans="9:9" x14ac:dyDescent="0.3">
      <c r="I2462" s="101"/>
    </row>
    <row r="2463" spans="9:9" x14ac:dyDescent="0.3">
      <c r="I2463" s="101"/>
    </row>
    <row r="2464" spans="9:9" x14ac:dyDescent="0.3">
      <c r="I2464" s="101"/>
    </row>
    <row r="2465" spans="9:9" x14ac:dyDescent="0.3">
      <c r="I2465" s="101"/>
    </row>
    <row r="2466" spans="9:9" x14ac:dyDescent="0.3">
      <c r="I2466" s="101"/>
    </row>
    <row r="2467" spans="9:9" x14ac:dyDescent="0.3">
      <c r="I2467" s="101"/>
    </row>
    <row r="2468" spans="9:9" x14ac:dyDescent="0.3">
      <c r="I2468" s="101"/>
    </row>
    <row r="2469" spans="9:9" x14ac:dyDescent="0.3">
      <c r="I2469" s="101"/>
    </row>
    <row r="2470" spans="9:9" x14ac:dyDescent="0.3">
      <c r="I2470" s="101"/>
    </row>
    <row r="2471" spans="9:9" x14ac:dyDescent="0.3">
      <c r="I2471" s="101"/>
    </row>
    <row r="2472" spans="9:9" x14ac:dyDescent="0.3">
      <c r="I2472" s="101"/>
    </row>
    <row r="2473" spans="9:9" x14ac:dyDescent="0.3">
      <c r="I2473" s="101"/>
    </row>
    <row r="2474" spans="9:9" x14ac:dyDescent="0.3">
      <c r="I2474" s="101"/>
    </row>
    <row r="2475" spans="9:9" x14ac:dyDescent="0.3">
      <c r="I2475" s="101"/>
    </row>
    <row r="2476" spans="9:9" x14ac:dyDescent="0.3">
      <c r="I2476" s="101"/>
    </row>
    <row r="2477" spans="9:9" x14ac:dyDescent="0.3">
      <c r="I2477" s="101"/>
    </row>
    <row r="2478" spans="9:9" x14ac:dyDescent="0.3">
      <c r="I2478" s="101"/>
    </row>
    <row r="2479" spans="9:9" x14ac:dyDescent="0.3">
      <c r="I2479" s="101"/>
    </row>
    <row r="2480" spans="9:9" x14ac:dyDescent="0.3">
      <c r="I2480" s="101"/>
    </row>
    <row r="2481" spans="9:9" x14ac:dyDescent="0.3">
      <c r="I2481" s="101"/>
    </row>
    <row r="2482" spans="9:9" x14ac:dyDescent="0.3">
      <c r="I2482" s="101"/>
    </row>
    <row r="2483" spans="9:9" x14ac:dyDescent="0.3">
      <c r="I2483" s="101"/>
    </row>
    <row r="2484" spans="9:9" x14ac:dyDescent="0.3">
      <c r="I2484" s="101"/>
    </row>
    <row r="2485" spans="9:9" x14ac:dyDescent="0.3">
      <c r="I2485" s="101"/>
    </row>
    <row r="2486" spans="9:9" x14ac:dyDescent="0.3">
      <c r="I2486" s="101"/>
    </row>
    <row r="2487" spans="9:9" x14ac:dyDescent="0.3">
      <c r="I2487" s="101"/>
    </row>
    <row r="2488" spans="9:9" x14ac:dyDescent="0.3">
      <c r="I2488" s="101"/>
    </row>
    <row r="2489" spans="9:9" x14ac:dyDescent="0.3">
      <c r="I2489" s="101"/>
    </row>
    <row r="2490" spans="9:9" x14ac:dyDescent="0.3">
      <c r="I2490" s="101"/>
    </row>
    <row r="2491" spans="9:9" x14ac:dyDescent="0.3">
      <c r="I2491" s="101"/>
    </row>
    <row r="2492" spans="9:9" x14ac:dyDescent="0.3">
      <c r="I2492" s="101"/>
    </row>
    <row r="2493" spans="9:9" x14ac:dyDescent="0.3">
      <c r="I2493" s="101"/>
    </row>
    <row r="2494" spans="9:9" x14ac:dyDescent="0.3">
      <c r="I2494" s="101"/>
    </row>
    <row r="2495" spans="9:9" x14ac:dyDescent="0.3">
      <c r="I2495" s="101"/>
    </row>
    <row r="2496" spans="9:9" x14ac:dyDescent="0.3">
      <c r="I2496" s="101"/>
    </row>
    <row r="2497" spans="9:9" x14ac:dyDescent="0.3">
      <c r="I2497" s="101"/>
    </row>
    <row r="2498" spans="9:9" x14ac:dyDescent="0.3">
      <c r="I2498" s="101"/>
    </row>
    <row r="2499" spans="9:9" x14ac:dyDescent="0.3">
      <c r="I2499" s="101"/>
    </row>
    <row r="2500" spans="9:9" x14ac:dyDescent="0.3">
      <c r="I2500" s="101"/>
    </row>
    <row r="2501" spans="9:9" x14ac:dyDescent="0.3">
      <c r="I2501" s="101"/>
    </row>
    <row r="2502" spans="9:9" x14ac:dyDescent="0.3">
      <c r="I2502" s="101"/>
    </row>
    <row r="2503" spans="9:9" x14ac:dyDescent="0.3">
      <c r="I2503" s="101"/>
    </row>
    <row r="2504" spans="9:9" x14ac:dyDescent="0.3">
      <c r="I2504" s="101"/>
    </row>
    <row r="2505" spans="9:9" x14ac:dyDescent="0.3">
      <c r="I2505" s="101"/>
    </row>
    <row r="2506" spans="9:9" x14ac:dyDescent="0.3">
      <c r="I2506" s="101"/>
    </row>
    <row r="2507" spans="9:9" x14ac:dyDescent="0.3">
      <c r="I2507" s="101"/>
    </row>
    <row r="2508" spans="9:9" x14ac:dyDescent="0.3">
      <c r="I2508" s="101"/>
    </row>
    <row r="2509" spans="9:9" x14ac:dyDescent="0.3">
      <c r="I2509" s="101"/>
    </row>
    <row r="2510" spans="9:9" x14ac:dyDescent="0.3">
      <c r="I2510" s="101"/>
    </row>
    <row r="2511" spans="9:9" x14ac:dyDescent="0.3">
      <c r="I2511" s="101"/>
    </row>
    <row r="2512" spans="9:9" x14ac:dyDescent="0.3">
      <c r="I2512" s="101"/>
    </row>
    <row r="2513" spans="9:9" x14ac:dyDescent="0.3">
      <c r="I2513" s="101"/>
    </row>
    <row r="2514" spans="9:9" x14ac:dyDescent="0.3">
      <c r="I2514" s="101"/>
    </row>
    <row r="2515" spans="9:9" x14ac:dyDescent="0.3">
      <c r="I2515" s="101"/>
    </row>
    <row r="2516" spans="9:9" x14ac:dyDescent="0.3">
      <c r="I2516" s="101"/>
    </row>
    <row r="2517" spans="9:9" x14ac:dyDescent="0.3">
      <c r="I2517" s="101"/>
    </row>
    <row r="2518" spans="9:9" x14ac:dyDescent="0.3">
      <c r="I2518" s="101"/>
    </row>
    <row r="2519" spans="9:9" x14ac:dyDescent="0.3">
      <c r="I2519" s="101"/>
    </row>
    <row r="2520" spans="9:9" x14ac:dyDescent="0.3">
      <c r="I2520" s="101"/>
    </row>
    <row r="2521" spans="9:9" x14ac:dyDescent="0.3">
      <c r="I2521" s="101"/>
    </row>
    <row r="2522" spans="9:9" x14ac:dyDescent="0.3">
      <c r="I2522" s="101"/>
    </row>
    <row r="2523" spans="9:9" x14ac:dyDescent="0.3">
      <c r="I2523" s="101"/>
    </row>
    <row r="2524" spans="9:9" x14ac:dyDescent="0.3">
      <c r="I2524" s="101"/>
    </row>
    <row r="2525" spans="9:9" x14ac:dyDescent="0.3">
      <c r="I2525" s="101"/>
    </row>
    <row r="2526" spans="9:9" x14ac:dyDescent="0.3">
      <c r="I2526" s="101"/>
    </row>
    <row r="2527" spans="9:9" x14ac:dyDescent="0.3">
      <c r="I2527" s="101"/>
    </row>
    <row r="2528" spans="9:9" x14ac:dyDescent="0.3">
      <c r="I2528" s="101"/>
    </row>
    <row r="2529" spans="9:9" x14ac:dyDescent="0.3">
      <c r="I2529" s="101"/>
    </row>
    <row r="2530" spans="9:9" x14ac:dyDescent="0.3">
      <c r="I2530" s="101"/>
    </row>
    <row r="2531" spans="9:9" x14ac:dyDescent="0.3">
      <c r="I2531" s="101"/>
    </row>
    <row r="2532" spans="9:9" x14ac:dyDescent="0.3">
      <c r="I2532" s="101"/>
    </row>
    <row r="2533" spans="9:9" x14ac:dyDescent="0.3">
      <c r="I2533" s="101"/>
    </row>
    <row r="2534" spans="9:9" x14ac:dyDescent="0.3">
      <c r="I2534" s="101"/>
    </row>
    <row r="2535" spans="9:9" x14ac:dyDescent="0.3">
      <c r="I2535" s="101"/>
    </row>
    <row r="2536" spans="9:9" x14ac:dyDescent="0.3">
      <c r="I2536" s="101"/>
    </row>
    <row r="2537" spans="9:9" x14ac:dyDescent="0.3">
      <c r="I2537" s="101"/>
    </row>
    <row r="2538" spans="9:9" x14ac:dyDescent="0.3">
      <c r="I2538" s="101"/>
    </row>
    <row r="2539" spans="9:9" x14ac:dyDescent="0.3">
      <c r="I2539" s="101"/>
    </row>
    <row r="2540" spans="9:9" x14ac:dyDescent="0.3">
      <c r="I2540" s="101"/>
    </row>
    <row r="2541" spans="9:9" x14ac:dyDescent="0.3">
      <c r="I2541" s="101"/>
    </row>
    <row r="2542" spans="9:9" x14ac:dyDescent="0.3">
      <c r="I2542" s="101"/>
    </row>
    <row r="2543" spans="9:9" x14ac:dyDescent="0.3">
      <c r="I2543" s="101"/>
    </row>
    <row r="2544" spans="9:9" x14ac:dyDescent="0.3">
      <c r="I2544" s="101"/>
    </row>
    <row r="2545" spans="9:9" x14ac:dyDescent="0.3">
      <c r="I2545" s="101"/>
    </row>
    <row r="2546" spans="9:9" x14ac:dyDescent="0.3">
      <c r="I2546" s="101"/>
    </row>
    <row r="2547" spans="9:9" x14ac:dyDescent="0.3">
      <c r="I2547" s="101"/>
    </row>
    <row r="2548" spans="9:9" x14ac:dyDescent="0.3">
      <c r="I2548" s="101"/>
    </row>
    <row r="2549" spans="9:9" x14ac:dyDescent="0.3">
      <c r="I2549" s="101"/>
    </row>
    <row r="2550" spans="9:9" x14ac:dyDescent="0.3">
      <c r="I2550" s="101"/>
    </row>
    <row r="2551" spans="9:9" x14ac:dyDescent="0.3">
      <c r="I2551" s="101"/>
    </row>
    <row r="2552" spans="9:9" x14ac:dyDescent="0.3">
      <c r="I2552" s="101"/>
    </row>
    <row r="2553" spans="9:9" x14ac:dyDescent="0.3">
      <c r="I2553" s="101"/>
    </row>
    <row r="2554" spans="9:9" x14ac:dyDescent="0.3">
      <c r="I2554" s="101"/>
    </row>
    <row r="2555" spans="9:9" x14ac:dyDescent="0.3">
      <c r="I2555" s="101"/>
    </row>
    <row r="2556" spans="9:9" x14ac:dyDescent="0.3">
      <c r="I2556" s="101"/>
    </row>
    <row r="2557" spans="9:9" x14ac:dyDescent="0.3">
      <c r="I2557" s="101"/>
    </row>
    <row r="2558" spans="9:9" x14ac:dyDescent="0.3">
      <c r="I2558" s="101"/>
    </row>
    <row r="2559" spans="9:9" x14ac:dyDescent="0.3">
      <c r="I2559" s="101"/>
    </row>
    <row r="2560" spans="9:9" x14ac:dyDescent="0.3">
      <c r="I2560" s="101"/>
    </row>
    <row r="2561" spans="9:9" x14ac:dyDescent="0.3">
      <c r="I2561" s="101"/>
    </row>
    <row r="2562" spans="9:9" x14ac:dyDescent="0.3">
      <c r="I2562" s="101"/>
    </row>
    <row r="2563" spans="9:9" x14ac:dyDescent="0.3">
      <c r="I2563" s="101"/>
    </row>
    <row r="2564" spans="9:9" x14ac:dyDescent="0.3">
      <c r="I2564" s="101"/>
    </row>
    <row r="2565" spans="9:9" x14ac:dyDescent="0.3">
      <c r="I2565" s="101"/>
    </row>
    <row r="2566" spans="9:9" x14ac:dyDescent="0.3">
      <c r="I2566" s="101"/>
    </row>
    <row r="2567" spans="9:9" x14ac:dyDescent="0.3">
      <c r="I2567" s="101"/>
    </row>
    <row r="2568" spans="9:9" x14ac:dyDescent="0.3">
      <c r="I2568" s="101"/>
    </row>
    <row r="2569" spans="9:9" x14ac:dyDescent="0.3">
      <c r="I2569" s="101"/>
    </row>
    <row r="2570" spans="9:9" x14ac:dyDescent="0.3">
      <c r="I2570" s="101"/>
    </row>
    <row r="2571" spans="9:9" x14ac:dyDescent="0.3">
      <c r="I2571" s="101"/>
    </row>
    <row r="2572" spans="9:9" x14ac:dyDescent="0.3">
      <c r="I2572" s="101"/>
    </row>
    <row r="2573" spans="9:9" x14ac:dyDescent="0.3">
      <c r="I2573" s="101"/>
    </row>
    <row r="2574" spans="9:9" x14ac:dyDescent="0.3">
      <c r="I2574" s="101"/>
    </row>
    <row r="2575" spans="9:9" x14ac:dyDescent="0.3">
      <c r="I2575" s="101"/>
    </row>
    <row r="2576" spans="9:9" x14ac:dyDescent="0.3">
      <c r="I2576" s="101"/>
    </row>
    <row r="2577" spans="9:9" x14ac:dyDescent="0.3">
      <c r="I2577" s="101"/>
    </row>
    <row r="2578" spans="9:9" x14ac:dyDescent="0.3">
      <c r="I2578" s="101"/>
    </row>
    <row r="2579" spans="9:9" x14ac:dyDescent="0.3">
      <c r="I2579" s="101"/>
    </row>
    <row r="2580" spans="9:9" x14ac:dyDescent="0.3">
      <c r="I2580" s="101"/>
    </row>
    <row r="2581" spans="9:9" x14ac:dyDescent="0.3">
      <c r="I2581" s="101"/>
    </row>
    <row r="2582" spans="9:9" x14ac:dyDescent="0.3">
      <c r="I2582" s="101"/>
    </row>
    <row r="2583" spans="9:9" x14ac:dyDescent="0.3">
      <c r="I2583" s="101"/>
    </row>
    <row r="2584" spans="9:9" x14ac:dyDescent="0.3">
      <c r="I2584" s="101"/>
    </row>
    <row r="2585" spans="9:9" x14ac:dyDescent="0.3">
      <c r="I2585" s="101"/>
    </row>
    <row r="2586" spans="9:9" x14ac:dyDescent="0.3">
      <c r="I2586" s="101"/>
    </row>
    <row r="2587" spans="9:9" x14ac:dyDescent="0.3">
      <c r="I2587" s="101"/>
    </row>
    <row r="2588" spans="9:9" x14ac:dyDescent="0.3">
      <c r="I2588" s="101"/>
    </row>
    <row r="2589" spans="9:9" x14ac:dyDescent="0.3">
      <c r="I2589" s="101"/>
    </row>
    <row r="2590" spans="9:9" x14ac:dyDescent="0.3">
      <c r="I2590" s="101"/>
    </row>
    <row r="2591" spans="9:9" x14ac:dyDescent="0.3">
      <c r="I2591" s="101"/>
    </row>
    <row r="2592" spans="9:9" x14ac:dyDescent="0.3">
      <c r="I2592" s="101"/>
    </row>
    <row r="2593" spans="9:9" x14ac:dyDescent="0.3">
      <c r="I2593" s="101"/>
    </row>
    <row r="2594" spans="9:9" x14ac:dyDescent="0.3">
      <c r="I2594" s="101"/>
    </row>
    <row r="2595" spans="9:9" x14ac:dyDescent="0.3">
      <c r="I2595" s="101"/>
    </row>
    <row r="2596" spans="9:9" x14ac:dyDescent="0.3">
      <c r="I2596" s="101"/>
    </row>
    <row r="2597" spans="9:9" x14ac:dyDescent="0.3">
      <c r="I2597" s="101"/>
    </row>
    <row r="2598" spans="9:9" x14ac:dyDescent="0.3">
      <c r="I2598" s="101"/>
    </row>
    <row r="2599" spans="9:9" x14ac:dyDescent="0.3">
      <c r="I2599" s="101"/>
    </row>
    <row r="2600" spans="9:9" x14ac:dyDescent="0.3">
      <c r="I2600" s="101"/>
    </row>
    <row r="2601" spans="9:9" x14ac:dyDescent="0.3">
      <c r="I2601" s="101"/>
    </row>
    <row r="2602" spans="9:9" x14ac:dyDescent="0.3">
      <c r="I2602" s="101"/>
    </row>
    <row r="2603" spans="9:9" x14ac:dyDescent="0.3">
      <c r="I2603" s="101"/>
    </row>
    <row r="2604" spans="9:9" x14ac:dyDescent="0.3">
      <c r="I2604" s="101"/>
    </row>
    <row r="2605" spans="9:9" x14ac:dyDescent="0.3">
      <c r="I2605" s="101"/>
    </row>
    <row r="2606" spans="9:9" x14ac:dyDescent="0.3">
      <c r="I2606" s="101"/>
    </row>
    <row r="2607" spans="9:9" x14ac:dyDescent="0.3">
      <c r="I2607" s="101"/>
    </row>
    <row r="2608" spans="9:9" x14ac:dyDescent="0.3">
      <c r="I2608" s="101"/>
    </row>
    <row r="2609" spans="9:9" x14ac:dyDescent="0.3">
      <c r="I2609" s="101"/>
    </row>
    <row r="2610" spans="9:9" x14ac:dyDescent="0.3">
      <c r="I2610" s="101"/>
    </row>
    <row r="2611" spans="9:9" x14ac:dyDescent="0.3">
      <c r="I2611" s="101"/>
    </row>
    <row r="2612" spans="9:9" x14ac:dyDescent="0.3">
      <c r="I2612" s="101"/>
    </row>
    <row r="2613" spans="9:9" x14ac:dyDescent="0.3">
      <c r="I2613" s="101"/>
    </row>
    <row r="2614" spans="9:9" x14ac:dyDescent="0.3">
      <c r="I2614" s="101"/>
    </row>
    <row r="2615" spans="9:9" x14ac:dyDescent="0.3">
      <c r="I2615" s="101"/>
    </row>
    <row r="2616" spans="9:9" x14ac:dyDescent="0.3">
      <c r="I2616" s="101"/>
    </row>
    <row r="2617" spans="9:9" x14ac:dyDescent="0.3">
      <c r="I2617" s="101"/>
    </row>
    <row r="2618" spans="9:9" x14ac:dyDescent="0.3">
      <c r="I2618" s="101"/>
    </row>
    <row r="2619" spans="9:9" x14ac:dyDescent="0.3">
      <c r="I2619" s="101"/>
    </row>
    <row r="2620" spans="9:9" x14ac:dyDescent="0.3">
      <c r="I2620" s="101"/>
    </row>
    <row r="2621" spans="9:9" x14ac:dyDescent="0.3">
      <c r="I2621" s="101"/>
    </row>
    <row r="2622" spans="9:9" x14ac:dyDescent="0.3">
      <c r="I2622" s="101"/>
    </row>
    <row r="2623" spans="9:9" x14ac:dyDescent="0.3">
      <c r="I2623" s="101"/>
    </row>
    <row r="2624" spans="9:9" x14ac:dyDescent="0.3">
      <c r="I2624" s="101"/>
    </row>
    <row r="2625" spans="9:9" x14ac:dyDescent="0.3">
      <c r="I2625" s="101"/>
    </row>
    <row r="2626" spans="9:9" x14ac:dyDescent="0.3">
      <c r="I2626" s="101"/>
    </row>
    <row r="2627" spans="9:9" x14ac:dyDescent="0.3">
      <c r="I2627" s="101"/>
    </row>
    <row r="2628" spans="9:9" x14ac:dyDescent="0.3">
      <c r="I2628" s="101"/>
    </row>
    <row r="2629" spans="9:9" x14ac:dyDescent="0.3">
      <c r="I2629" s="101"/>
    </row>
    <row r="2630" spans="9:9" x14ac:dyDescent="0.3">
      <c r="I2630" s="101"/>
    </row>
    <row r="2631" spans="9:9" x14ac:dyDescent="0.3">
      <c r="I2631" s="101"/>
    </row>
    <row r="2632" spans="9:9" x14ac:dyDescent="0.3">
      <c r="I2632" s="101"/>
    </row>
    <row r="2633" spans="9:9" x14ac:dyDescent="0.3">
      <c r="I2633" s="101"/>
    </row>
    <row r="2634" spans="9:9" x14ac:dyDescent="0.3">
      <c r="I2634" s="101"/>
    </row>
    <row r="2635" spans="9:9" x14ac:dyDescent="0.3">
      <c r="I2635" s="101"/>
    </row>
    <row r="2636" spans="9:9" x14ac:dyDescent="0.3">
      <c r="I2636" s="101"/>
    </row>
    <row r="2637" spans="9:9" x14ac:dyDescent="0.3">
      <c r="I2637" s="101"/>
    </row>
    <row r="2638" spans="9:9" x14ac:dyDescent="0.3">
      <c r="I2638" s="101"/>
    </row>
    <row r="2639" spans="9:9" x14ac:dyDescent="0.3">
      <c r="I2639" s="101"/>
    </row>
    <row r="2640" spans="9:9" x14ac:dyDescent="0.3">
      <c r="I2640" s="101"/>
    </row>
    <row r="2641" spans="9:9" x14ac:dyDescent="0.3">
      <c r="I2641" s="101"/>
    </row>
    <row r="2642" spans="9:9" x14ac:dyDescent="0.3">
      <c r="I2642" s="101"/>
    </row>
    <row r="2643" spans="9:9" x14ac:dyDescent="0.3">
      <c r="I2643" s="101"/>
    </row>
    <row r="2644" spans="9:9" x14ac:dyDescent="0.3">
      <c r="I2644" s="101"/>
    </row>
    <row r="2645" spans="9:9" x14ac:dyDescent="0.3">
      <c r="I2645" s="101"/>
    </row>
    <row r="2646" spans="9:9" x14ac:dyDescent="0.3">
      <c r="I2646" s="101"/>
    </row>
    <row r="2647" spans="9:9" x14ac:dyDescent="0.3">
      <c r="I2647" s="101"/>
    </row>
    <row r="2648" spans="9:9" x14ac:dyDescent="0.3">
      <c r="I2648" s="101"/>
    </row>
    <row r="2649" spans="9:9" x14ac:dyDescent="0.3">
      <c r="I2649" s="101"/>
    </row>
    <row r="2650" spans="9:9" x14ac:dyDescent="0.3">
      <c r="I2650" s="101"/>
    </row>
    <row r="2651" spans="9:9" x14ac:dyDescent="0.3">
      <c r="I2651" s="101"/>
    </row>
    <row r="2652" spans="9:9" x14ac:dyDescent="0.3">
      <c r="I2652" s="101"/>
    </row>
    <row r="2653" spans="9:9" x14ac:dyDescent="0.3">
      <c r="I2653" s="101"/>
    </row>
    <row r="2654" spans="9:9" x14ac:dyDescent="0.3">
      <c r="I2654" s="101"/>
    </row>
    <row r="2655" spans="9:9" x14ac:dyDescent="0.3">
      <c r="I2655" s="101"/>
    </row>
    <row r="2656" spans="9:9" x14ac:dyDescent="0.3">
      <c r="I2656" s="101"/>
    </row>
    <row r="2657" spans="9:9" x14ac:dyDescent="0.3">
      <c r="I2657" s="101"/>
    </row>
    <row r="2658" spans="9:9" x14ac:dyDescent="0.3">
      <c r="I2658" s="101"/>
    </row>
    <row r="2659" spans="9:9" x14ac:dyDescent="0.3">
      <c r="I2659" s="101"/>
    </row>
    <row r="2660" spans="9:9" x14ac:dyDescent="0.3">
      <c r="I2660" s="101"/>
    </row>
    <row r="2661" spans="9:9" x14ac:dyDescent="0.3">
      <c r="I2661" s="101"/>
    </row>
    <row r="2662" spans="9:9" x14ac:dyDescent="0.3">
      <c r="I2662" s="101"/>
    </row>
    <row r="2663" spans="9:9" x14ac:dyDescent="0.3">
      <c r="I2663" s="101"/>
    </row>
    <row r="2664" spans="9:9" x14ac:dyDescent="0.3">
      <c r="I2664" s="101"/>
    </row>
    <row r="2665" spans="9:9" x14ac:dyDescent="0.3">
      <c r="I2665" s="101"/>
    </row>
    <row r="2666" spans="9:9" x14ac:dyDescent="0.3">
      <c r="I2666" s="101"/>
    </row>
    <row r="2667" spans="9:9" x14ac:dyDescent="0.3">
      <c r="I2667" s="101"/>
    </row>
    <row r="2668" spans="9:9" x14ac:dyDescent="0.3">
      <c r="I2668" s="101"/>
    </row>
    <row r="2669" spans="9:9" x14ac:dyDescent="0.3">
      <c r="I2669" s="101"/>
    </row>
    <row r="2670" spans="9:9" x14ac:dyDescent="0.3">
      <c r="I2670" s="101"/>
    </row>
    <row r="2671" spans="9:9" x14ac:dyDescent="0.3">
      <c r="I2671" s="101"/>
    </row>
    <row r="2672" spans="9:9" x14ac:dyDescent="0.3">
      <c r="I2672" s="101"/>
    </row>
    <row r="2673" spans="9:9" x14ac:dyDescent="0.3">
      <c r="I2673" s="101"/>
    </row>
    <row r="2674" spans="9:9" x14ac:dyDescent="0.3">
      <c r="I2674" s="101"/>
    </row>
    <row r="2675" spans="9:9" x14ac:dyDescent="0.3">
      <c r="I2675" s="101"/>
    </row>
    <row r="2676" spans="9:9" x14ac:dyDescent="0.3">
      <c r="I2676" s="101"/>
    </row>
    <row r="2677" spans="9:9" x14ac:dyDescent="0.3">
      <c r="I2677" s="101"/>
    </row>
    <row r="2678" spans="9:9" x14ac:dyDescent="0.3">
      <c r="I2678" s="101"/>
    </row>
    <row r="2679" spans="9:9" x14ac:dyDescent="0.3">
      <c r="I2679" s="101"/>
    </row>
    <row r="2680" spans="9:9" x14ac:dyDescent="0.3">
      <c r="I2680" s="101"/>
    </row>
    <row r="2681" spans="9:9" x14ac:dyDescent="0.3">
      <c r="I2681" s="101"/>
    </row>
    <row r="2682" spans="9:9" x14ac:dyDescent="0.3">
      <c r="I2682" s="101"/>
    </row>
    <row r="2683" spans="9:9" x14ac:dyDescent="0.3">
      <c r="I2683" s="101"/>
    </row>
    <row r="2684" spans="9:9" x14ac:dyDescent="0.3">
      <c r="I2684" s="101"/>
    </row>
    <row r="2685" spans="9:9" x14ac:dyDescent="0.3">
      <c r="I2685" s="101"/>
    </row>
    <row r="2686" spans="9:9" x14ac:dyDescent="0.3">
      <c r="I2686" s="101"/>
    </row>
    <row r="2687" spans="9:9" x14ac:dyDescent="0.3">
      <c r="I2687" s="101"/>
    </row>
    <row r="2688" spans="9:9" x14ac:dyDescent="0.3">
      <c r="I2688" s="101"/>
    </row>
    <row r="2689" spans="9:9" x14ac:dyDescent="0.3">
      <c r="I2689" s="101"/>
    </row>
    <row r="2690" spans="9:9" x14ac:dyDescent="0.3">
      <c r="I2690" s="101"/>
    </row>
    <row r="2691" spans="9:9" x14ac:dyDescent="0.3">
      <c r="I2691" s="101"/>
    </row>
    <row r="2692" spans="9:9" x14ac:dyDescent="0.3">
      <c r="I2692" s="101"/>
    </row>
    <row r="2693" spans="9:9" x14ac:dyDescent="0.3">
      <c r="I2693" s="101"/>
    </row>
    <row r="2694" spans="9:9" x14ac:dyDescent="0.3">
      <c r="I2694" s="101"/>
    </row>
    <row r="2695" spans="9:9" x14ac:dyDescent="0.3">
      <c r="I2695" s="101"/>
    </row>
    <row r="2696" spans="9:9" x14ac:dyDescent="0.3">
      <c r="I2696" s="101"/>
    </row>
    <row r="2697" spans="9:9" x14ac:dyDescent="0.3">
      <c r="I2697" s="101"/>
    </row>
    <row r="2698" spans="9:9" x14ac:dyDescent="0.3">
      <c r="I2698" s="101"/>
    </row>
    <row r="2699" spans="9:9" x14ac:dyDescent="0.3">
      <c r="I2699" s="101"/>
    </row>
    <row r="2700" spans="9:9" x14ac:dyDescent="0.3">
      <c r="I2700" s="101"/>
    </row>
    <row r="2701" spans="9:9" x14ac:dyDescent="0.3">
      <c r="I2701" s="101"/>
    </row>
    <row r="2702" spans="9:9" x14ac:dyDescent="0.3">
      <c r="I2702" s="101"/>
    </row>
    <row r="2703" spans="9:9" x14ac:dyDescent="0.3">
      <c r="I2703" s="101"/>
    </row>
    <row r="2704" spans="9:9" x14ac:dyDescent="0.3">
      <c r="I2704" s="101"/>
    </row>
    <row r="2705" spans="9:9" x14ac:dyDescent="0.3">
      <c r="I2705" s="101"/>
    </row>
    <row r="2706" spans="9:9" x14ac:dyDescent="0.3">
      <c r="I2706" s="101"/>
    </row>
    <row r="2707" spans="9:9" x14ac:dyDescent="0.3">
      <c r="I2707" s="101"/>
    </row>
    <row r="2708" spans="9:9" x14ac:dyDescent="0.3">
      <c r="I2708" s="101"/>
    </row>
    <row r="2709" spans="9:9" x14ac:dyDescent="0.3">
      <c r="I2709" s="101"/>
    </row>
    <row r="2710" spans="9:9" x14ac:dyDescent="0.3">
      <c r="I2710" s="101"/>
    </row>
    <row r="2711" spans="9:9" x14ac:dyDescent="0.3">
      <c r="I2711" s="101"/>
    </row>
    <row r="2712" spans="9:9" x14ac:dyDescent="0.3">
      <c r="I2712" s="101"/>
    </row>
    <row r="2713" spans="9:9" x14ac:dyDescent="0.3">
      <c r="I2713" s="101"/>
    </row>
    <row r="2714" spans="9:9" x14ac:dyDescent="0.3">
      <c r="I2714" s="101"/>
    </row>
    <row r="2715" spans="9:9" x14ac:dyDescent="0.3">
      <c r="I2715" s="101"/>
    </row>
    <row r="2716" spans="9:9" x14ac:dyDescent="0.3">
      <c r="I2716" s="101"/>
    </row>
    <row r="2717" spans="9:9" x14ac:dyDescent="0.3">
      <c r="I2717" s="101"/>
    </row>
    <row r="2718" spans="9:9" x14ac:dyDescent="0.3">
      <c r="I2718" s="101"/>
    </row>
    <row r="2719" spans="9:9" x14ac:dyDescent="0.3">
      <c r="I2719" s="101"/>
    </row>
    <row r="2720" spans="9:9" x14ac:dyDescent="0.3">
      <c r="I2720" s="101"/>
    </row>
    <row r="2721" spans="9:9" x14ac:dyDescent="0.3">
      <c r="I2721" s="101"/>
    </row>
    <row r="2722" spans="9:9" x14ac:dyDescent="0.3">
      <c r="I2722" s="101"/>
    </row>
    <row r="2723" spans="9:9" x14ac:dyDescent="0.3">
      <c r="I2723" s="101"/>
    </row>
    <row r="2724" spans="9:9" x14ac:dyDescent="0.3">
      <c r="I2724" s="101"/>
    </row>
    <row r="2725" spans="9:9" x14ac:dyDescent="0.3">
      <c r="I2725" s="101"/>
    </row>
    <row r="2726" spans="9:9" x14ac:dyDescent="0.3">
      <c r="I2726" s="101"/>
    </row>
    <row r="2727" spans="9:9" x14ac:dyDescent="0.3">
      <c r="I2727" s="101"/>
    </row>
    <row r="2728" spans="9:9" x14ac:dyDescent="0.3">
      <c r="I2728" s="101"/>
    </row>
    <row r="2729" spans="9:9" x14ac:dyDescent="0.3">
      <c r="I2729" s="101"/>
    </row>
    <row r="2730" spans="9:9" x14ac:dyDescent="0.3">
      <c r="I2730" s="101"/>
    </row>
    <row r="2731" spans="9:9" x14ac:dyDescent="0.3">
      <c r="I2731" s="101"/>
    </row>
    <row r="2732" spans="9:9" x14ac:dyDescent="0.3">
      <c r="I2732" s="101"/>
    </row>
    <row r="2733" spans="9:9" x14ac:dyDescent="0.3">
      <c r="I2733" s="101"/>
    </row>
    <row r="2734" spans="9:9" x14ac:dyDescent="0.3">
      <c r="I2734" s="101"/>
    </row>
    <row r="2735" spans="9:9" x14ac:dyDescent="0.3">
      <c r="I2735" s="101"/>
    </row>
    <row r="2736" spans="9:9" x14ac:dyDescent="0.3">
      <c r="I2736" s="101"/>
    </row>
    <row r="2737" spans="9:9" x14ac:dyDescent="0.3">
      <c r="I2737" s="101"/>
    </row>
    <row r="2738" spans="9:9" x14ac:dyDescent="0.3">
      <c r="I2738" s="101"/>
    </row>
    <row r="2739" spans="9:9" x14ac:dyDescent="0.3">
      <c r="I2739" s="101"/>
    </row>
    <row r="2740" spans="9:9" x14ac:dyDescent="0.3">
      <c r="I2740" s="101"/>
    </row>
    <row r="2741" spans="9:9" x14ac:dyDescent="0.3">
      <c r="I2741" s="101"/>
    </row>
    <row r="2742" spans="9:9" x14ac:dyDescent="0.3">
      <c r="I2742" s="101"/>
    </row>
    <row r="2743" spans="9:9" x14ac:dyDescent="0.3">
      <c r="I2743" s="101"/>
    </row>
    <row r="2744" spans="9:9" x14ac:dyDescent="0.3">
      <c r="I2744" s="101"/>
    </row>
    <row r="2745" spans="9:9" x14ac:dyDescent="0.3">
      <c r="I2745" s="101"/>
    </row>
    <row r="2746" spans="9:9" x14ac:dyDescent="0.3">
      <c r="I2746" s="101"/>
    </row>
    <row r="2747" spans="9:9" x14ac:dyDescent="0.3">
      <c r="I2747" s="101"/>
    </row>
    <row r="2748" spans="9:9" x14ac:dyDescent="0.3">
      <c r="I2748" s="101"/>
    </row>
    <row r="2749" spans="9:9" x14ac:dyDescent="0.3">
      <c r="I2749" s="101"/>
    </row>
    <row r="2750" spans="9:9" x14ac:dyDescent="0.3">
      <c r="I2750" s="101"/>
    </row>
    <row r="2751" spans="9:9" x14ac:dyDescent="0.3">
      <c r="I2751" s="101"/>
    </row>
    <row r="2752" spans="9:9" x14ac:dyDescent="0.3">
      <c r="I2752" s="101"/>
    </row>
    <row r="2753" spans="9:9" x14ac:dyDescent="0.3">
      <c r="I2753" s="101"/>
    </row>
    <row r="2754" spans="9:9" x14ac:dyDescent="0.3">
      <c r="I2754" s="101"/>
    </row>
    <row r="2755" spans="9:9" x14ac:dyDescent="0.3">
      <c r="I2755" s="101"/>
    </row>
    <row r="2756" spans="9:9" x14ac:dyDescent="0.3">
      <c r="I2756" s="101"/>
    </row>
    <row r="2757" spans="9:9" x14ac:dyDescent="0.3">
      <c r="I2757" s="101"/>
    </row>
    <row r="2758" spans="9:9" x14ac:dyDescent="0.3">
      <c r="I2758" s="101"/>
    </row>
    <row r="2759" spans="9:9" x14ac:dyDescent="0.3">
      <c r="I2759" s="101"/>
    </row>
    <row r="2760" spans="9:9" x14ac:dyDescent="0.3">
      <c r="I2760" s="101"/>
    </row>
    <row r="2761" spans="9:9" x14ac:dyDescent="0.3">
      <c r="I2761" s="101"/>
    </row>
    <row r="2762" spans="9:9" x14ac:dyDescent="0.3">
      <c r="I2762" s="101"/>
    </row>
    <row r="2763" spans="9:9" x14ac:dyDescent="0.3">
      <c r="I2763" s="101"/>
    </row>
    <row r="2764" spans="9:9" x14ac:dyDescent="0.3">
      <c r="I2764" s="101"/>
    </row>
    <row r="2765" spans="9:9" x14ac:dyDescent="0.3">
      <c r="I2765" s="101"/>
    </row>
    <row r="2766" spans="9:9" x14ac:dyDescent="0.3">
      <c r="I2766" s="101"/>
    </row>
    <row r="2767" spans="9:9" x14ac:dyDescent="0.3">
      <c r="I2767" s="101"/>
    </row>
    <row r="2768" spans="9:9" x14ac:dyDescent="0.3">
      <c r="I2768" s="101"/>
    </row>
    <row r="2769" spans="9:9" x14ac:dyDescent="0.3">
      <c r="I2769" s="101"/>
    </row>
    <row r="2770" spans="9:9" x14ac:dyDescent="0.3">
      <c r="I2770" s="101"/>
    </row>
    <row r="2771" spans="9:9" x14ac:dyDescent="0.3">
      <c r="I2771" s="101"/>
    </row>
    <row r="2772" spans="9:9" x14ac:dyDescent="0.3">
      <c r="I2772" s="101"/>
    </row>
    <row r="2773" spans="9:9" x14ac:dyDescent="0.3">
      <c r="I2773" s="101"/>
    </row>
    <row r="2774" spans="9:9" x14ac:dyDescent="0.3">
      <c r="I2774" s="101"/>
    </row>
    <row r="2775" spans="9:9" x14ac:dyDescent="0.3">
      <c r="I2775" s="101"/>
    </row>
    <row r="2776" spans="9:9" x14ac:dyDescent="0.3">
      <c r="I2776" s="101"/>
    </row>
    <row r="2777" spans="9:9" x14ac:dyDescent="0.3">
      <c r="I2777" s="101"/>
    </row>
    <row r="2778" spans="9:9" x14ac:dyDescent="0.3">
      <c r="I2778" s="101"/>
    </row>
    <row r="2779" spans="9:9" x14ac:dyDescent="0.3">
      <c r="I2779" s="101"/>
    </row>
    <row r="2780" spans="9:9" x14ac:dyDescent="0.3">
      <c r="I2780" s="101"/>
    </row>
    <row r="2781" spans="9:9" x14ac:dyDescent="0.3">
      <c r="I2781" s="101"/>
    </row>
    <row r="2782" spans="9:9" x14ac:dyDescent="0.3">
      <c r="I2782" s="101"/>
    </row>
    <row r="2783" spans="9:9" x14ac:dyDescent="0.3">
      <c r="I2783" s="101"/>
    </row>
    <row r="2784" spans="9:9" x14ac:dyDescent="0.3">
      <c r="I2784" s="101"/>
    </row>
    <row r="2785" spans="9:9" x14ac:dyDescent="0.3">
      <c r="I2785" s="101"/>
    </row>
    <row r="2786" spans="9:9" x14ac:dyDescent="0.3">
      <c r="I2786" s="101"/>
    </row>
    <row r="2787" spans="9:9" x14ac:dyDescent="0.3">
      <c r="I2787" s="101"/>
    </row>
    <row r="2788" spans="9:9" x14ac:dyDescent="0.3">
      <c r="I2788" s="101"/>
    </row>
    <row r="2789" spans="9:9" x14ac:dyDescent="0.3">
      <c r="I2789" s="101"/>
    </row>
    <row r="2790" spans="9:9" x14ac:dyDescent="0.3">
      <c r="I2790" s="101"/>
    </row>
    <row r="2791" spans="9:9" x14ac:dyDescent="0.3">
      <c r="I2791" s="101"/>
    </row>
    <row r="2792" spans="9:9" x14ac:dyDescent="0.3">
      <c r="I2792" s="101"/>
    </row>
    <row r="2793" spans="9:9" x14ac:dyDescent="0.3">
      <c r="I2793" s="101"/>
    </row>
    <row r="2794" spans="9:9" x14ac:dyDescent="0.3">
      <c r="I2794" s="101"/>
    </row>
    <row r="2795" spans="9:9" x14ac:dyDescent="0.3">
      <c r="I2795" s="101"/>
    </row>
    <row r="2796" spans="9:9" x14ac:dyDescent="0.3">
      <c r="I2796" s="101"/>
    </row>
    <row r="2797" spans="9:9" x14ac:dyDescent="0.3">
      <c r="I2797" s="101"/>
    </row>
    <row r="2798" spans="9:9" x14ac:dyDescent="0.3">
      <c r="I2798" s="101"/>
    </row>
    <row r="2799" spans="9:9" x14ac:dyDescent="0.3">
      <c r="I2799" s="101"/>
    </row>
    <row r="2800" spans="9:9" x14ac:dyDescent="0.3">
      <c r="I2800" s="101"/>
    </row>
    <row r="2801" spans="9:9" x14ac:dyDescent="0.3">
      <c r="I2801" s="101"/>
    </row>
    <row r="2802" spans="9:9" x14ac:dyDescent="0.3">
      <c r="I2802" s="101"/>
    </row>
    <row r="2803" spans="9:9" x14ac:dyDescent="0.3">
      <c r="I2803" s="101"/>
    </row>
    <row r="2804" spans="9:9" x14ac:dyDescent="0.3">
      <c r="I2804" s="101"/>
    </row>
    <row r="2805" spans="9:9" x14ac:dyDescent="0.3">
      <c r="I2805" s="101"/>
    </row>
    <row r="2806" spans="9:9" x14ac:dyDescent="0.3">
      <c r="I2806" s="101"/>
    </row>
    <row r="2807" spans="9:9" x14ac:dyDescent="0.3">
      <c r="I2807" s="101"/>
    </row>
    <row r="2808" spans="9:9" x14ac:dyDescent="0.3">
      <c r="I2808" s="101"/>
    </row>
    <row r="2809" spans="9:9" x14ac:dyDescent="0.3">
      <c r="I2809" s="101"/>
    </row>
    <row r="2810" spans="9:9" x14ac:dyDescent="0.3">
      <c r="I2810" s="101"/>
    </row>
    <row r="2811" spans="9:9" x14ac:dyDescent="0.3">
      <c r="I2811" s="101"/>
    </row>
    <row r="2812" spans="9:9" x14ac:dyDescent="0.3">
      <c r="I2812" s="101"/>
    </row>
    <row r="2813" spans="9:9" x14ac:dyDescent="0.3">
      <c r="I2813" s="101"/>
    </row>
    <row r="2814" spans="9:9" x14ac:dyDescent="0.3">
      <c r="I2814" s="101"/>
    </row>
    <row r="2815" spans="9:9" x14ac:dyDescent="0.3">
      <c r="I2815" s="101"/>
    </row>
    <row r="2816" spans="9:9" x14ac:dyDescent="0.3">
      <c r="I2816" s="101"/>
    </row>
    <row r="2817" spans="9:9" x14ac:dyDescent="0.3">
      <c r="I2817" s="101"/>
    </row>
    <row r="2818" spans="9:9" x14ac:dyDescent="0.3">
      <c r="I2818" s="101"/>
    </row>
    <row r="2819" spans="9:9" x14ac:dyDescent="0.3">
      <c r="I2819" s="101"/>
    </row>
    <row r="2820" spans="9:9" x14ac:dyDescent="0.3">
      <c r="I2820" s="101"/>
    </row>
    <row r="2821" spans="9:9" x14ac:dyDescent="0.3">
      <c r="I2821" s="101"/>
    </row>
    <row r="2822" spans="9:9" x14ac:dyDescent="0.3">
      <c r="I2822" s="101"/>
    </row>
    <row r="2823" spans="9:9" x14ac:dyDescent="0.3">
      <c r="I2823" s="101"/>
    </row>
    <row r="2824" spans="9:9" x14ac:dyDescent="0.3">
      <c r="I2824" s="101"/>
    </row>
    <row r="2825" spans="9:9" x14ac:dyDescent="0.3">
      <c r="I2825" s="101"/>
    </row>
    <row r="2826" spans="9:9" x14ac:dyDescent="0.3">
      <c r="I2826" s="101"/>
    </row>
    <row r="2827" spans="9:9" x14ac:dyDescent="0.3">
      <c r="I2827" s="101"/>
    </row>
    <row r="2828" spans="9:9" x14ac:dyDescent="0.3">
      <c r="I2828" s="101"/>
    </row>
    <row r="2829" spans="9:9" x14ac:dyDescent="0.3">
      <c r="I2829" s="101"/>
    </row>
    <row r="2830" spans="9:9" x14ac:dyDescent="0.3">
      <c r="I2830" s="101"/>
    </row>
    <row r="2831" spans="9:9" x14ac:dyDescent="0.3">
      <c r="I2831" s="101"/>
    </row>
    <row r="2832" spans="9:9" x14ac:dyDescent="0.3">
      <c r="I2832" s="101"/>
    </row>
    <row r="2833" spans="9:9" x14ac:dyDescent="0.3">
      <c r="I2833" s="101"/>
    </row>
    <row r="2834" spans="9:9" x14ac:dyDescent="0.3">
      <c r="I2834" s="101"/>
    </row>
    <row r="2835" spans="9:9" x14ac:dyDescent="0.3">
      <c r="I2835" s="101"/>
    </row>
    <row r="2836" spans="9:9" x14ac:dyDescent="0.3">
      <c r="I2836" s="101"/>
    </row>
    <row r="2837" spans="9:9" x14ac:dyDescent="0.3">
      <c r="I2837" s="101"/>
    </row>
    <row r="2838" spans="9:9" x14ac:dyDescent="0.3">
      <c r="I2838" s="101"/>
    </row>
    <row r="2839" spans="9:9" x14ac:dyDescent="0.3">
      <c r="I2839" s="101"/>
    </row>
    <row r="2840" spans="9:9" x14ac:dyDescent="0.3">
      <c r="I2840" s="101"/>
    </row>
    <row r="2841" spans="9:9" x14ac:dyDescent="0.3">
      <c r="I2841" s="101"/>
    </row>
    <row r="2842" spans="9:9" x14ac:dyDescent="0.3">
      <c r="I2842" s="101"/>
    </row>
    <row r="2843" spans="9:9" x14ac:dyDescent="0.3">
      <c r="I2843" s="101"/>
    </row>
    <row r="2844" spans="9:9" x14ac:dyDescent="0.3">
      <c r="I2844" s="101"/>
    </row>
    <row r="2845" spans="9:9" x14ac:dyDescent="0.3">
      <c r="I2845" s="101"/>
    </row>
    <row r="2846" spans="9:9" x14ac:dyDescent="0.3">
      <c r="I2846" s="101"/>
    </row>
    <row r="2847" spans="9:9" x14ac:dyDescent="0.3">
      <c r="I2847" s="101"/>
    </row>
    <row r="2848" spans="9:9" x14ac:dyDescent="0.3">
      <c r="I2848" s="101"/>
    </row>
    <row r="2849" spans="9:9" x14ac:dyDescent="0.3">
      <c r="I2849" s="101"/>
    </row>
    <row r="2850" spans="9:9" x14ac:dyDescent="0.3">
      <c r="I2850" s="101"/>
    </row>
    <row r="2851" spans="9:9" x14ac:dyDescent="0.3">
      <c r="I2851" s="101"/>
    </row>
    <row r="2852" spans="9:9" x14ac:dyDescent="0.3">
      <c r="I2852" s="101"/>
    </row>
    <row r="2853" spans="9:9" x14ac:dyDescent="0.3">
      <c r="I2853" s="101"/>
    </row>
    <row r="2854" spans="9:9" x14ac:dyDescent="0.3">
      <c r="I2854" s="101"/>
    </row>
    <row r="2855" spans="9:9" x14ac:dyDescent="0.3">
      <c r="I2855" s="101"/>
    </row>
    <row r="2856" spans="9:9" x14ac:dyDescent="0.3">
      <c r="I2856" s="101"/>
    </row>
    <row r="2857" spans="9:9" x14ac:dyDescent="0.3">
      <c r="I2857" s="101"/>
    </row>
    <row r="2858" spans="9:9" x14ac:dyDescent="0.3">
      <c r="I2858" s="101"/>
    </row>
    <row r="2859" spans="9:9" x14ac:dyDescent="0.3">
      <c r="I2859" s="101"/>
    </row>
    <row r="2860" spans="9:9" x14ac:dyDescent="0.3">
      <c r="I2860" s="101"/>
    </row>
    <row r="2861" spans="9:9" x14ac:dyDescent="0.3">
      <c r="I2861" s="101"/>
    </row>
    <row r="2862" spans="9:9" x14ac:dyDescent="0.3">
      <c r="I2862" s="101"/>
    </row>
    <row r="2863" spans="9:9" x14ac:dyDescent="0.3">
      <c r="I2863" s="101"/>
    </row>
    <row r="2864" spans="9:9" x14ac:dyDescent="0.3">
      <c r="I2864" s="101"/>
    </row>
    <row r="2865" spans="9:9" x14ac:dyDescent="0.3">
      <c r="I2865" s="101"/>
    </row>
    <row r="2866" spans="9:9" x14ac:dyDescent="0.3">
      <c r="I2866" s="101"/>
    </row>
    <row r="2867" spans="9:9" x14ac:dyDescent="0.3">
      <c r="I2867" s="101"/>
    </row>
    <row r="2868" spans="9:9" x14ac:dyDescent="0.3">
      <c r="I2868" s="101"/>
    </row>
    <row r="2869" spans="9:9" x14ac:dyDescent="0.3">
      <c r="I2869" s="101"/>
    </row>
    <row r="2870" spans="9:9" x14ac:dyDescent="0.3">
      <c r="I2870" s="101"/>
    </row>
    <row r="2871" spans="9:9" x14ac:dyDescent="0.3">
      <c r="I2871" s="101"/>
    </row>
    <row r="2872" spans="9:9" x14ac:dyDescent="0.3">
      <c r="I2872" s="101"/>
    </row>
    <row r="2873" spans="9:9" x14ac:dyDescent="0.3">
      <c r="I2873" s="101"/>
    </row>
    <row r="2874" spans="9:9" x14ac:dyDescent="0.3">
      <c r="I2874" s="101"/>
    </row>
    <row r="2875" spans="9:9" x14ac:dyDescent="0.3">
      <c r="I2875" s="101"/>
    </row>
    <row r="2876" spans="9:9" x14ac:dyDescent="0.3">
      <c r="I2876" s="101"/>
    </row>
    <row r="2877" spans="9:9" x14ac:dyDescent="0.3">
      <c r="I2877" s="101"/>
    </row>
    <row r="2878" spans="9:9" x14ac:dyDescent="0.3">
      <c r="I2878" s="101"/>
    </row>
    <row r="2879" spans="9:9" x14ac:dyDescent="0.3">
      <c r="I2879" s="101"/>
    </row>
    <row r="2880" spans="9:9" x14ac:dyDescent="0.3">
      <c r="I2880" s="101"/>
    </row>
    <row r="2881" spans="9:9" x14ac:dyDescent="0.3">
      <c r="I2881" s="101"/>
    </row>
    <row r="2882" spans="9:9" x14ac:dyDescent="0.3">
      <c r="I2882" s="101"/>
    </row>
    <row r="2883" spans="9:9" x14ac:dyDescent="0.3">
      <c r="I2883" s="101"/>
    </row>
    <row r="2884" spans="9:9" x14ac:dyDescent="0.3">
      <c r="I2884" s="101"/>
    </row>
    <row r="2885" spans="9:9" x14ac:dyDescent="0.3">
      <c r="I2885" s="101"/>
    </row>
    <row r="2886" spans="9:9" x14ac:dyDescent="0.3">
      <c r="I2886" s="101"/>
    </row>
    <row r="2887" spans="9:9" x14ac:dyDescent="0.3">
      <c r="I2887" s="101"/>
    </row>
    <row r="2888" spans="9:9" x14ac:dyDescent="0.3">
      <c r="I2888" s="101"/>
    </row>
    <row r="2889" spans="9:9" x14ac:dyDescent="0.3">
      <c r="I2889" s="101"/>
    </row>
    <row r="2890" spans="9:9" x14ac:dyDescent="0.3">
      <c r="I2890" s="101"/>
    </row>
    <row r="2891" spans="9:9" x14ac:dyDescent="0.3">
      <c r="I2891" s="101"/>
    </row>
    <row r="2892" spans="9:9" x14ac:dyDescent="0.3">
      <c r="I2892" s="101"/>
    </row>
    <row r="2893" spans="9:9" x14ac:dyDescent="0.3">
      <c r="I2893" s="101"/>
    </row>
    <row r="2894" spans="9:9" x14ac:dyDescent="0.3">
      <c r="I2894" s="101"/>
    </row>
    <row r="2895" spans="9:9" x14ac:dyDescent="0.3">
      <c r="I2895" s="101"/>
    </row>
    <row r="2896" spans="9:9" x14ac:dyDescent="0.3">
      <c r="I2896" s="101"/>
    </row>
    <row r="2897" spans="9:9" x14ac:dyDescent="0.3">
      <c r="I2897" s="101"/>
    </row>
    <row r="2898" spans="9:9" x14ac:dyDescent="0.3">
      <c r="I2898" s="101"/>
    </row>
    <row r="2899" spans="9:9" x14ac:dyDescent="0.3">
      <c r="I2899" s="101"/>
    </row>
    <row r="2900" spans="9:9" x14ac:dyDescent="0.3">
      <c r="I2900" s="101"/>
    </row>
    <row r="2901" spans="9:9" x14ac:dyDescent="0.3">
      <c r="I2901" s="101"/>
    </row>
    <row r="2902" spans="9:9" x14ac:dyDescent="0.3">
      <c r="I2902" s="101"/>
    </row>
    <row r="2903" spans="9:9" x14ac:dyDescent="0.3">
      <c r="I2903" s="101"/>
    </row>
    <row r="2904" spans="9:9" x14ac:dyDescent="0.3">
      <c r="I2904" s="101"/>
    </row>
    <row r="2905" spans="9:9" x14ac:dyDescent="0.3">
      <c r="I2905" s="101"/>
    </row>
    <row r="2906" spans="9:9" x14ac:dyDescent="0.3">
      <c r="I2906" s="101"/>
    </row>
    <row r="2907" spans="9:9" x14ac:dyDescent="0.3">
      <c r="I2907" s="101"/>
    </row>
    <row r="2908" spans="9:9" x14ac:dyDescent="0.3">
      <c r="I2908" s="101"/>
    </row>
    <row r="2909" spans="9:9" x14ac:dyDescent="0.3">
      <c r="I2909" s="101"/>
    </row>
    <row r="2910" spans="9:9" x14ac:dyDescent="0.3">
      <c r="I2910" s="101"/>
    </row>
    <row r="2911" spans="9:9" x14ac:dyDescent="0.3">
      <c r="I2911" s="101"/>
    </row>
    <row r="2912" spans="9:9" x14ac:dyDescent="0.3">
      <c r="I2912" s="101"/>
    </row>
    <row r="2913" spans="9:9" x14ac:dyDescent="0.3">
      <c r="I2913" s="101"/>
    </row>
    <row r="2914" spans="9:9" x14ac:dyDescent="0.3">
      <c r="I2914" s="101"/>
    </row>
    <row r="2915" spans="9:9" x14ac:dyDescent="0.3">
      <c r="I2915" s="101"/>
    </row>
    <row r="2916" spans="9:9" x14ac:dyDescent="0.3">
      <c r="I2916" s="101"/>
    </row>
    <row r="2917" spans="9:9" x14ac:dyDescent="0.3">
      <c r="I2917" s="101"/>
    </row>
    <row r="2918" spans="9:9" x14ac:dyDescent="0.3">
      <c r="I2918" s="101"/>
    </row>
    <row r="2919" spans="9:9" x14ac:dyDescent="0.3">
      <c r="I2919" s="101"/>
    </row>
    <row r="2920" spans="9:9" x14ac:dyDescent="0.3">
      <c r="I2920" s="101"/>
    </row>
    <row r="2921" spans="9:9" x14ac:dyDescent="0.3">
      <c r="I2921" s="101"/>
    </row>
    <row r="2922" spans="9:9" x14ac:dyDescent="0.3">
      <c r="I2922" s="101"/>
    </row>
    <row r="2923" spans="9:9" x14ac:dyDescent="0.3">
      <c r="I2923" s="101"/>
    </row>
    <row r="2924" spans="9:9" x14ac:dyDescent="0.3">
      <c r="I2924" s="101"/>
    </row>
    <row r="2925" spans="9:9" x14ac:dyDescent="0.3">
      <c r="I2925" s="101"/>
    </row>
    <row r="2926" spans="9:9" x14ac:dyDescent="0.3">
      <c r="I2926" s="101"/>
    </row>
    <row r="2927" spans="9:9" x14ac:dyDescent="0.3">
      <c r="I2927" s="101"/>
    </row>
    <row r="2928" spans="9:9" x14ac:dyDescent="0.3">
      <c r="I2928" s="101"/>
    </row>
    <row r="2929" spans="9:9" x14ac:dyDescent="0.3">
      <c r="I2929" s="101"/>
    </row>
    <row r="2930" spans="9:9" x14ac:dyDescent="0.3">
      <c r="I2930" s="101"/>
    </row>
    <row r="2931" spans="9:9" x14ac:dyDescent="0.3">
      <c r="I2931" s="101"/>
    </row>
    <row r="2932" spans="9:9" x14ac:dyDescent="0.3">
      <c r="I2932" s="101"/>
    </row>
    <row r="2933" spans="9:9" x14ac:dyDescent="0.3">
      <c r="I2933" s="101"/>
    </row>
    <row r="2934" spans="9:9" x14ac:dyDescent="0.3">
      <c r="I2934" s="101"/>
    </row>
    <row r="2935" spans="9:9" x14ac:dyDescent="0.3">
      <c r="I2935" s="101"/>
    </row>
    <row r="2936" spans="9:9" x14ac:dyDescent="0.3">
      <c r="I2936" s="101"/>
    </row>
    <row r="2937" spans="9:9" x14ac:dyDescent="0.3">
      <c r="I2937" s="101"/>
    </row>
    <row r="2938" spans="9:9" x14ac:dyDescent="0.3">
      <c r="I2938" s="101"/>
    </row>
    <row r="2939" spans="9:9" x14ac:dyDescent="0.3">
      <c r="I2939" s="101"/>
    </row>
    <row r="2940" spans="9:9" x14ac:dyDescent="0.3">
      <c r="I2940" s="101"/>
    </row>
    <row r="2941" spans="9:9" x14ac:dyDescent="0.3">
      <c r="I2941" s="101"/>
    </row>
    <row r="2942" spans="9:9" x14ac:dyDescent="0.3">
      <c r="I2942" s="101"/>
    </row>
    <row r="2943" spans="9:9" x14ac:dyDescent="0.3">
      <c r="I2943" s="101"/>
    </row>
    <row r="2944" spans="9:9" x14ac:dyDescent="0.3">
      <c r="I2944" s="101"/>
    </row>
    <row r="2945" spans="9:9" x14ac:dyDescent="0.3">
      <c r="I2945" s="101"/>
    </row>
    <row r="2946" spans="9:9" x14ac:dyDescent="0.3">
      <c r="I2946" s="101"/>
    </row>
    <row r="2947" spans="9:9" x14ac:dyDescent="0.3">
      <c r="I2947" s="101"/>
    </row>
    <row r="2948" spans="9:9" x14ac:dyDescent="0.3">
      <c r="I2948" s="101"/>
    </row>
    <row r="2949" spans="9:9" x14ac:dyDescent="0.3">
      <c r="I2949" s="101"/>
    </row>
    <row r="2950" spans="9:9" x14ac:dyDescent="0.3">
      <c r="I2950" s="101"/>
    </row>
    <row r="2951" spans="9:9" x14ac:dyDescent="0.3">
      <c r="I2951" s="101"/>
    </row>
    <row r="2952" spans="9:9" x14ac:dyDescent="0.3">
      <c r="I2952" s="101"/>
    </row>
    <row r="2953" spans="9:9" x14ac:dyDescent="0.3">
      <c r="I2953" s="101"/>
    </row>
    <row r="2954" spans="9:9" x14ac:dyDescent="0.3">
      <c r="I2954" s="101"/>
    </row>
    <row r="2955" spans="9:9" x14ac:dyDescent="0.3">
      <c r="I2955" s="101"/>
    </row>
    <row r="2956" spans="9:9" x14ac:dyDescent="0.3">
      <c r="I2956" s="101"/>
    </row>
    <row r="2957" spans="9:9" x14ac:dyDescent="0.3">
      <c r="I2957" s="101"/>
    </row>
    <row r="2958" spans="9:9" x14ac:dyDescent="0.3">
      <c r="I2958" s="101"/>
    </row>
    <row r="2959" spans="9:9" x14ac:dyDescent="0.3">
      <c r="I2959" s="101"/>
    </row>
    <row r="2960" spans="9:9" x14ac:dyDescent="0.3">
      <c r="I2960" s="101"/>
    </row>
    <row r="2961" spans="9:9" x14ac:dyDescent="0.3">
      <c r="I2961" s="101"/>
    </row>
    <row r="2962" spans="9:9" x14ac:dyDescent="0.3">
      <c r="I2962" s="101"/>
    </row>
    <row r="2963" spans="9:9" x14ac:dyDescent="0.3">
      <c r="I2963" s="101"/>
    </row>
    <row r="2964" spans="9:9" x14ac:dyDescent="0.3">
      <c r="I2964" s="101"/>
    </row>
    <row r="2965" spans="9:9" x14ac:dyDescent="0.3">
      <c r="I2965" s="101"/>
    </row>
    <row r="2966" spans="9:9" x14ac:dyDescent="0.3">
      <c r="I2966" s="101"/>
    </row>
    <row r="2967" spans="9:9" x14ac:dyDescent="0.3">
      <c r="I2967" s="101"/>
    </row>
    <row r="2968" spans="9:9" x14ac:dyDescent="0.3">
      <c r="I2968" s="101"/>
    </row>
    <row r="2969" spans="9:9" x14ac:dyDescent="0.3">
      <c r="I2969" s="101"/>
    </row>
    <row r="2970" spans="9:9" x14ac:dyDescent="0.3">
      <c r="I2970" s="101"/>
    </row>
    <row r="2971" spans="9:9" x14ac:dyDescent="0.3">
      <c r="I2971" s="101"/>
    </row>
    <row r="2972" spans="9:9" x14ac:dyDescent="0.3">
      <c r="I2972" s="101"/>
    </row>
    <row r="2973" spans="9:9" x14ac:dyDescent="0.3">
      <c r="I2973" s="101"/>
    </row>
    <row r="2974" spans="9:9" x14ac:dyDescent="0.3">
      <c r="I2974" s="101"/>
    </row>
    <row r="2975" spans="9:9" x14ac:dyDescent="0.3">
      <c r="I2975" s="101"/>
    </row>
    <row r="2976" spans="9:9" x14ac:dyDescent="0.3">
      <c r="I2976" s="101"/>
    </row>
    <row r="2977" spans="9:9" x14ac:dyDescent="0.3">
      <c r="I2977" s="101"/>
    </row>
    <row r="2978" spans="9:9" x14ac:dyDescent="0.3">
      <c r="I2978" s="101"/>
    </row>
    <row r="2979" spans="9:9" x14ac:dyDescent="0.3">
      <c r="I2979" s="101"/>
    </row>
    <row r="2980" spans="9:9" x14ac:dyDescent="0.3">
      <c r="I2980" s="101"/>
    </row>
    <row r="2981" spans="9:9" x14ac:dyDescent="0.3">
      <c r="I2981" s="101"/>
    </row>
    <row r="2982" spans="9:9" x14ac:dyDescent="0.3">
      <c r="I2982" s="101"/>
    </row>
    <row r="2983" spans="9:9" x14ac:dyDescent="0.3">
      <c r="I2983" s="101"/>
    </row>
    <row r="2984" spans="9:9" x14ac:dyDescent="0.3">
      <c r="I2984" s="101"/>
    </row>
    <row r="2985" spans="9:9" x14ac:dyDescent="0.3">
      <c r="I2985" s="101"/>
    </row>
    <row r="2986" spans="9:9" x14ac:dyDescent="0.3">
      <c r="I2986" s="101"/>
    </row>
    <row r="2987" spans="9:9" x14ac:dyDescent="0.3">
      <c r="I2987" s="101"/>
    </row>
    <row r="2988" spans="9:9" x14ac:dyDescent="0.3">
      <c r="I2988" s="101"/>
    </row>
    <row r="2989" spans="9:9" x14ac:dyDescent="0.3">
      <c r="I2989" s="101"/>
    </row>
    <row r="2990" spans="9:9" x14ac:dyDescent="0.3">
      <c r="I2990" s="101"/>
    </row>
    <row r="2991" spans="9:9" x14ac:dyDescent="0.3">
      <c r="I2991" s="101"/>
    </row>
    <row r="2992" spans="9:9" x14ac:dyDescent="0.3">
      <c r="I2992" s="101"/>
    </row>
    <row r="2993" spans="9:9" x14ac:dyDescent="0.3">
      <c r="I2993" s="101"/>
    </row>
    <row r="2994" spans="9:9" x14ac:dyDescent="0.3">
      <c r="I2994" s="101"/>
    </row>
    <row r="2995" spans="9:9" x14ac:dyDescent="0.3">
      <c r="I2995" s="101"/>
    </row>
    <row r="2996" spans="9:9" x14ac:dyDescent="0.3">
      <c r="I2996" s="101"/>
    </row>
    <row r="2997" spans="9:9" x14ac:dyDescent="0.3">
      <c r="I2997" s="101"/>
    </row>
    <row r="2998" spans="9:9" x14ac:dyDescent="0.3">
      <c r="I2998" s="101"/>
    </row>
    <row r="2999" spans="9:9" x14ac:dyDescent="0.3">
      <c r="I2999" s="101"/>
    </row>
    <row r="3000" spans="9:9" x14ac:dyDescent="0.3">
      <c r="I3000" s="101"/>
    </row>
    <row r="3001" spans="9:9" x14ac:dyDescent="0.3">
      <c r="I3001" s="101"/>
    </row>
    <row r="3002" spans="9:9" x14ac:dyDescent="0.3">
      <c r="I3002" s="101"/>
    </row>
    <row r="3003" spans="9:9" x14ac:dyDescent="0.3">
      <c r="I3003" s="101"/>
    </row>
    <row r="3004" spans="9:9" x14ac:dyDescent="0.3">
      <c r="I3004" s="101"/>
    </row>
    <row r="3005" spans="9:9" x14ac:dyDescent="0.3">
      <c r="I3005" s="101"/>
    </row>
    <row r="3006" spans="9:9" x14ac:dyDescent="0.3">
      <c r="I3006" s="101"/>
    </row>
    <row r="3007" spans="9:9" x14ac:dyDescent="0.3">
      <c r="I3007" s="101"/>
    </row>
    <row r="3008" spans="9:9" x14ac:dyDescent="0.3">
      <c r="I3008" s="101"/>
    </row>
    <row r="3009" spans="9:9" x14ac:dyDescent="0.3">
      <c r="I3009" s="101"/>
    </row>
    <row r="3010" spans="9:9" x14ac:dyDescent="0.3">
      <c r="I3010" s="101"/>
    </row>
    <row r="3011" spans="9:9" x14ac:dyDescent="0.3">
      <c r="I3011" s="101"/>
    </row>
    <row r="3012" spans="9:9" x14ac:dyDescent="0.3">
      <c r="I3012" s="101"/>
    </row>
    <row r="3013" spans="9:9" x14ac:dyDescent="0.3">
      <c r="I3013" s="101"/>
    </row>
    <row r="3014" spans="9:9" x14ac:dyDescent="0.3">
      <c r="I3014" s="101"/>
    </row>
    <row r="3015" spans="9:9" x14ac:dyDescent="0.3">
      <c r="I3015" s="101"/>
    </row>
    <row r="3016" spans="9:9" x14ac:dyDescent="0.3">
      <c r="I3016" s="101"/>
    </row>
    <row r="3017" spans="9:9" x14ac:dyDescent="0.3">
      <c r="I3017" s="101"/>
    </row>
    <row r="3018" spans="9:9" x14ac:dyDescent="0.3">
      <c r="I3018" s="101"/>
    </row>
    <row r="3019" spans="9:9" x14ac:dyDescent="0.3">
      <c r="I3019" s="101"/>
    </row>
    <row r="3020" spans="9:9" x14ac:dyDescent="0.3">
      <c r="I3020" s="101"/>
    </row>
    <row r="3021" spans="9:9" x14ac:dyDescent="0.3">
      <c r="I3021" s="101"/>
    </row>
    <row r="3022" spans="9:9" x14ac:dyDescent="0.3">
      <c r="I3022" s="101"/>
    </row>
    <row r="3023" spans="9:9" x14ac:dyDescent="0.3">
      <c r="I3023" s="101"/>
    </row>
    <row r="3024" spans="9:9" x14ac:dyDescent="0.3">
      <c r="I3024" s="101"/>
    </row>
    <row r="3025" spans="9:9" x14ac:dyDescent="0.3">
      <c r="I3025" s="101"/>
    </row>
    <row r="3026" spans="9:9" x14ac:dyDescent="0.3">
      <c r="I3026" s="101"/>
    </row>
    <row r="3027" spans="9:9" x14ac:dyDescent="0.3">
      <c r="I3027" s="101"/>
    </row>
    <row r="3028" spans="9:9" x14ac:dyDescent="0.3">
      <c r="I3028" s="101"/>
    </row>
    <row r="3029" spans="9:9" x14ac:dyDescent="0.3">
      <c r="I3029" s="101"/>
    </row>
    <row r="3030" spans="9:9" x14ac:dyDescent="0.3">
      <c r="I3030" s="101"/>
    </row>
    <row r="3031" spans="9:9" x14ac:dyDescent="0.3">
      <c r="I3031" s="101"/>
    </row>
    <row r="3032" spans="9:9" x14ac:dyDescent="0.3">
      <c r="I3032" s="101"/>
    </row>
    <row r="3033" spans="9:9" x14ac:dyDescent="0.3">
      <c r="I3033" s="101"/>
    </row>
    <row r="3034" spans="9:9" x14ac:dyDescent="0.3">
      <c r="I3034" s="101"/>
    </row>
    <row r="3035" spans="9:9" x14ac:dyDescent="0.3">
      <c r="I3035" s="101"/>
    </row>
    <row r="3036" spans="9:9" x14ac:dyDescent="0.3">
      <c r="I3036" s="101"/>
    </row>
    <row r="3037" spans="9:9" x14ac:dyDescent="0.3">
      <c r="I3037" s="101"/>
    </row>
    <row r="3038" spans="9:9" x14ac:dyDescent="0.3">
      <c r="I3038" s="101"/>
    </row>
    <row r="3039" spans="9:9" x14ac:dyDescent="0.3">
      <c r="I3039" s="101"/>
    </row>
    <row r="3040" spans="9:9" x14ac:dyDescent="0.3">
      <c r="I3040" s="101"/>
    </row>
    <row r="3041" spans="9:9" x14ac:dyDescent="0.3">
      <c r="I3041" s="101"/>
    </row>
    <row r="3042" spans="9:9" x14ac:dyDescent="0.3">
      <c r="I3042" s="101"/>
    </row>
    <row r="3043" spans="9:9" x14ac:dyDescent="0.3">
      <c r="I3043" s="101"/>
    </row>
    <row r="3044" spans="9:9" x14ac:dyDescent="0.3">
      <c r="I3044" s="101"/>
    </row>
    <row r="3045" spans="9:9" x14ac:dyDescent="0.3">
      <c r="I3045" s="101"/>
    </row>
    <row r="3046" spans="9:9" x14ac:dyDescent="0.3">
      <c r="I3046" s="101"/>
    </row>
    <row r="3047" spans="9:9" x14ac:dyDescent="0.3">
      <c r="I3047" s="101"/>
    </row>
    <row r="3048" spans="9:9" x14ac:dyDescent="0.3">
      <c r="I3048" s="101"/>
    </row>
    <row r="3049" spans="9:9" x14ac:dyDescent="0.3">
      <c r="I3049" s="101"/>
    </row>
    <row r="3050" spans="9:9" x14ac:dyDescent="0.3">
      <c r="I3050" s="101"/>
    </row>
    <row r="3051" spans="9:9" x14ac:dyDescent="0.3">
      <c r="I3051" s="101"/>
    </row>
    <row r="3052" spans="9:9" x14ac:dyDescent="0.3">
      <c r="I3052" s="101"/>
    </row>
    <row r="3053" spans="9:9" x14ac:dyDescent="0.3">
      <c r="I3053" s="101"/>
    </row>
    <row r="3054" spans="9:9" x14ac:dyDescent="0.3">
      <c r="I3054" s="101"/>
    </row>
    <row r="3055" spans="9:9" x14ac:dyDescent="0.3">
      <c r="I3055" s="101"/>
    </row>
    <row r="3056" spans="9:9" x14ac:dyDescent="0.3">
      <c r="I3056" s="101"/>
    </row>
    <row r="3057" spans="9:9" x14ac:dyDescent="0.3">
      <c r="I3057" s="101"/>
    </row>
    <row r="3058" spans="9:9" x14ac:dyDescent="0.3">
      <c r="I3058" s="101"/>
    </row>
    <row r="3059" spans="9:9" x14ac:dyDescent="0.3">
      <c r="I3059" s="101"/>
    </row>
    <row r="3060" spans="9:9" x14ac:dyDescent="0.3">
      <c r="I3060" s="101"/>
    </row>
    <row r="3061" spans="9:9" x14ac:dyDescent="0.3">
      <c r="I3061" s="101"/>
    </row>
    <row r="3062" spans="9:9" x14ac:dyDescent="0.3">
      <c r="I3062" s="101"/>
    </row>
    <row r="3063" spans="9:9" x14ac:dyDescent="0.3">
      <c r="I3063" s="101"/>
    </row>
    <row r="3064" spans="9:9" x14ac:dyDescent="0.3">
      <c r="I3064" s="101"/>
    </row>
    <row r="3065" spans="9:9" x14ac:dyDescent="0.3">
      <c r="I3065" s="101"/>
    </row>
    <row r="3066" spans="9:9" x14ac:dyDescent="0.3">
      <c r="I3066" s="101"/>
    </row>
    <row r="3067" spans="9:9" x14ac:dyDescent="0.3">
      <c r="I3067" s="101"/>
    </row>
    <row r="3068" spans="9:9" x14ac:dyDescent="0.3">
      <c r="I3068" s="101"/>
    </row>
    <row r="3069" spans="9:9" x14ac:dyDescent="0.3">
      <c r="I3069" s="101"/>
    </row>
    <row r="3070" spans="9:9" x14ac:dyDescent="0.3">
      <c r="I3070" s="101"/>
    </row>
    <row r="3071" spans="9:9" x14ac:dyDescent="0.3">
      <c r="I3071" s="101"/>
    </row>
    <row r="3072" spans="9:9" x14ac:dyDescent="0.3">
      <c r="I3072" s="101"/>
    </row>
    <row r="3073" spans="9:9" x14ac:dyDescent="0.3">
      <c r="I3073" s="101"/>
    </row>
    <row r="3074" spans="9:9" x14ac:dyDescent="0.3">
      <c r="I3074" s="101"/>
    </row>
    <row r="3075" spans="9:9" x14ac:dyDescent="0.3">
      <c r="I3075" s="101"/>
    </row>
    <row r="3076" spans="9:9" x14ac:dyDescent="0.3">
      <c r="I3076" s="101"/>
    </row>
    <row r="3077" spans="9:9" x14ac:dyDescent="0.3">
      <c r="I3077" s="101"/>
    </row>
    <row r="3078" spans="9:9" x14ac:dyDescent="0.3">
      <c r="I3078" s="101"/>
    </row>
    <row r="3079" spans="9:9" x14ac:dyDescent="0.3">
      <c r="I3079" s="101"/>
    </row>
    <row r="3080" spans="9:9" x14ac:dyDescent="0.3">
      <c r="I3080" s="101"/>
    </row>
    <row r="3081" spans="9:9" x14ac:dyDescent="0.3">
      <c r="I3081" s="101"/>
    </row>
    <row r="3082" spans="9:9" x14ac:dyDescent="0.3">
      <c r="I3082" s="101"/>
    </row>
    <row r="3083" spans="9:9" x14ac:dyDescent="0.3">
      <c r="I3083" s="101"/>
    </row>
    <row r="3084" spans="9:9" x14ac:dyDescent="0.3">
      <c r="I3084" s="101"/>
    </row>
    <row r="3085" spans="9:9" x14ac:dyDescent="0.3">
      <c r="I3085" s="101"/>
    </row>
    <row r="3086" spans="9:9" x14ac:dyDescent="0.3">
      <c r="I3086" s="101"/>
    </row>
    <row r="3087" spans="9:9" x14ac:dyDescent="0.3">
      <c r="I3087" s="101"/>
    </row>
    <row r="3088" spans="9:9" x14ac:dyDescent="0.3">
      <c r="I3088" s="101"/>
    </row>
    <row r="3089" spans="9:9" x14ac:dyDescent="0.3">
      <c r="I3089" s="101"/>
    </row>
    <row r="3090" spans="9:9" x14ac:dyDescent="0.3">
      <c r="I3090" s="101"/>
    </row>
    <row r="3091" spans="9:9" x14ac:dyDescent="0.3">
      <c r="I3091" s="101"/>
    </row>
    <row r="3092" spans="9:9" x14ac:dyDescent="0.3">
      <c r="I3092" s="101"/>
    </row>
    <row r="3093" spans="9:9" x14ac:dyDescent="0.3">
      <c r="I3093" s="101"/>
    </row>
    <row r="3094" spans="9:9" x14ac:dyDescent="0.3">
      <c r="I3094" s="101"/>
    </row>
    <row r="3095" spans="9:9" x14ac:dyDescent="0.3">
      <c r="I3095" s="101"/>
    </row>
    <row r="3096" spans="9:9" x14ac:dyDescent="0.3">
      <c r="I3096" s="101"/>
    </row>
    <row r="3097" spans="9:9" x14ac:dyDescent="0.3">
      <c r="I3097" s="101"/>
    </row>
    <row r="3098" spans="9:9" x14ac:dyDescent="0.3">
      <c r="I3098" s="101"/>
    </row>
    <row r="3099" spans="9:9" x14ac:dyDescent="0.3">
      <c r="I3099" s="101"/>
    </row>
    <row r="3100" spans="9:9" x14ac:dyDescent="0.3">
      <c r="I3100" s="101"/>
    </row>
    <row r="3101" spans="9:9" x14ac:dyDescent="0.3">
      <c r="I3101" s="101"/>
    </row>
    <row r="3102" spans="9:9" x14ac:dyDescent="0.3">
      <c r="I3102" s="101"/>
    </row>
    <row r="3103" spans="9:9" x14ac:dyDescent="0.3">
      <c r="I3103" s="101"/>
    </row>
    <row r="3104" spans="9:9" x14ac:dyDescent="0.3">
      <c r="I3104" s="101"/>
    </row>
    <row r="3105" spans="9:9" x14ac:dyDescent="0.3">
      <c r="I3105" s="101"/>
    </row>
    <row r="3106" spans="9:9" x14ac:dyDescent="0.3">
      <c r="I3106" s="101"/>
    </row>
    <row r="3107" spans="9:9" x14ac:dyDescent="0.3">
      <c r="I3107" s="101"/>
    </row>
    <row r="3108" spans="9:9" x14ac:dyDescent="0.3">
      <c r="I3108" s="101"/>
    </row>
    <row r="3109" spans="9:9" x14ac:dyDescent="0.3">
      <c r="I3109" s="101"/>
    </row>
    <row r="3110" spans="9:9" x14ac:dyDescent="0.3">
      <c r="I3110" s="101"/>
    </row>
    <row r="3111" spans="9:9" x14ac:dyDescent="0.3">
      <c r="I3111" s="101"/>
    </row>
    <row r="3112" spans="9:9" x14ac:dyDescent="0.3">
      <c r="I3112" s="101"/>
    </row>
    <row r="3113" spans="9:9" x14ac:dyDescent="0.3">
      <c r="I3113" s="101"/>
    </row>
    <row r="3114" spans="9:9" x14ac:dyDescent="0.3">
      <c r="I3114" s="101"/>
    </row>
    <row r="3115" spans="9:9" x14ac:dyDescent="0.3">
      <c r="I3115" s="101"/>
    </row>
    <row r="3116" spans="9:9" x14ac:dyDescent="0.3">
      <c r="I3116" s="101"/>
    </row>
    <row r="3117" spans="9:9" x14ac:dyDescent="0.3">
      <c r="I3117" s="101"/>
    </row>
    <row r="3118" spans="9:9" x14ac:dyDescent="0.3">
      <c r="I3118" s="101"/>
    </row>
    <row r="3119" spans="9:9" x14ac:dyDescent="0.3">
      <c r="I3119" s="101"/>
    </row>
    <row r="3120" spans="9:9" x14ac:dyDescent="0.3">
      <c r="I3120" s="101"/>
    </row>
    <row r="3121" spans="9:9" x14ac:dyDescent="0.3">
      <c r="I3121" s="101"/>
    </row>
    <row r="3122" spans="9:9" x14ac:dyDescent="0.3">
      <c r="I3122" s="101"/>
    </row>
    <row r="3123" spans="9:9" x14ac:dyDescent="0.3">
      <c r="I3123" s="101"/>
    </row>
    <row r="3124" spans="9:9" x14ac:dyDescent="0.3">
      <c r="I3124" s="101"/>
    </row>
    <row r="3125" spans="9:9" x14ac:dyDescent="0.3">
      <c r="I3125" s="101"/>
    </row>
    <row r="3126" spans="9:9" x14ac:dyDescent="0.3">
      <c r="I3126" s="101"/>
    </row>
    <row r="3127" spans="9:9" x14ac:dyDescent="0.3">
      <c r="I3127" s="101"/>
    </row>
    <row r="3128" spans="9:9" x14ac:dyDescent="0.3">
      <c r="I3128" s="101"/>
    </row>
    <row r="3129" spans="9:9" x14ac:dyDescent="0.3">
      <c r="I3129" s="101"/>
    </row>
    <row r="3130" spans="9:9" x14ac:dyDescent="0.3">
      <c r="I3130" s="101"/>
    </row>
    <row r="3131" spans="9:9" x14ac:dyDescent="0.3">
      <c r="I3131" s="101"/>
    </row>
    <row r="3132" spans="9:9" x14ac:dyDescent="0.3">
      <c r="I3132" s="101"/>
    </row>
    <row r="3133" spans="9:9" x14ac:dyDescent="0.3">
      <c r="I3133" s="101"/>
    </row>
    <row r="3134" spans="9:9" x14ac:dyDescent="0.3">
      <c r="I3134" s="101"/>
    </row>
    <row r="3135" spans="9:9" x14ac:dyDescent="0.3">
      <c r="I3135" s="101"/>
    </row>
    <row r="3136" spans="9:9" x14ac:dyDescent="0.3">
      <c r="I3136" s="101"/>
    </row>
    <row r="3137" spans="9:9" x14ac:dyDescent="0.3">
      <c r="I3137" s="101"/>
    </row>
    <row r="3138" spans="9:9" x14ac:dyDescent="0.3">
      <c r="I3138" s="101"/>
    </row>
    <row r="3139" spans="9:9" x14ac:dyDescent="0.3">
      <c r="I3139" s="101"/>
    </row>
    <row r="3140" spans="9:9" x14ac:dyDescent="0.3">
      <c r="I3140" s="101"/>
    </row>
    <row r="3141" spans="9:9" x14ac:dyDescent="0.3">
      <c r="I3141" s="101"/>
    </row>
    <row r="3142" spans="9:9" x14ac:dyDescent="0.3">
      <c r="I3142" s="101"/>
    </row>
    <row r="3143" spans="9:9" x14ac:dyDescent="0.3">
      <c r="I3143" s="101"/>
    </row>
    <row r="3144" spans="9:9" x14ac:dyDescent="0.3">
      <c r="I3144" s="101"/>
    </row>
    <row r="3145" spans="9:9" x14ac:dyDescent="0.3">
      <c r="I3145" s="101"/>
    </row>
    <row r="3146" spans="9:9" x14ac:dyDescent="0.3">
      <c r="I3146" s="101"/>
    </row>
    <row r="3147" spans="9:9" x14ac:dyDescent="0.3">
      <c r="I3147" s="101"/>
    </row>
    <row r="3148" spans="9:9" x14ac:dyDescent="0.3">
      <c r="I3148" s="101"/>
    </row>
    <row r="3149" spans="9:9" x14ac:dyDescent="0.3">
      <c r="I3149" s="101"/>
    </row>
    <row r="3150" spans="9:9" x14ac:dyDescent="0.3">
      <c r="I3150" s="101"/>
    </row>
    <row r="3151" spans="9:9" x14ac:dyDescent="0.3">
      <c r="I3151" s="101"/>
    </row>
    <row r="3152" spans="9:9" x14ac:dyDescent="0.3">
      <c r="I3152" s="101"/>
    </row>
    <row r="3153" spans="9:9" x14ac:dyDescent="0.3">
      <c r="I3153" s="101"/>
    </row>
    <row r="3154" spans="9:9" x14ac:dyDescent="0.3">
      <c r="I3154" s="101"/>
    </row>
    <row r="3155" spans="9:9" x14ac:dyDescent="0.3">
      <c r="I3155" s="101"/>
    </row>
    <row r="3156" spans="9:9" x14ac:dyDescent="0.3">
      <c r="I3156" s="101"/>
    </row>
    <row r="3157" spans="9:9" x14ac:dyDescent="0.3">
      <c r="I3157" s="101"/>
    </row>
    <row r="3158" spans="9:9" x14ac:dyDescent="0.3">
      <c r="I3158" s="101"/>
    </row>
    <row r="3159" spans="9:9" x14ac:dyDescent="0.3">
      <c r="I3159" s="101"/>
    </row>
    <row r="3160" spans="9:9" x14ac:dyDescent="0.3">
      <c r="I3160" s="101"/>
    </row>
    <row r="3161" spans="9:9" x14ac:dyDescent="0.3">
      <c r="I3161" s="101"/>
    </row>
    <row r="3162" spans="9:9" x14ac:dyDescent="0.3">
      <c r="I3162" s="101"/>
    </row>
    <row r="3163" spans="9:9" x14ac:dyDescent="0.3">
      <c r="I3163" s="101"/>
    </row>
    <row r="3164" spans="9:9" x14ac:dyDescent="0.3">
      <c r="I3164" s="101"/>
    </row>
    <row r="3165" spans="9:9" x14ac:dyDescent="0.3">
      <c r="I3165" s="101"/>
    </row>
    <row r="3166" spans="9:9" x14ac:dyDescent="0.3">
      <c r="I3166" s="101"/>
    </row>
    <row r="3167" spans="9:9" x14ac:dyDescent="0.3">
      <c r="I3167" s="101"/>
    </row>
    <row r="3168" spans="9:9" x14ac:dyDescent="0.3">
      <c r="I3168" s="101"/>
    </row>
    <row r="3169" spans="9:9" x14ac:dyDescent="0.3">
      <c r="I3169" s="101"/>
    </row>
    <row r="3170" spans="9:9" x14ac:dyDescent="0.3">
      <c r="I3170" s="101"/>
    </row>
    <row r="3171" spans="9:9" x14ac:dyDescent="0.3">
      <c r="I3171" s="101"/>
    </row>
    <row r="3172" spans="9:9" x14ac:dyDescent="0.3">
      <c r="I3172" s="101"/>
    </row>
    <row r="3173" spans="9:9" x14ac:dyDescent="0.3">
      <c r="I3173" s="101"/>
    </row>
    <row r="3174" spans="9:9" x14ac:dyDescent="0.3">
      <c r="I3174" s="101"/>
    </row>
    <row r="3175" spans="9:9" x14ac:dyDescent="0.3">
      <c r="I3175" s="101"/>
    </row>
    <row r="3176" spans="9:9" x14ac:dyDescent="0.3">
      <c r="I3176" s="101"/>
    </row>
    <row r="3177" spans="9:9" x14ac:dyDescent="0.3">
      <c r="I3177" s="101"/>
    </row>
    <row r="3178" spans="9:9" x14ac:dyDescent="0.3">
      <c r="I3178" s="101"/>
    </row>
    <row r="3179" spans="9:9" x14ac:dyDescent="0.3">
      <c r="I3179" s="101"/>
    </row>
    <row r="3180" spans="9:9" x14ac:dyDescent="0.3">
      <c r="I3180" s="101"/>
    </row>
    <row r="3181" spans="9:9" x14ac:dyDescent="0.3">
      <c r="I3181" s="101"/>
    </row>
    <row r="3182" spans="9:9" x14ac:dyDescent="0.3">
      <c r="I3182" s="101"/>
    </row>
    <row r="3183" spans="9:9" x14ac:dyDescent="0.3">
      <c r="I3183" s="101"/>
    </row>
    <row r="3184" spans="9:9" x14ac:dyDescent="0.3">
      <c r="I3184" s="101"/>
    </row>
    <row r="3185" spans="9:9" x14ac:dyDescent="0.3">
      <c r="I3185" s="101"/>
    </row>
    <row r="3186" spans="9:9" x14ac:dyDescent="0.3">
      <c r="I3186" s="101"/>
    </row>
    <row r="3187" spans="9:9" x14ac:dyDescent="0.3">
      <c r="I3187" s="101"/>
    </row>
    <row r="3188" spans="9:9" x14ac:dyDescent="0.3">
      <c r="I3188" s="101"/>
    </row>
    <row r="3189" spans="9:9" x14ac:dyDescent="0.3">
      <c r="I3189" s="101"/>
    </row>
    <row r="3190" spans="9:9" x14ac:dyDescent="0.3">
      <c r="I3190" s="101"/>
    </row>
    <row r="3191" spans="9:9" x14ac:dyDescent="0.3">
      <c r="I3191" s="101"/>
    </row>
    <row r="3192" spans="9:9" x14ac:dyDescent="0.3">
      <c r="I3192" s="101"/>
    </row>
    <row r="3193" spans="9:9" x14ac:dyDescent="0.3">
      <c r="I3193" s="101"/>
    </row>
    <row r="3194" spans="9:9" x14ac:dyDescent="0.3">
      <c r="I3194" s="101"/>
    </row>
    <row r="3195" spans="9:9" x14ac:dyDescent="0.3">
      <c r="I3195" s="101"/>
    </row>
    <row r="3196" spans="9:9" x14ac:dyDescent="0.3">
      <c r="I3196" s="101"/>
    </row>
    <row r="3197" spans="9:9" x14ac:dyDescent="0.3">
      <c r="I3197" s="101"/>
    </row>
    <row r="3198" spans="9:9" x14ac:dyDescent="0.3">
      <c r="I3198" s="101"/>
    </row>
    <row r="3199" spans="9:9" x14ac:dyDescent="0.3">
      <c r="I3199" s="101"/>
    </row>
    <row r="3200" spans="9:9" x14ac:dyDescent="0.3">
      <c r="I3200" s="101"/>
    </row>
    <row r="3201" spans="9:9" x14ac:dyDescent="0.3">
      <c r="I3201" s="101"/>
    </row>
    <row r="3202" spans="9:9" x14ac:dyDescent="0.3">
      <c r="I3202" s="101"/>
    </row>
    <row r="3203" spans="9:9" x14ac:dyDescent="0.3">
      <c r="I3203" s="101"/>
    </row>
    <row r="3204" spans="9:9" x14ac:dyDescent="0.3">
      <c r="I3204" s="101"/>
    </row>
    <row r="3205" spans="9:9" x14ac:dyDescent="0.3">
      <c r="I3205" s="101"/>
    </row>
    <row r="3206" spans="9:9" x14ac:dyDescent="0.3">
      <c r="I3206" s="101"/>
    </row>
    <row r="3207" spans="9:9" x14ac:dyDescent="0.3">
      <c r="I3207" s="101"/>
    </row>
    <row r="3208" spans="9:9" x14ac:dyDescent="0.3">
      <c r="I3208" s="101"/>
    </row>
    <row r="3209" spans="9:9" x14ac:dyDescent="0.3">
      <c r="I3209" s="101"/>
    </row>
    <row r="3210" spans="9:9" x14ac:dyDescent="0.3">
      <c r="I3210" s="101"/>
    </row>
    <row r="3211" spans="9:9" x14ac:dyDescent="0.3">
      <c r="I3211" s="101"/>
    </row>
    <row r="3212" spans="9:9" x14ac:dyDescent="0.3">
      <c r="I3212" s="101"/>
    </row>
    <row r="3213" spans="9:9" x14ac:dyDescent="0.3">
      <c r="I3213" s="101"/>
    </row>
    <row r="3214" spans="9:9" x14ac:dyDescent="0.3">
      <c r="I3214" s="101"/>
    </row>
    <row r="3215" spans="9:9" x14ac:dyDescent="0.3">
      <c r="I3215" s="101"/>
    </row>
    <row r="3216" spans="9:9" x14ac:dyDescent="0.3">
      <c r="I3216" s="101"/>
    </row>
    <row r="3217" spans="9:9" x14ac:dyDescent="0.3">
      <c r="I3217" s="101"/>
    </row>
    <row r="3218" spans="9:9" x14ac:dyDescent="0.3">
      <c r="I3218" s="101"/>
    </row>
    <row r="3219" spans="9:9" x14ac:dyDescent="0.3">
      <c r="I3219" s="101"/>
    </row>
    <row r="3220" spans="9:9" x14ac:dyDescent="0.3">
      <c r="I3220" s="101"/>
    </row>
    <row r="3221" spans="9:9" x14ac:dyDescent="0.3">
      <c r="I3221" s="101"/>
    </row>
    <row r="3222" spans="9:9" x14ac:dyDescent="0.3">
      <c r="I3222" s="101"/>
    </row>
    <row r="3223" spans="9:9" x14ac:dyDescent="0.3">
      <c r="I3223" s="101"/>
    </row>
    <row r="3224" spans="9:9" x14ac:dyDescent="0.3">
      <c r="I3224" s="101"/>
    </row>
    <row r="3225" spans="9:9" x14ac:dyDescent="0.3">
      <c r="I3225" s="101"/>
    </row>
    <row r="3226" spans="9:9" x14ac:dyDescent="0.3">
      <c r="I3226" s="101"/>
    </row>
    <row r="3227" spans="9:9" x14ac:dyDescent="0.3">
      <c r="I3227" s="101"/>
    </row>
    <row r="3228" spans="9:9" x14ac:dyDescent="0.3">
      <c r="I3228" s="101"/>
    </row>
    <row r="3229" spans="9:9" x14ac:dyDescent="0.3">
      <c r="I3229" s="101"/>
    </row>
    <row r="3230" spans="9:9" x14ac:dyDescent="0.3">
      <c r="I3230" s="101"/>
    </row>
    <row r="3231" spans="9:9" x14ac:dyDescent="0.3">
      <c r="I3231" s="101"/>
    </row>
    <row r="3232" spans="9:9" x14ac:dyDescent="0.3">
      <c r="I3232" s="101"/>
    </row>
    <row r="3233" spans="9:9" x14ac:dyDescent="0.3">
      <c r="I3233" s="101"/>
    </row>
    <row r="3234" spans="9:9" x14ac:dyDescent="0.3">
      <c r="I3234" s="101"/>
    </row>
    <row r="3235" spans="9:9" x14ac:dyDescent="0.3">
      <c r="I3235" s="101"/>
    </row>
    <row r="3236" spans="9:9" x14ac:dyDescent="0.3">
      <c r="I3236" s="101"/>
    </row>
    <row r="3237" spans="9:9" x14ac:dyDescent="0.3">
      <c r="I3237" s="101"/>
    </row>
    <row r="3238" spans="9:9" x14ac:dyDescent="0.3">
      <c r="I3238" s="101"/>
    </row>
    <row r="3239" spans="9:9" x14ac:dyDescent="0.3">
      <c r="I3239" s="101"/>
    </row>
    <row r="3240" spans="9:9" x14ac:dyDescent="0.3">
      <c r="I3240" s="101"/>
    </row>
    <row r="3241" spans="9:9" x14ac:dyDescent="0.3">
      <c r="I3241" s="101"/>
    </row>
    <row r="3242" spans="9:9" x14ac:dyDescent="0.3">
      <c r="I3242" s="101"/>
    </row>
    <row r="3243" spans="9:9" x14ac:dyDescent="0.3">
      <c r="I3243" s="101"/>
    </row>
    <row r="3244" spans="9:9" x14ac:dyDescent="0.3">
      <c r="I3244" s="101"/>
    </row>
    <row r="3245" spans="9:9" x14ac:dyDescent="0.3">
      <c r="I3245" s="101"/>
    </row>
    <row r="3246" spans="9:9" x14ac:dyDescent="0.3">
      <c r="I3246" s="101"/>
    </row>
    <row r="3247" spans="9:9" x14ac:dyDescent="0.3">
      <c r="I3247" s="101"/>
    </row>
    <row r="3248" spans="9:9" x14ac:dyDescent="0.3">
      <c r="I3248" s="101"/>
    </row>
    <row r="3249" spans="9:9" x14ac:dyDescent="0.3">
      <c r="I3249" s="101"/>
    </row>
    <row r="3250" spans="9:9" x14ac:dyDescent="0.3">
      <c r="I3250" s="101"/>
    </row>
    <row r="3251" spans="9:9" x14ac:dyDescent="0.3">
      <c r="I3251" s="101"/>
    </row>
    <row r="3252" spans="9:9" x14ac:dyDescent="0.3">
      <c r="I3252" s="101"/>
    </row>
    <row r="3253" spans="9:9" x14ac:dyDescent="0.3">
      <c r="I3253" s="101"/>
    </row>
    <row r="3254" spans="9:9" x14ac:dyDescent="0.3">
      <c r="I3254" s="101"/>
    </row>
    <row r="3255" spans="9:9" x14ac:dyDescent="0.3">
      <c r="I3255" s="101"/>
    </row>
    <row r="3256" spans="9:9" x14ac:dyDescent="0.3">
      <c r="I3256" s="101"/>
    </row>
    <row r="3257" spans="9:9" x14ac:dyDescent="0.3">
      <c r="I3257" s="101"/>
    </row>
    <row r="3258" spans="9:9" x14ac:dyDescent="0.3">
      <c r="I3258" s="101"/>
    </row>
    <row r="3259" spans="9:9" x14ac:dyDescent="0.3">
      <c r="I3259" s="101"/>
    </row>
    <row r="3260" spans="9:9" x14ac:dyDescent="0.3">
      <c r="I3260" s="101"/>
    </row>
    <row r="3261" spans="9:9" x14ac:dyDescent="0.3">
      <c r="I3261" s="101"/>
    </row>
    <row r="3262" spans="9:9" x14ac:dyDescent="0.3">
      <c r="I3262" s="101"/>
    </row>
    <row r="3263" spans="9:9" x14ac:dyDescent="0.3">
      <c r="I3263" s="101"/>
    </row>
    <row r="3264" spans="9:9" x14ac:dyDescent="0.3">
      <c r="I3264" s="101"/>
    </row>
    <row r="3265" spans="9:9" x14ac:dyDescent="0.3">
      <c r="I3265" s="101"/>
    </row>
    <row r="3266" spans="9:9" x14ac:dyDescent="0.3">
      <c r="I3266" s="101"/>
    </row>
    <row r="3267" spans="9:9" x14ac:dyDescent="0.3">
      <c r="I3267" s="101"/>
    </row>
    <row r="3268" spans="9:9" x14ac:dyDescent="0.3">
      <c r="I3268" s="101"/>
    </row>
    <row r="3269" spans="9:9" x14ac:dyDescent="0.3">
      <c r="I3269" s="101"/>
    </row>
    <row r="3270" spans="9:9" x14ac:dyDescent="0.3">
      <c r="I3270" s="101"/>
    </row>
    <row r="3271" spans="9:9" x14ac:dyDescent="0.3">
      <c r="I3271" s="101"/>
    </row>
    <row r="3272" spans="9:9" x14ac:dyDescent="0.3">
      <c r="I3272" s="101"/>
    </row>
    <row r="3273" spans="9:9" x14ac:dyDescent="0.3">
      <c r="I3273" s="101"/>
    </row>
    <row r="3274" spans="9:9" x14ac:dyDescent="0.3">
      <c r="I3274" s="101"/>
    </row>
    <row r="3275" spans="9:9" x14ac:dyDescent="0.3">
      <c r="I3275" s="101"/>
    </row>
    <row r="3276" spans="9:9" x14ac:dyDescent="0.3">
      <c r="I3276" s="101"/>
    </row>
    <row r="3277" spans="9:9" x14ac:dyDescent="0.3">
      <c r="I3277" s="101"/>
    </row>
    <row r="3278" spans="9:9" x14ac:dyDescent="0.3">
      <c r="I3278" s="101"/>
    </row>
    <row r="3279" spans="9:9" x14ac:dyDescent="0.3">
      <c r="I3279" s="101"/>
    </row>
    <row r="3280" spans="9:9" x14ac:dyDescent="0.3">
      <c r="I3280" s="101"/>
    </row>
    <row r="3281" spans="9:9" x14ac:dyDescent="0.3">
      <c r="I3281" s="101"/>
    </row>
    <row r="3282" spans="9:9" x14ac:dyDescent="0.3">
      <c r="I3282" s="101"/>
    </row>
    <row r="3283" spans="9:9" x14ac:dyDescent="0.3">
      <c r="I3283" s="101"/>
    </row>
    <row r="3284" spans="9:9" x14ac:dyDescent="0.3">
      <c r="I3284" s="101"/>
    </row>
    <row r="3285" spans="9:9" x14ac:dyDescent="0.3">
      <c r="I3285" s="101"/>
    </row>
    <row r="3286" spans="9:9" x14ac:dyDescent="0.3">
      <c r="I3286" s="101"/>
    </row>
    <row r="3287" spans="9:9" x14ac:dyDescent="0.3">
      <c r="I3287" s="101"/>
    </row>
    <row r="3288" spans="9:9" x14ac:dyDescent="0.3">
      <c r="I3288" s="101"/>
    </row>
    <row r="3289" spans="9:9" x14ac:dyDescent="0.3">
      <c r="I3289" s="101"/>
    </row>
    <row r="3290" spans="9:9" x14ac:dyDescent="0.3">
      <c r="I3290" s="101"/>
    </row>
    <row r="3291" spans="9:9" x14ac:dyDescent="0.3">
      <c r="I3291" s="101"/>
    </row>
    <row r="3292" spans="9:9" x14ac:dyDescent="0.3">
      <c r="I3292" s="101"/>
    </row>
    <row r="3293" spans="9:9" x14ac:dyDescent="0.3">
      <c r="I3293" s="101"/>
    </row>
    <row r="3294" spans="9:9" x14ac:dyDescent="0.3">
      <c r="I3294" s="101"/>
    </row>
    <row r="3295" spans="9:9" x14ac:dyDescent="0.3">
      <c r="I3295" s="101"/>
    </row>
    <row r="3296" spans="9:9" x14ac:dyDescent="0.3">
      <c r="I3296" s="101"/>
    </row>
    <row r="3297" spans="9:9" x14ac:dyDescent="0.3">
      <c r="I3297" s="101"/>
    </row>
    <row r="3298" spans="9:9" x14ac:dyDescent="0.3">
      <c r="I3298" s="101"/>
    </row>
    <row r="3299" spans="9:9" x14ac:dyDescent="0.3">
      <c r="I3299" s="101"/>
    </row>
    <row r="3300" spans="9:9" x14ac:dyDescent="0.3">
      <c r="I3300" s="101"/>
    </row>
    <row r="3301" spans="9:9" x14ac:dyDescent="0.3">
      <c r="I3301" s="101"/>
    </row>
    <row r="3302" spans="9:9" x14ac:dyDescent="0.3">
      <c r="I3302" s="101"/>
    </row>
    <row r="3303" spans="9:9" x14ac:dyDescent="0.3">
      <c r="I3303" s="101"/>
    </row>
    <row r="3304" spans="9:9" x14ac:dyDescent="0.3">
      <c r="I3304" s="101"/>
    </row>
    <row r="3305" spans="9:9" x14ac:dyDescent="0.3">
      <c r="I3305" s="101"/>
    </row>
    <row r="3306" spans="9:9" x14ac:dyDescent="0.3">
      <c r="I3306" s="101"/>
    </row>
    <row r="3307" spans="9:9" x14ac:dyDescent="0.3">
      <c r="I3307" s="101"/>
    </row>
    <row r="3308" spans="9:9" x14ac:dyDescent="0.3">
      <c r="I3308" s="101"/>
    </row>
    <row r="3309" spans="9:9" x14ac:dyDescent="0.3">
      <c r="I3309" s="101"/>
    </row>
    <row r="3310" spans="9:9" x14ac:dyDescent="0.3">
      <c r="I3310" s="101"/>
    </row>
    <row r="3311" spans="9:9" x14ac:dyDescent="0.3">
      <c r="I3311" s="101"/>
    </row>
    <row r="3312" spans="9:9" x14ac:dyDescent="0.3">
      <c r="I3312" s="101"/>
    </row>
    <row r="3313" spans="9:9" x14ac:dyDescent="0.3">
      <c r="I3313" s="101"/>
    </row>
    <row r="3314" spans="9:9" x14ac:dyDescent="0.3">
      <c r="I3314" s="101"/>
    </row>
    <row r="3315" spans="9:9" x14ac:dyDescent="0.3">
      <c r="I3315" s="101"/>
    </row>
    <row r="3316" spans="9:9" x14ac:dyDescent="0.3">
      <c r="I3316" s="101"/>
    </row>
    <row r="3317" spans="9:9" x14ac:dyDescent="0.3">
      <c r="I3317" s="101"/>
    </row>
    <row r="3318" spans="9:9" x14ac:dyDescent="0.3">
      <c r="I3318" s="101"/>
    </row>
    <row r="3319" spans="9:9" x14ac:dyDescent="0.3">
      <c r="I3319" s="101"/>
    </row>
    <row r="3320" spans="9:9" x14ac:dyDescent="0.3">
      <c r="I3320" s="101"/>
    </row>
    <row r="3321" spans="9:9" x14ac:dyDescent="0.3">
      <c r="I3321" s="101"/>
    </row>
    <row r="3322" spans="9:9" x14ac:dyDescent="0.3">
      <c r="I3322" s="101"/>
    </row>
    <row r="3323" spans="9:9" x14ac:dyDescent="0.3">
      <c r="I3323" s="101"/>
    </row>
    <row r="3324" spans="9:9" x14ac:dyDescent="0.3">
      <c r="I3324" s="101"/>
    </row>
    <row r="3325" spans="9:9" x14ac:dyDescent="0.3">
      <c r="I3325" s="101"/>
    </row>
    <row r="3326" spans="9:9" x14ac:dyDescent="0.3">
      <c r="I3326" s="101"/>
    </row>
    <row r="3327" spans="9:9" x14ac:dyDescent="0.3">
      <c r="I3327" s="101"/>
    </row>
    <row r="3328" spans="9:9" x14ac:dyDescent="0.3">
      <c r="I3328" s="101"/>
    </row>
    <row r="3329" spans="9:9" x14ac:dyDescent="0.3">
      <c r="I3329" s="101"/>
    </row>
    <row r="3330" spans="9:9" x14ac:dyDescent="0.3">
      <c r="I3330" s="101"/>
    </row>
    <row r="3331" spans="9:9" x14ac:dyDescent="0.3">
      <c r="I3331" s="101"/>
    </row>
    <row r="3332" spans="9:9" x14ac:dyDescent="0.3">
      <c r="I3332" s="101"/>
    </row>
    <row r="3333" spans="9:9" x14ac:dyDescent="0.3">
      <c r="I3333" s="101"/>
    </row>
    <row r="3334" spans="9:9" x14ac:dyDescent="0.3">
      <c r="I3334" s="101"/>
    </row>
    <row r="3335" spans="9:9" x14ac:dyDescent="0.3">
      <c r="I3335" s="101"/>
    </row>
    <row r="3336" spans="9:9" x14ac:dyDescent="0.3">
      <c r="I3336" s="101"/>
    </row>
    <row r="3337" spans="9:9" x14ac:dyDescent="0.3">
      <c r="I3337" s="101"/>
    </row>
    <row r="3338" spans="9:9" x14ac:dyDescent="0.3">
      <c r="I3338" s="101"/>
    </row>
    <row r="3339" spans="9:9" x14ac:dyDescent="0.3">
      <c r="I3339" s="101"/>
    </row>
    <row r="3340" spans="9:9" x14ac:dyDescent="0.3">
      <c r="I3340" s="101"/>
    </row>
    <row r="3341" spans="9:9" x14ac:dyDescent="0.3">
      <c r="I3341" s="101"/>
    </row>
    <row r="3342" spans="9:9" x14ac:dyDescent="0.3">
      <c r="I3342" s="101"/>
    </row>
    <row r="3343" spans="9:9" x14ac:dyDescent="0.3">
      <c r="I3343" s="101"/>
    </row>
    <row r="3344" spans="9:9" x14ac:dyDescent="0.3">
      <c r="I3344" s="101"/>
    </row>
    <row r="3345" spans="9:9" x14ac:dyDescent="0.3">
      <c r="I3345" s="101"/>
    </row>
    <row r="3346" spans="9:9" x14ac:dyDescent="0.3">
      <c r="I3346" s="101"/>
    </row>
    <row r="3347" spans="9:9" x14ac:dyDescent="0.3">
      <c r="I3347" s="101"/>
    </row>
    <row r="3348" spans="9:9" x14ac:dyDescent="0.3">
      <c r="I3348" s="101"/>
    </row>
    <row r="3349" spans="9:9" x14ac:dyDescent="0.3">
      <c r="I3349" s="101"/>
    </row>
    <row r="3350" spans="9:9" x14ac:dyDescent="0.3">
      <c r="I3350" s="101"/>
    </row>
    <row r="3351" spans="9:9" x14ac:dyDescent="0.3">
      <c r="I3351" s="101"/>
    </row>
    <row r="3352" spans="9:9" x14ac:dyDescent="0.3">
      <c r="I3352" s="101"/>
    </row>
    <row r="3353" spans="9:9" x14ac:dyDescent="0.3">
      <c r="I3353" s="101"/>
    </row>
    <row r="3354" spans="9:9" x14ac:dyDescent="0.3">
      <c r="I3354" s="101"/>
    </row>
    <row r="3355" spans="9:9" x14ac:dyDescent="0.3">
      <c r="I3355" s="101"/>
    </row>
    <row r="3356" spans="9:9" x14ac:dyDescent="0.3">
      <c r="I3356" s="101"/>
    </row>
    <row r="3357" spans="9:9" x14ac:dyDescent="0.3">
      <c r="I3357" s="101"/>
    </row>
    <row r="3358" spans="9:9" x14ac:dyDescent="0.3">
      <c r="I3358" s="101"/>
    </row>
    <row r="3359" spans="9:9" x14ac:dyDescent="0.3">
      <c r="I3359" s="101"/>
    </row>
    <row r="3360" spans="9:9" x14ac:dyDescent="0.3">
      <c r="I3360" s="101"/>
    </row>
    <row r="3361" spans="9:9" x14ac:dyDescent="0.3">
      <c r="I3361" s="101"/>
    </row>
    <row r="3362" spans="9:9" x14ac:dyDescent="0.3">
      <c r="I3362" s="101"/>
    </row>
    <row r="3363" spans="9:9" x14ac:dyDescent="0.3">
      <c r="I3363" s="101"/>
    </row>
    <row r="3364" spans="9:9" x14ac:dyDescent="0.3">
      <c r="I3364" s="101"/>
    </row>
    <row r="3365" spans="9:9" x14ac:dyDescent="0.3">
      <c r="I3365" s="101"/>
    </row>
    <row r="3366" spans="9:9" x14ac:dyDescent="0.3">
      <c r="I3366" s="101"/>
    </row>
    <row r="3367" spans="9:9" x14ac:dyDescent="0.3">
      <c r="I3367" s="101"/>
    </row>
    <row r="3368" spans="9:9" x14ac:dyDescent="0.3">
      <c r="I3368" s="101"/>
    </row>
    <row r="3369" spans="9:9" x14ac:dyDescent="0.3">
      <c r="I3369" s="101"/>
    </row>
    <row r="3370" spans="9:9" x14ac:dyDescent="0.3">
      <c r="I3370" s="101"/>
    </row>
    <row r="3371" spans="9:9" x14ac:dyDescent="0.3">
      <c r="I3371" s="101"/>
    </row>
    <row r="3372" spans="9:9" x14ac:dyDescent="0.3">
      <c r="I3372" s="101"/>
    </row>
    <row r="3373" spans="9:9" x14ac:dyDescent="0.3">
      <c r="I3373" s="101"/>
    </row>
    <row r="3374" spans="9:9" x14ac:dyDescent="0.3">
      <c r="I3374" s="101"/>
    </row>
    <row r="3375" spans="9:9" x14ac:dyDescent="0.3">
      <c r="I3375" s="101"/>
    </row>
    <row r="3376" spans="9:9" x14ac:dyDescent="0.3">
      <c r="I3376" s="101"/>
    </row>
    <row r="3377" spans="9:9" x14ac:dyDescent="0.3">
      <c r="I3377" s="101"/>
    </row>
    <row r="3378" spans="9:9" x14ac:dyDescent="0.3">
      <c r="I3378" s="101"/>
    </row>
    <row r="3379" spans="9:9" x14ac:dyDescent="0.3">
      <c r="I3379" s="101"/>
    </row>
    <row r="3380" spans="9:9" x14ac:dyDescent="0.3">
      <c r="I3380" s="101"/>
    </row>
    <row r="3381" spans="9:9" x14ac:dyDescent="0.3">
      <c r="I3381" s="101"/>
    </row>
    <row r="3382" spans="9:9" x14ac:dyDescent="0.3">
      <c r="I3382" s="101"/>
    </row>
    <row r="3383" spans="9:9" x14ac:dyDescent="0.3">
      <c r="I3383" s="101"/>
    </row>
    <row r="3384" spans="9:9" x14ac:dyDescent="0.3">
      <c r="I3384" s="101"/>
    </row>
    <row r="3385" spans="9:9" x14ac:dyDescent="0.3">
      <c r="I3385" s="101"/>
    </row>
    <row r="3386" spans="9:9" x14ac:dyDescent="0.3">
      <c r="I3386" s="101"/>
    </row>
    <row r="3387" spans="9:9" x14ac:dyDescent="0.3">
      <c r="I3387" s="101"/>
    </row>
    <row r="3388" spans="9:9" x14ac:dyDescent="0.3">
      <c r="I3388" s="101"/>
    </row>
    <row r="3389" spans="9:9" x14ac:dyDescent="0.3">
      <c r="I3389" s="101"/>
    </row>
    <row r="3390" spans="9:9" x14ac:dyDescent="0.3">
      <c r="I3390" s="101"/>
    </row>
    <row r="3391" spans="9:9" x14ac:dyDescent="0.3">
      <c r="I3391" s="101"/>
    </row>
    <row r="3392" spans="9:9" x14ac:dyDescent="0.3">
      <c r="I3392" s="101"/>
    </row>
    <row r="3393" spans="9:9" x14ac:dyDescent="0.3">
      <c r="I3393" s="101"/>
    </row>
    <row r="3394" spans="9:9" x14ac:dyDescent="0.3">
      <c r="I3394" s="101"/>
    </row>
    <row r="3395" spans="9:9" x14ac:dyDescent="0.3">
      <c r="I3395" s="101"/>
    </row>
    <row r="3396" spans="9:9" x14ac:dyDescent="0.3">
      <c r="I3396" s="101"/>
    </row>
    <row r="3397" spans="9:9" x14ac:dyDescent="0.3">
      <c r="I3397" s="101"/>
    </row>
    <row r="3398" spans="9:9" x14ac:dyDescent="0.3">
      <c r="I3398" s="101"/>
    </row>
    <row r="3399" spans="9:9" x14ac:dyDescent="0.3">
      <c r="I3399" s="101"/>
    </row>
    <row r="3400" spans="9:9" x14ac:dyDescent="0.3">
      <c r="I3400" s="101"/>
    </row>
    <row r="3401" spans="9:9" x14ac:dyDescent="0.3">
      <c r="I3401" s="101"/>
    </row>
    <row r="3402" spans="9:9" x14ac:dyDescent="0.3">
      <c r="I3402" s="101"/>
    </row>
    <row r="3403" spans="9:9" x14ac:dyDescent="0.3">
      <c r="I3403" s="101"/>
    </row>
    <row r="3404" spans="9:9" x14ac:dyDescent="0.3">
      <c r="I3404" s="101"/>
    </row>
    <row r="3405" spans="9:9" x14ac:dyDescent="0.3">
      <c r="I3405" s="101"/>
    </row>
    <row r="3406" spans="9:9" x14ac:dyDescent="0.3">
      <c r="I3406" s="101"/>
    </row>
    <row r="3407" spans="9:9" x14ac:dyDescent="0.3">
      <c r="I3407" s="101"/>
    </row>
    <row r="3408" spans="9:9" x14ac:dyDescent="0.3">
      <c r="I3408" s="101"/>
    </row>
    <row r="3409" spans="9:9" x14ac:dyDescent="0.3">
      <c r="I3409" s="101"/>
    </row>
    <row r="3410" spans="9:9" x14ac:dyDescent="0.3">
      <c r="I3410" s="101"/>
    </row>
    <row r="3411" spans="9:9" x14ac:dyDescent="0.3">
      <c r="I3411" s="101"/>
    </row>
    <row r="3412" spans="9:9" x14ac:dyDescent="0.3">
      <c r="I3412" s="101"/>
    </row>
    <row r="3413" spans="9:9" x14ac:dyDescent="0.3">
      <c r="I3413" s="101"/>
    </row>
    <row r="3414" spans="9:9" x14ac:dyDescent="0.3">
      <c r="I3414" s="101"/>
    </row>
    <row r="3415" spans="9:9" x14ac:dyDescent="0.3">
      <c r="I3415" s="101"/>
    </row>
    <row r="3416" spans="9:9" x14ac:dyDescent="0.3">
      <c r="I3416" s="101"/>
    </row>
    <row r="3417" spans="9:9" x14ac:dyDescent="0.3">
      <c r="I3417" s="101"/>
    </row>
    <row r="3418" spans="9:9" x14ac:dyDescent="0.3">
      <c r="I3418" s="101"/>
    </row>
    <row r="3419" spans="9:9" x14ac:dyDescent="0.3">
      <c r="I3419" s="101"/>
    </row>
    <row r="3420" spans="9:9" x14ac:dyDescent="0.3">
      <c r="I3420" s="101"/>
    </row>
    <row r="3421" spans="9:9" x14ac:dyDescent="0.3">
      <c r="I3421" s="101"/>
    </row>
    <row r="3422" spans="9:9" x14ac:dyDescent="0.3">
      <c r="I3422" s="101"/>
    </row>
    <row r="3423" spans="9:9" x14ac:dyDescent="0.3">
      <c r="I3423" s="101"/>
    </row>
    <row r="3424" spans="9:9" x14ac:dyDescent="0.3">
      <c r="I3424" s="101"/>
    </row>
    <row r="3425" spans="9:9" x14ac:dyDescent="0.3">
      <c r="I3425" s="101"/>
    </row>
    <row r="3426" spans="9:9" x14ac:dyDescent="0.3">
      <c r="I3426" s="101"/>
    </row>
    <row r="3427" spans="9:9" x14ac:dyDescent="0.3">
      <c r="I3427" s="101"/>
    </row>
    <row r="3428" spans="9:9" x14ac:dyDescent="0.3">
      <c r="I3428" s="101"/>
    </row>
    <row r="3429" spans="9:9" x14ac:dyDescent="0.3">
      <c r="I3429" s="101"/>
    </row>
    <row r="3430" spans="9:9" x14ac:dyDescent="0.3">
      <c r="I3430" s="101"/>
    </row>
    <row r="3431" spans="9:9" x14ac:dyDescent="0.3">
      <c r="I3431" s="101"/>
    </row>
    <row r="3432" spans="9:9" x14ac:dyDescent="0.3">
      <c r="I3432" s="101"/>
    </row>
    <row r="3433" spans="9:9" x14ac:dyDescent="0.3">
      <c r="I3433" s="101"/>
    </row>
    <row r="3434" spans="9:9" x14ac:dyDescent="0.3">
      <c r="I3434" s="101"/>
    </row>
    <row r="3435" spans="9:9" x14ac:dyDescent="0.3">
      <c r="I3435" s="101"/>
    </row>
    <row r="3436" spans="9:9" x14ac:dyDescent="0.3">
      <c r="I3436" s="101"/>
    </row>
    <row r="3437" spans="9:9" x14ac:dyDescent="0.3">
      <c r="I3437" s="101"/>
    </row>
    <row r="3438" spans="9:9" x14ac:dyDescent="0.3">
      <c r="I3438" s="101"/>
    </row>
    <row r="3439" spans="9:9" x14ac:dyDescent="0.3">
      <c r="I3439" s="101"/>
    </row>
    <row r="3440" spans="9:9" x14ac:dyDescent="0.3">
      <c r="I3440" s="101"/>
    </row>
    <row r="3441" spans="9:9" x14ac:dyDescent="0.3">
      <c r="I3441" s="101"/>
    </row>
    <row r="3442" spans="9:9" x14ac:dyDescent="0.3">
      <c r="I3442" s="101"/>
    </row>
    <row r="3443" spans="9:9" x14ac:dyDescent="0.3">
      <c r="I3443" s="101"/>
    </row>
    <row r="3444" spans="9:9" x14ac:dyDescent="0.3">
      <c r="I3444" s="101"/>
    </row>
    <row r="3445" spans="9:9" x14ac:dyDescent="0.3">
      <c r="I3445" s="101"/>
    </row>
    <row r="3446" spans="9:9" x14ac:dyDescent="0.3">
      <c r="I3446" s="101"/>
    </row>
    <row r="3447" spans="9:9" x14ac:dyDescent="0.3">
      <c r="I3447" s="101"/>
    </row>
    <row r="3448" spans="9:9" x14ac:dyDescent="0.3">
      <c r="I3448" s="101"/>
    </row>
    <row r="3449" spans="9:9" x14ac:dyDescent="0.3">
      <c r="I3449" s="101"/>
    </row>
    <row r="3450" spans="9:9" x14ac:dyDescent="0.3">
      <c r="I3450" s="101"/>
    </row>
    <row r="3451" spans="9:9" x14ac:dyDescent="0.3">
      <c r="I3451" s="101"/>
    </row>
    <row r="3452" spans="9:9" x14ac:dyDescent="0.3">
      <c r="I3452" s="101"/>
    </row>
    <row r="3453" spans="9:9" x14ac:dyDescent="0.3">
      <c r="I3453" s="101"/>
    </row>
    <row r="3454" spans="9:9" x14ac:dyDescent="0.3">
      <c r="I3454" s="101"/>
    </row>
    <row r="3455" spans="9:9" x14ac:dyDescent="0.3">
      <c r="I3455" s="101"/>
    </row>
    <row r="3456" spans="9:9" x14ac:dyDescent="0.3">
      <c r="I3456" s="101"/>
    </row>
    <row r="3457" spans="9:9" x14ac:dyDescent="0.3">
      <c r="I3457" s="101"/>
    </row>
    <row r="3458" spans="9:9" x14ac:dyDescent="0.3">
      <c r="I3458" s="101"/>
    </row>
    <row r="3459" spans="9:9" x14ac:dyDescent="0.3">
      <c r="I3459" s="101"/>
    </row>
    <row r="3460" spans="9:9" x14ac:dyDescent="0.3">
      <c r="I3460" s="101"/>
    </row>
    <row r="3461" spans="9:9" x14ac:dyDescent="0.3">
      <c r="I3461" s="101"/>
    </row>
    <row r="3462" spans="9:9" x14ac:dyDescent="0.3">
      <c r="I3462" s="101"/>
    </row>
    <row r="3463" spans="9:9" x14ac:dyDescent="0.3">
      <c r="I3463" s="101"/>
    </row>
    <row r="3464" spans="9:9" x14ac:dyDescent="0.3">
      <c r="I3464" s="101"/>
    </row>
    <row r="3465" spans="9:9" x14ac:dyDescent="0.3">
      <c r="I3465" s="101"/>
    </row>
    <row r="3466" spans="9:9" x14ac:dyDescent="0.3">
      <c r="I3466" s="101"/>
    </row>
    <row r="3467" spans="9:9" x14ac:dyDescent="0.3">
      <c r="I3467" s="101"/>
    </row>
    <row r="3468" spans="9:9" x14ac:dyDescent="0.3">
      <c r="I3468" s="101"/>
    </row>
    <row r="3469" spans="9:9" x14ac:dyDescent="0.3">
      <c r="I3469" s="101"/>
    </row>
    <row r="3470" spans="9:9" x14ac:dyDescent="0.3">
      <c r="I3470" s="101"/>
    </row>
    <row r="3471" spans="9:9" x14ac:dyDescent="0.3">
      <c r="I3471" s="101"/>
    </row>
    <row r="3472" spans="9:9" x14ac:dyDescent="0.3">
      <c r="I3472" s="101"/>
    </row>
    <row r="3473" spans="9:9" x14ac:dyDescent="0.3">
      <c r="I3473" s="101"/>
    </row>
    <row r="3474" spans="9:9" x14ac:dyDescent="0.3">
      <c r="I3474" s="101"/>
    </row>
    <row r="3475" spans="9:9" x14ac:dyDescent="0.3">
      <c r="I3475" s="101"/>
    </row>
    <row r="3476" spans="9:9" x14ac:dyDescent="0.3">
      <c r="I3476" s="101"/>
    </row>
    <row r="3477" spans="9:9" x14ac:dyDescent="0.3">
      <c r="I3477" s="101"/>
    </row>
    <row r="3478" spans="9:9" x14ac:dyDescent="0.3">
      <c r="I3478" s="101"/>
    </row>
    <row r="3479" spans="9:9" x14ac:dyDescent="0.3">
      <c r="I3479" s="101"/>
    </row>
    <row r="3480" spans="9:9" x14ac:dyDescent="0.3">
      <c r="I3480" s="101"/>
    </row>
    <row r="3481" spans="9:9" x14ac:dyDescent="0.3">
      <c r="I3481" s="101"/>
    </row>
    <row r="3482" spans="9:9" x14ac:dyDescent="0.3">
      <c r="I3482" s="101"/>
    </row>
    <row r="3483" spans="9:9" x14ac:dyDescent="0.3">
      <c r="I3483" s="101"/>
    </row>
    <row r="3484" spans="9:9" x14ac:dyDescent="0.3">
      <c r="I3484" s="101"/>
    </row>
    <row r="3485" spans="9:9" x14ac:dyDescent="0.3">
      <c r="I3485" s="101"/>
    </row>
    <row r="3486" spans="9:9" x14ac:dyDescent="0.3">
      <c r="I3486" s="101"/>
    </row>
    <row r="3487" spans="9:9" x14ac:dyDescent="0.3">
      <c r="I3487" s="101"/>
    </row>
    <row r="3488" spans="9:9" x14ac:dyDescent="0.3">
      <c r="I3488" s="101"/>
    </row>
    <row r="3489" spans="9:9" x14ac:dyDescent="0.3">
      <c r="I3489" s="101"/>
    </row>
    <row r="3490" spans="9:9" x14ac:dyDescent="0.3">
      <c r="I3490" s="101"/>
    </row>
    <row r="3491" spans="9:9" x14ac:dyDescent="0.3">
      <c r="I3491" s="101"/>
    </row>
    <row r="3492" spans="9:9" x14ac:dyDescent="0.3">
      <c r="I3492" s="101"/>
    </row>
    <row r="3493" spans="9:9" x14ac:dyDescent="0.3">
      <c r="I3493" s="101"/>
    </row>
    <row r="3494" spans="9:9" x14ac:dyDescent="0.3">
      <c r="I3494" s="101"/>
    </row>
    <row r="3495" spans="9:9" x14ac:dyDescent="0.3">
      <c r="I3495" s="101"/>
    </row>
    <row r="3496" spans="9:9" x14ac:dyDescent="0.3">
      <c r="I3496" s="101"/>
    </row>
    <row r="3497" spans="9:9" x14ac:dyDescent="0.3">
      <c r="I3497" s="101"/>
    </row>
    <row r="3498" spans="9:9" x14ac:dyDescent="0.3">
      <c r="I3498" s="101"/>
    </row>
    <row r="3499" spans="9:9" x14ac:dyDescent="0.3">
      <c r="I3499" s="101"/>
    </row>
    <row r="3500" spans="9:9" x14ac:dyDescent="0.3">
      <c r="I3500" s="101"/>
    </row>
    <row r="3501" spans="9:9" x14ac:dyDescent="0.3">
      <c r="I3501" s="101"/>
    </row>
    <row r="3502" spans="9:9" x14ac:dyDescent="0.3">
      <c r="I3502" s="101"/>
    </row>
    <row r="3503" spans="9:9" x14ac:dyDescent="0.3">
      <c r="I3503" s="101"/>
    </row>
    <row r="3504" spans="9:9" x14ac:dyDescent="0.3">
      <c r="I3504" s="101"/>
    </row>
    <row r="3505" spans="9:9" x14ac:dyDescent="0.3">
      <c r="I3505" s="101"/>
    </row>
    <row r="3506" spans="9:9" x14ac:dyDescent="0.3">
      <c r="I3506" s="101"/>
    </row>
    <row r="3507" spans="9:9" x14ac:dyDescent="0.3">
      <c r="I3507" s="101"/>
    </row>
    <row r="3508" spans="9:9" x14ac:dyDescent="0.3">
      <c r="I3508" s="101"/>
    </row>
    <row r="3509" spans="9:9" x14ac:dyDescent="0.3">
      <c r="I3509" s="101"/>
    </row>
    <row r="3510" spans="9:9" x14ac:dyDescent="0.3">
      <c r="I3510" s="101"/>
    </row>
    <row r="3511" spans="9:9" x14ac:dyDescent="0.3">
      <c r="I3511" s="101"/>
    </row>
    <row r="3512" spans="9:9" x14ac:dyDescent="0.3">
      <c r="I3512" s="101"/>
    </row>
    <row r="3513" spans="9:9" x14ac:dyDescent="0.3">
      <c r="I3513" s="101"/>
    </row>
    <row r="3514" spans="9:9" x14ac:dyDescent="0.3">
      <c r="I3514" s="101"/>
    </row>
    <row r="3515" spans="9:9" x14ac:dyDescent="0.3">
      <c r="I3515" s="101"/>
    </row>
    <row r="3516" spans="9:9" x14ac:dyDescent="0.3">
      <c r="I3516" s="101"/>
    </row>
    <row r="3517" spans="9:9" x14ac:dyDescent="0.3">
      <c r="I3517" s="101"/>
    </row>
    <row r="3518" spans="9:9" x14ac:dyDescent="0.3">
      <c r="I3518" s="101"/>
    </row>
    <row r="3519" spans="9:9" x14ac:dyDescent="0.3">
      <c r="I3519" s="101"/>
    </row>
    <row r="3520" spans="9:9" x14ac:dyDescent="0.3">
      <c r="I3520" s="101"/>
    </row>
    <row r="3521" spans="9:9" x14ac:dyDescent="0.3">
      <c r="I3521" s="101"/>
    </row>
    <row r="3522" spans="9:9" x14ac:dyDescent="0.3">
      <c r="I3522" s="101"/>
    </row>
    <row r="3523" spans="9:9" x14ac:dyDescent="0.3">
      <c r="I3523" s="101"/>
    </row>
    <row r="3524" spans="9:9" x14ac:dyDescent="0.3">
      <c r="I3524" s="101"/>
    </row>
    <row r="3525" spans="9:9" x14ac:dyDescent="0.3">
      <c r="I3525" s="101"/>
    </row>
    <row r="3526" spans="9:9" x14ac:dyDescent="0.3">
      <c r="I3526" s="101"/>
    </row>
    <row r="3527" spans="9:9" x14ac:dyDescent="0.3">
      <c r="I3527" s="101"/>
    </row>
    <row r="3528" spans="9:9" x14ac:dyDescent="0.3">
      <c r="I3528" s="101"/>
    </row>
    <row r="3529" spans="9:9" x14ac:dyDescent="0.3">
      <c r="I3529" s="101"/>
    </row>
    <row r="3530" spans="9:9" x14ac:dyDescent="0.3">
      <c r="I3530" s="101"/>
    </row>
    <row r="3531" spans="9:9" x14ac:dyDescent="0.3">
      <c r="I3531" s="101"/>
    </row>
    <row r="3532" spans="9:9" x14ac:dyDescent="0.3">
      <c r="I3532" s="101"/>
    </row>
    <row r="3533" spans="9:9" x14ac:dyDescent="0.3">
      <c r="I3533" s="101"/>
    </row>
    <row r="3534" spans="9:9" x14ac:dyDescent="0.3">
      <c r="I3534" s="101"/>
    </row>
    <row r="3535" spans="9:9" x14ac:dyDescent="0.3">
      <c r="I3535" s="101"/>
    </row>
    <row r="3536" spans="9:9" x14ac:dyDescent="0.3">
      <c r="I3536" s="101"/>
    </row>
    <row r="3537" spans="9:9" x14ac:dyDescent="0.3">
      <c r="I3537" s="101"/>
    </row>
    <row r="3538" spans="9:9" x14ac:dyDescent="0.3">
      <c r="I3538" s="101"/>
    </row>
    <row r="3539" spans="9:9" x14ac:dyDescent="0.3">
      <c r="I3539" s="101"/>
    </row>
    <row r="3540" spans="9:9" x14ac:dyDescent="0.3">
      <c r="I3540" s="101"/>
    </row>
    <row r="3541" spans="9:9" x14ac:dyDescent="0.3">
      <c r="I3541" s="101"/>
    </row>
    <row r="3542" spans="9:9" x14ac:dyDescent="0.3">
      <c r="I3542" s="101"/>
    </row>
    <row r="3543" spans="9:9" x14ac:dyDescent="0.3">
      <c r="I3543" s="101"/>
    </row>
    <row r="3544" spans="9:9" x14ac:dyDescent="0.3">
      <c r="I3544" s="101"/>
    </row>
    <row r="3545" spans="9:9" x14ac:dyDescent="0.3">
      <c r="I3545" s="101"/>
    </row>
    <row r="3546" spans="9:9" x14ac:dyDescent="0.3">
      <c r="I3546" s="101"/>
    </row>
    <row r="3547" spans="9:9" x14ac:dyDescent="0.3">
      <c r="I3547" s="101"/>
    </row>
    <row r="3548" spans="9:9" x14ac:dyDescent="0.3">
      <c r="I3548" s="101"/>
    </row>
    <row r="3549" spans="9:9" x14ac:dyDescent="0.3">
      <c r="I3549" s="101"/>
    </row>
    <row r="3550" spans="9:9" x14ac:dyDescent="0.3">
      <c r="I3550" s="101"/>
    </row>
    <row r="3551" spans="9:9" x14ac:dyDescent="0.3">
      <c r="I3551" s="101"/>
    </row>
    <row r="3552" spans="9:9" x14ac:dyDescent="0.3">
      <c r="I3552" s="101"/>
    </row>
    <row r="3553" spans="9:9" x14ac:dyDescent="0.3">
      <c r="I3553" s="101"/>
    </row>
    <row r="3554" spans="9:9" x14ac:dyDescent="0.3">
      <c r="I3554" s="101"/>
    </row>
    <row r="3555" spans="9:9" x14ac:dyDescent="0.3">
      <c r="I3555" s="101"/>
    </row>
    <row r="3556" spans="9:9" x14ac:dyDescent="0.3">
      <c r="I3556" s="101"/>
    </row>
    <row r="3557" spans="9:9" x14ac:dyDescent="0.3">
      <c r="I3557" s="101"/>
    </row>
    <row r="3558" spans="9:9" x14ac:dyDescent="0.3">
      <c r="I3558" s="101"/>
    </row>
    <row r="3559" spans="9:9" x14ac:dyDescent="0.3">
      <c r="I3559" s="101"/>
    </row>
    <row r="3560" spans="9:9" x14ac:dyDescent="0.3">
      <c r="I3560" s="101"/>
    </row>
    <row r="3561" spans="9:9" x14ac:dyDescent="0.3">
      <c r="I3561" s="101"/>
    </row>
    <row r="3562" spans="9:9" x14ac:dyDescent="0.3">
      <c r="I3562" s="101"/>
    </row>
    <row r="3563" spans="9:9" x14ac:dyDescent="0.3">
      <c r="I3563" s="101"/>
    </row>
    <row r="3564" spans="9:9" x14ac:dyDescent="0.3">
      <c r="I3564" s="101"/>
    </row>
    <row r="3565" spans="9:9" x14ac:dyDescent="0.3">
      <c r="I3565" s="101"/>
    </row>
    <row r="3566" spans="9:9" x14ac:dyDescent="0.3">
      <c r="I3566" s="101"/>
    </row>
    <row r="3567" spans="9:9" x14ac:dyDescent="0.3">
      <c r="I3567" s="101"/>
    </row>
    <row r="3568" spans="9:9" x14ac:dyDescent="0.3">
      <c r="I3568" s="101"/>
    </row>
    <row r="3569" spans="9:9" x14ac:dyDescent="0.3">
      <c r="I3569" s="101"/>
    </row>
    <row r="3570" spans="9:9" x14ac:dyDescent="0.3">
      <c r="I3570" s="101"/>
    </row>
    <row r="3571" spans="9:9" x14ac:dyDescent="0.3">
      <c r="I3571" s="101"/>
    </row>
    <row r="3572" spans="9:9" x14ac:dyDescent="0.3">
      <c r="I3572" s="101"/>
    </row>
    <row r="3573" spans="9:9" x14ac:dyDescent="0.3">
      <c r="I3573" s="101"/>
    </row>
    <row r="3574" spans="9:9" x14ac:dyDescent="0.3">
      <c r="I3574" s="101"/>
    </row>
    <row r="3575" spans="9:9" x14ac:dyDescent="0.3">
      <c r="I3575" s="101"/>
    </row>
    <row r="3576" spans="9:9" x14ac:dyDescent="0.3">
      <c r="I3576" s="101"/>
    </row>
    <row r="3577" spans="9:9" x14ac:dyDescent="0.3">
      <c r="I3577" s="101"/>
    </row>
    <row r="3578" spans="9:9" x14ac:dyDescent="0.3">
      <c r="I3578" s="101"/>
    </row>
    <row r="3579" spans="9:9" x14ac:dyDescent="0.3">
      <c r="I3579" s="101"/>
    </row>
    <row r="3580" spans="9:9" x14ac:dyDescent="0.3">
      <c r="I3580" s="101"/>
    </row>
    <row r="3581" spans="9:9" x14ac:dyDescent="0.3">
      <c r="I3581" s="101"/>
    </row>
    <row r="3582" spans="9:9" x14ac:dyDescent="0.3">
      <c r="I3582" s="101"/>
    </row>
    <row r="3583" spans="9:9" x14ac:dyDescent="0.3">
      <c r="I3583" s="101"/>
    </row>
    <row r="3584" spans="9:9" x14ac:dyDescent="0.3">
      <c r="I3584" s="101"/>
    </row>
    <row r="3585" spans="9:9" x14ac:dyDescent="0.3">
      <c r="I3585" s="101"/>
    </row>
    <row r="3586" spans="9:9" x14ac:dyDescent="0.3">
      <c r="I3586" s="101"/>
    </row>
    <row r="3587" spans="9:9" x14ac:dyDescent="0.3">
      <c r="I3587" s="101"/>
    </row>
    <row r="3588" spans="9:9" x14ac:dyDescent="0.3">
      <c r="I3588" s="101"/>
    </row>
    <row r="3589" spans="9:9" x14ac:dyDescent="0.3">
      <c r="I3589" s="101"/>
    </row>
    <row r="3590" spans="9:9" x14ac:dyDescent="0.3">
      <c r="I3590" s="101"/>
    </row>
    <row r="3591" spans="9:9" x14ac:dyDescent="0.3">
      <c r="I3591" s="101"/>
    </row>
    <row r="3592" spans="9:9" x14ac:dyDescent="0.3">
      <c r="I3592" s="101"/>
    </row>
    <row r="3593" spans="9:9" x14ac:dyDescent="0.3">
      <c r="I3593" s="101"/>
    </row>
    <row r="3594" spans="9:9" x14ac:dyDescent="0.3">
      <c r="I3594" s="101"/>
    </row>
    <row r="3595" spans="9:9" x14ac:dyDescent="0.3">
      <c r="I3595" s="101"/>
    </row>
    <row r="3596" spans="9:9" x14ac:dyDescent="0.3">
      <c r="I3596" s="101"/>
    </row>
    <row r="3597" spans="9:9" x14ac:dyDescent="0.3">
      <c r="I3597" s="101"/>
    </row>
    <row r="3598" spans="9:9" x14ac:dyDescent="0.3">
      <c r="I3598" s="101"/>
    </row>
    <row r="3599" spans="9:9" x14ac:dyDescent="0.3">
      <c r="I3599" s="101"/>
    </row>
    <row r="3600" spans="9:9" x14ac:dyDescent="0.3">
      <c r="I3600" s="101"/>
    </row>
    <row r="3601" spans="9:9" x14ac:dyDescent="0.3">
      <c r="I3601" s="101"/>
    </row>
    <row r="3602" spans="9:9" x14ac:dyDescent="0.3">
      <c r="I3602" s="101"/>
    </row>
    <row r="3603" spans="9:9" x14ac:dyDescent="0.3">
      <c r="I3603" s="101"/>
    </row>
    <row r="3604" spans="9:9" x14ac:dyDescent="0.3">
      <c r="I3604" s="101"/>
    </row>
    <row r="3605" spans="9:9" x14ac:dyDescent="0.3">
      <c r="I3605" s="101"/>
    </row>
    <row r="3606" spans="9:9" x14ac:dyDescent="0.3">
      <c r="I3606" s="101"/>
    </row>
    <row r="3607" spans="9:9" x14ac:dyDescent="0.3">
      <c r="I3607" s="101"/>
    </row>
    <row r="3608" spans="9:9" x14ac:dyDescent="0.3">
      <c r="I3608" s="101"/>
    </row>
    <row r="3609" spans="9:9" x14ac:dyDescent="0.3">
      <c r="I3609" s="101"/>
    </row>
    <row r="3610" spans="9:9" x14ac:dyDescent="0.3">
      <c r="I3610" s="101"/>
    </row>
    <row r="3611" spans="9:9" x14ac:dyDescent="0.3">
      <c r="I3611" s="101"/>
    </row>
    <row r="3612" spans="9:9" x14ac:dyDescent="0.3">
      <c r="I3612" s="101"/>
    </row>
    <row r="3613" spans="9:9" x14ac:dyDescent="0.3">
      <c r="I3613" s="101"/>
    </row>
    <row r="3614" spans="9:9" x14ac:dyDescent="0.3">
      <c r="I3614" s="101"/>
    </row>
    <row r="3615" spans="9:9" x14ac:dyDescent="0.3">
      <c r="I3615" s="101"/>
    </row>
    <row r="3616" spans="9:9" x14ac:dyDescent="0.3">
      <c r="I3616" s="101"/>
    </row>
    <row r="3617" spans="9:9" x14ac:dyDescent="0.3">
      <c r="I3617" s="101"/>
    </row>
    <row r="3618" spans="9:9" x14ac:dyDescent="0.3">
      <c r="I3618" s="101"/>
    </row>
    <row r="3619" spans="9:9" x14ac:dyDescent="0.3">
      <c r="I3619" s="101"/>
    </row>
    <row r="3620" spans="9:9" x14ac:dyDescent="0.3">
      <c r="I3620" s="101"/>
    </row>
    <row r="3621" spans="9:9" x14ac:dyDescent="0.3">
      <c r="I3621" s="101"/>
    </row>
    <row r="3622" spans="9:9" x14ac:dyDescent="0.3">
      <c r="I3622" s="101"/>
    </row>
    <row r="3623" spans="9:9" x14ac:dyDescent="0.3">
      <c r="I3623" s="101"/>
    </row>
    <row r="3624" spans="9:9" x14ac:dyDescent="0.3">
      <c r="I3624" s="101"/>
    </row>
    <row r="3625" spans="9:9" x14ac:dyDescent="0.3">
      <c r="I3625" s="101"/>
    </row>
    <row r="3626" spans="9:9" x14ac:dyDescent="0.3">
      <c r="I3626" s="101"/>
    </row>
    <row r="3627" spans="9:9" x14ac:dyDescent="0.3">
      <c r="I3627" s="101"/>
    </row>
    <row r="3628" spans="9:9" x14ac:dyDescent="0.3">
      <c r="I3628" s="101"/>
    </row>
    <row r="3629" spans="9:9" x14ac:dyDescent="0.3">
      <c r="I3629" s="101"/>
    </row>
    <row r="3630" spans="9:9" x14ac:dyDescent="0.3">
      <c r="I3630" s="101"/>
    </row>
    <row r="3631" spans="9:9" x14ac:dyDescent="0.3">
      <c r="I3631" s="101"/>
    </row>
    <row r="3632" spans="9:9" x14ac:dyDescent="0.3">
      <c r="I3632" s="101"/>
    </row>
    <row r="3633" spans="9:9" x14ac:dyDescent="0.3">
      <c r="I3633" s="101"/>
    </row>
    <row r="3634" spans="9:9" x14ac:dyDescent="0.3">
      <c r="I3634" s="101"/>
    </row>
    <row r="3635" spans="9:9" x14ac:dyDescent="0.3">
      <c r="I3635" s="101"/>
    </row>
    <row r="3636" spans="9:9" x14ac:dyDescent="0.3">
      <c r="I3636" s="101"/>
    </row>
    <row r="3637" spans="9:9" x14ac:dyDescent="0.3">
      <c r="I3637" s="101"/>
    </row>
    <row r="3638" spans="9:9" x14ac:dyDescent="0.3">
      <c r="I3638" s="101"/>
    </row>
    <row r="3639" spans="9:9" x14ac:dyDescent="0.3">
      <c r="I3639" s="101"/>
    </row>
    <row r="3640" spans="9:9" x14ac:dyDescent="0.3">
      <c r="I3640" s="101"/>
    </row>
    <row r="3641" spans="9:9" x14ac:dyDescent="0.3">
      <c r="I3641" s="101"/>
    </row>
    <row r="3642" spans="9:9" x14ac:dyDescent="0.3">
      <c r="I3642" s="101"/>
    </row>
    <row r="3643" spans="9:9" x14ac:dyDescent="0.3">
      <c r="I3643" s="101"/>
    </row>
    <row r="3644" spans="9:9" x14ac:dyDescent="0.3">
      <c r="I3644" s="101"/>
    </row>
    <row r="3645" spans="9:9" x14ac:dyDescent="0.3">
      <c r="I3645" s="101"/>
    </row>
    <row r="3646" spans="9:9" x14ac:dyDescent="0.3">
      <c r="I3646" s="101"/>
    </row>
    <row r="3647" spans="9:9" x14ac:dyDescent="0.3">
      <c r="I3647" s="101"/>
    </row>
    <row r="3648" spans="9:9" x14ac:dyDescent="0.3">
      <c r="I3648" s="101"/>
    </row>
    <row r="3649" spans="9:9" x14ac:dyDescent="0.3">
      <c r="I3649" s="101"/>
    </row>
    <row r="3650" spans="9:9" x14ac:dyDescent="0.3">
      <c r="I3650" s="101"/>
    </row>
    <row r="3651" spans="9:9" x14ac:dyDescent="0.3">
      <c r="I3651" s="101"/>
    </row>
    <row r="3652" spans="9:9" x14ac:dyDescent="0.3">
      <c r="I3652" s="101"/>
    </row>
    <row r="3653" spans="9:9" x14ac:dyDescent="0.3">
      <c r="I3653" s="101"/>
    </row>
    <row r="3654" spans="9:9" x14ac:dyDescent="0.3">
      <c r="I3654" s="101"/>
    </row>
    <row r="3655" spans="9:9" x14ac:dyDescent="0.3">
      <c r="I3655" s="101"/>
    </row>
    <row r="3656" spans="9:9" x14ac:dyDescent="0.3">
      <c r="I3656" s="101"/>
    </row>
    <row r="3657" spans="9:9" x14ac:dyDescent="0.3">
      <c r="I3657" s="101"/>
    </row>
    <row r="3658" spans="9:9" x14ac:dyDescent="0.3">
      <c r="I3658" s="101"/>
    </row>
    <row r="3659" spans="9:9" x14ac:dyDescent="0.3">
      <c r="I3659" s="101"/>
    </row>
    <row r="3660" spans="9:9" x14ac:dyDescent="0.3">
      <c r="I3660" s="101"/>
    </row>
    <row r="3661" spans="9:9" x14ac:dyDescent="0.3">
      <c r="I3661" s="101"/>
    </row>
    <row r="3662" spans="9:9" x14ac:dyDescent="0.3">
      <c r="I3662" s="101"/>
    </row>
    <row r="3663" spans="9:9" x14ac:dyDescent="0.3">
      <c r="I3663" s="101"/>
    </row>
    <row r="3664" spans="9:9" x14ac:dyDescent="0.3">
      <c r="I3664" s="101"/>
    </row>
    <row r="3665" spans="9:9" x14ac:dyDescent="0.3">
      <c r="I3665" s="101"/>
    </row>
    <row r="3666" spans="9:9" x14ac:dyDescent="0.3">
      <c r="I3666" s="101"/>
    </row>
    <row r="3667" spans="9:9" x14ac:dyDescent="0.3">
      <c r="I3667" s="101"/>
    </row>
    <row r="3668" spans="9:9" x14ac:dyDescent="0.3">
      <c r="I3668" s="101"/>
    </row>
    <row r="3669" spans="9:9" x14ac:dyDescent="0.3">
      <c r="I3669" s="101"/>
    </row>
    <row r="3670" spans="9:9" x14ac:dyDescent="0.3">
      <c r="I3670" s="101"/>
    </row>
    <row r="3671" spans="9:9" x14ac:dyDescent="0.3">
      <c r="I3671" s="101"/>
    </row>
    <row r="3672" spans="9:9" x14ac:dyDescent="0.3">
      <c r="I3672" s="101"/>
    </row>
    <row r="3673" spans="9:9" x14ac:dyDescent="0.3">
      <c r="I3673" s="101"/>
    </row>
    <row r="3674" spans="9:9" x14ac:dyDescent="0.3">
      <c r="I3674" s="101"/>
    </row>
    <row r="3675" spans="9:9" x14ac:dyDescent="0.3">
      <c r="I3675" s="101"/>
    </row>
    <row r="3676" spans="9:9" x14ac:dyDescent="0.3">
      <c r="I3676" s="101"/>
    </row>
    <row r="3677" spans="9:9" x14ac:dyDescent="0.3">
      <c r="I3677" s="101"/>
    </row>
    <row r="3678" spans="9:9" x14ac:dyDescent="0.3">
      <c r="I3678" s="101"/>
    </row>
    <row r="3679" spans="9:9" x14ac:dyDescent="0.3">
      <c r="I3679" s="101"/>
    </row>
    <row r="3680" spans="9:9" x14ac:dyDescent="0.3">
      <c r="I3680" s="101"/>
    </row>
    <row r="3681" spans="9:9" x14ac:dyDescent="0.3">
      <c r="I3681" s="101"/>
    </row>
    <row r="3682" spans="9:9" x14ac:dyDescent="0.3">
      <c r="I3682" s="101"/>
    </row>
    <row r="3683" spans="9:9" x14ac:dyDescent="0.3">
      <c r="I3683" s="101"/>
    </row>
    <row r="3684" spans="9:9" x14ac:dyDescent="0.3">
      <c r="I3684" s="101"/>
    </row>
    <row r="3685" spans="9:9" x14ac:dyDescent="0.3">
      <c r="I3685" s="101"/>
    </row>
    <row r="3686" spans="9:9" x14ac:dyDescent="0.3">
      <c r="I3686" s="101"/>
    </row>
    <row r="3687" spans="9:9" x14ac:dyDescent="0.3">
      <c r="I3687" s="101"/>
    </row>
    <row r="3688" spans="9:9" x14ac:dyDescent="0.3">
      <c r="I3688" s="101"/>
    </row>
    <row r="3689" spans="9:9" x14ac:dyDescent="0.3">
      <c r="I3689" s="101"/>
    </row>
    <row r="3690" spans="9:9" x14ac:dyDescent="0.3">
      <c r="I3690" s="101"/>
    </row>
    <row r="3691" spans="9:9" x14ac:dyDescent="0.3">
      <c r="I3691" s="101"/>
    </row>
    <row r="3692" spans="9:9" x14ac:dyDescent="0.3">
      <c r="I3692" s="101"/>
    </row>
    <row r="3693" spans="9:9" x14ac:dyDescent="0.3">
      <c r="I3693" s="101"/>
    </row>
    <row r="3694" spans="9:9" x14ac:dyDescent="0.3">
      <c r="I3694" s="101"/>
    </row>
    <row r="3695" spans="9:9" x14ac:dyDescent="0.3">
      <c r="I3695" s="101"/>
    </row>
    <row r="3696" spans="9:9" x14ac:dyDescent="0.3">
      <c r="I3696" s="101"/>
    </row>
    <row r="3697" spans="9:9" x14ac:dyDescent="0.3">
      <c r="I3697" s="101"/>
    </row>
    <row r="3698" spans="9:9" x14ac:dyDescent="0.3">
      <c r="I3698" s="101"/>
    </row>
    <row r="3699" spans="9:9" x14ac:dyDescent="0.3">
      <c r="I3699" s="101"/>
    </row>
    <row r="3700" spans="9:9" x14ac:dyDescent="0.3">
      <c r="I3700" s="101"/>
    </row>
    <row r="3701" spans="9:9" x14ac:dyDescent="0.3">
      <c r="I3701" s="101"/>
    </row>
    <row r="3702" spans="9:9" x14ac:dyDescent="0.3">
      <c r="I3702" s="101"/>
    </row>
    <row r="3703" spans="9:9" x14ac:dyDescent="0.3">
      <c r="I3703" s="101"/>
    </row>
    <row r="3704" spans="9:9" x14ac:dyDescent="0.3">
      <c r="I3704" s="101"/>
    </row>
    <row r="3705" spans="9:9" x14ac:dyDescent="0.3">
      <c r="I3705" s="101"/>
    </row>
    <row r="3706" spans="9:9" x14ac:dyDescent="0.3">
      <c r="I3706" s="101"/>
    </row>
    <row r="3707" spans="9:9" x14ac:dyDescent="0.3">
      <c r="I3707" s="101"/>
    </row>
    <row r="3708" spans="9:9" x14ac:dyDescent="0.3">
      <c r="I3708" s="101"/>
    </row>
    <row r="3709" spans="9:9" x14ac:dyDescent="0.3">
      <c r="I3709" s="101"/>
    </row>
    <row r="3710" spans="9:9" x14ac:dyDescent="0.3">
      <c r="I3710" s="101"/>
    </row>
    <row r="3711" spans="9:9" x14ac:dyDescent="0.3">
      <c r="I3711" s="101"/>
    </row>
    <row r="3712" spans="9:9" x14ac:dyDescent="0.3">
      <c r="I3712" s="101"/>
    </row>
    <row r="3713" spans="9:9" x14ac:dyDescent="0.3">
      <c r="I3713" s="101"/>
    </row>
    <row r="3714" spans="9:9" x14ac:dyDescent="0.3">
      <c r="I3714" s="101"/>
    </row>
    <row r="3715" spans="9:9" x14ac:dyDescent="0.3">
      <c r="I3715" s="101"/>
    </row>
    <row r="3716" spans="9:9" x14ac:dyDescent="0.3">
      <c r="I3716" s="101"/>
    </row>
    <row r="3717" spans="9:9" x14ac:dyDescent="0.3">
      <c r="I3717" s="101"/>
    </row>
    <row r="3718" spans="9:9" x14ac:dyDescent="0.3">
      <c r="I3718" s="101"/>
    </row>
    <row r="3719" spans="9:9" x14ac:dyDescent="0.3">
      <c r="I3719" s="101"/>
    </row>
    <row r="3720" spans="9:9" x14ac:dyDescent="0.3">
      <c r="I3720" s="101"/>
    </row>
    <row r="3721" spans="9:9" x14ac:dyDescent="0.3">
      <c r="I3721" s="101"/>
    </row>
    <row r="3722" spans="9:9" x14ac:dyDescent="0.3">
      <c r="I3722" s="101"/>
    </row>
    <row r="3723" spans="9:9" x14ac:dyDescent="0.3">
      <c r="I3723" s="101"/>
    </row>
    <row r="3724" spans="9:9" x14ac:dyDescent="0.3">
      <c r="I3724" s="101"/>
    </row>
    <row r="3725" spans="9:9" x14ac:dyDescent="0.3">
      <c r="I3725" s="101"/>
    </row>
    <row r="3726" spans="9:9" x14ac:dyDescent="0.3">
      <c r="I3726" s="101"/>
    </row>
    <row r="3727" spans="9:9" x14ac:dyDescent="0.3">
      <c r="I3727" s="101"/>
    </row>
    <row r="3728" spans="9:9" x14ac:dyDescent="0.3">
      <c r="I3728" s="101"/>
    </row>
    <row r="3729" spans="9:9" x14ac:dyDescent="0.3">
      <c r="I3729" s="101"/>
    </row>
    <row r="3730" spans="9:9" x14ac:dyDescent="0.3">
      <c r="I3730" s="101"/>
    </row>
    <row r="3731" spans="9:9" x14ac:dyDescent="0.3">
      <c r="I3731" s="101"/>
    </row>
    <row r="3732" spans="9:9" x14ac:dyDescent="0.3">
      <c r="I3732" s="101"/>
    </row>
    <row r="3733" spans="9:9" x14ac:dyDescent="0.3">
      <c r="I3733" s="101"/>
    </row>
    <row r="3734" spans="9:9" x14ac:dyDescent="0.3">
      <c r="I3734" s="101"/>
    </row>
    <row r="3735" spans="9:9" x14ac:dyDescent="0.3">
      <c r="I3735" s="101"/>
    </row>
    <row r="3736" spans="9:9" x14ac:dyDescent="0.3">
      <c r="I3736" s="101"/>
    </row>
    <row r="3737" spans="9:9" x14ac:dyDescent="0.3">
      <c r="I3737" s="101"/>
    </row>
    <row r="3738" spans="9:9" x14ac:dyDescent="0.3">
      <c r="I3738" s="101"/>
    </row>
    <row r="3739" spans="9:9" x14ac:dyDescent="0.3">
      <c r="I3739" s="101"/>
    </row>
    <row r="3740" spans="9:9" x14ac:dyDescent="0.3">
      <c r="I3740" s="101"/>
    </row>
    <row r="3741" spans="9:9" x14ac:dyDescent="0.3">
      <c r="I3741" s="101"/>
    </row>
    <row r="3742" spans="9:9" x14ac:dyDescent="0.3">
      <c r="I3742" s="101"/>
    </row>
    <row r="3743" spans="9:9" x14ac:dyDescent="0.3">
      <c r="I3743" s="101"/>
    </row>
    <row r="3744" spans="9:9" x14ac:dyDescent="0.3">
      <c r="I3744" s="101"/>
    </row>
    <row r="3745" spans="9:9" x14ac:dyDescent="0.3">
      <c r="I3745" s="101"/>
    </row>
    <row r="3746" spans="9:9" x14ac:dyDescent="0.3">
      <c r="I3746" s="101"/>
    </row>
    <row r="3747" spans="9:9" x14ac:dyDescent="0.3">
      <c r="I3747" s="101"/>
    </row>
    <row r="3748" spans="9:9" x14ac:dyDescent="0.3">
      <c r="I3748" s="101"/>
    </row>
    <row r="3749" spans="9:9" x14ac:dyDescent="0.3">
      <c r="I3749" s="101"/>
    </row>
    <row r="3750" spans="9:9" x14ac:dyDescent="0.3">
      <c r="I3750" s="101"/>
    </row>
    <row r="3751" spans="9:9" x14ac:dyDescent="0.3">
      <c r="I3751" s="101"/>
    </row>
    <row r="3752" spans="9:9" x14ac:dyDescent="0.3">
      <c r="I3752" s="101"/>
    </row>
    <row r="3753" spans="9:9" x14ac:dyDescent="0.3">
      <c r="I3753" s="101"/>
    </row>
    <row r="3754" spans="9:9" x14ac:dyDescent="0.3">
      <c r="I3754" s="101"/>
    </row>
    <row r="3755" spans="9:9" x14ac:dyDescent="0.3">
      <c r="I3755" s="101"/>
    </row>
    <row r="3756" spans="9:9" x14ac:dyDescent="0.3">
      <c r="I3756" s="101"/>
    </row>
    <row r="3757" spans="9:9" x14ac:dyDescent="0.3">
      <c r="I3757" s="101"/>
    </row>
    <row r="3758" spans="9:9" x14ac:dyDescent="0.3">
      <c r="I3758" s="101"/>
    </row>
    <row r="3759" spans="9:9" x14ac:dyDescent="0.3">
      <c r="I3759" s="101"/>
    </row>
    <row r="3760" spans="9:9" x14ac:dyDescent="0.3">
      <c r="I3760" s="101"/>
    </row>
    <row r="3761" spans="9:9" x14ac:dyDescent="0.3">
      <c r="I3761" s="101"/>
    </row>
    <row r="3762" spans="9:9" x14ac:dyDescent="0.3">
      <c r="I3762" s="101"/>
    </row>
    <row r="3763" spans="9:9" x14ac:dyDescent="0.3">
      <c r="I3763" s="101"/>
    </row>
    <row r="3764" spans="9:9" x14ac:dyDescent="0.3">
      <c r="I3764" s="101"/>
    </row>
    <row r="3765" spans="9:9" x14ac:dyDescent="0.3">
      <c r="I3765" s="101"/>
    </row>
    <row r="3766" spans="9:9" x14ac:dyDescent="0.3">
      <c r="I3766" s="101"/>
    </row>
    <row r="3767" spans="9:9" x14ac:dyDescent="0.3">
      <c r="I3767" s="101"/>
    </row>
    <row r="3768" spans="9:9" x14ac:dyDescent="0.3">
      <c r="I3768" s="101"/>
    </row>
    <row r="3769" spans="9:9" x14ac:dyDescent="0.3">
      <c r="I3769" s="101"/>
    </row>
    <row r="3770" spans="9:9" x14ac:dyDescent="0.3">
      <c r="I3770" s="101"/>
    </row>
    <row r="3771" spans="9:9" x14ac:dyDescent="0.3">
      <c r="I3771" s="101"/>
    </row>
    <row r="3772" spans="9:9" x14ac:dyDescent="0.3">
      <c r="I3772" s="101"/>
    </row>
    <row r="3773" spans="9:9" x14ac:dyDescent="0.3">
      <c r="I3773" s="101"/>
    </row>
    <row r="3774" spans="9:9" x14ac:dyDescent="0.3">
      <c r="I3774" s="101"/>
    </row>
    <row r="3775" spans="9:9" x14ac:dyDescent="0.3">
      <c r="I3775" s="101"/>
    </row>
    <row r="3776" spans="9:9" x14ac:dyDescent="0.3">
      <c r="I3776" s="101"/>
    </row>
    <row r="3777" spans="9:9" x14ac:dyDescent="0.3">
      <c r="I3777" s="101"/>
    </row>
    <row r="3778" spans="9:9" x14ac:dyDescent="0.3">
      <c r="I3778" s="101"/>
    </row>
    <row r="3779" spans="9:9" x14ac:dyDescent="0.3">
      <c r="I3779" s="101"/>
    </row>
    <row r="3780" spans="9:9" x14ac:dyDescent="0.3">
      <c r="I3780" s="101"/>
    </row>
    <row r="3781" spans="9:9" x14ac:dyDescent="0.3">
      <c r="I3781" s="101"/>
    </row>
    <row r="3782" spans="9:9" x14ac:dyDescent="0.3">
      <c r="I3782" s="101"/>
    </row>
    <row r="3783" spans="9:9" x14ac:dyDescent="0.3">
      <c r="I3783" s="101"/>
    </row>
    <row r="3784" spans="9:9" x14ac:dyDescent="0.3">
      <c r="I3784" s="101"/>
    </row>
    <row r="3785" spans="9:9" x14ac:dyDescent="0.3">
      <c r="I3785" s="101"/>
    </row>
    <row r="3786" spans="9:9" x14ac:dyDescent="0.3">
      <c r="I3786" s="101"/>
    </row>
    <row r="3787" spans="9:9" x14ac:dyDescent="0.3">
      <c r="I3787" s="101"/>
    </row>
    <row r="3788" spans="9:9" x14ac:dyDescent="0.3">
      <c r="I3788" s="101"/>
    </row>
    <row r="3789" spans="9:9" x14ac:dyDescent="0.3">
      <c r="I3789" s="101"/>
    </row>
    <row r="3790" spans="9:9" x14ac:dyDescent="0.3">
      <c r="I3790" s="101"/>
    </row>
    <row r="3791" spans="9:9" x14ac:dyDescent="0.3">
      <c r="I3791" s="101"/>
    </row>
    <row r="3792" spans="9:9" x14ac:dyDescent="0.3">
      <c r="I3792" s="101"/>
    </row>
    <row r="3793" spans="9:9" x14ac:dyDescent="0.3">
      <c r="I3793" s="101"/>
    </row>
    <row r="3794" spans="9:9" x14ac:dyDescent="0.3">
      <c r="I3794" s="101"/>
    </row>
    <row r="3795" spans="9:9" x14ac:dyDescent="0.3">
      <c r="I3795" s="101"/>
    </row>
    <row r="3796" spans="9:9" x14ac:dyDescent="0.3">
      <c r="I3796" s="101"/>
    </row>
    <row r="3797" spans="9:9" x14ac:dyDescent="0.3">
      <c r="I3797" s="101"/>
    </row>
    <row r="3798" spans="9:9" x14ac:dyDescent="0.3">
      <c r="I3798" s="101"/>
    </row>
    <row r="3799" spans="9:9" x14ac:dyDescent="0.3">
      <c r="I3799" s="101"/>
    </row>
    <row r="3800" spans="9:9" x14ac:dyDescent="0.3">
      <c r="I3800" s="101"/>
    </row>
    <row r="3801" spans="9:9" x14ac:dyDescent="0.3">
      <c r="I3801" s="101"/>
    </row>
    <row r="3802" spans="9:9" x14ac:dyDescent="0.3">
      <c r="I3802" s="101"/>
    </row>
    <row r="3803" spans="9:9" x14ac:dyDescent="0.3">
      <c r="I3803" s="101"/>
    </row>
    <row r="3804" spans="9:9" x14ac:dyDescent="0.3">
      <c r="I3804" s="101"/>
    </row>
    <row r="3805" spans="9:9" x14ac:dyDescent="0.3">
      <c r="I3805" s="101"/>
    </row>
    <row r="3806" spans="9:9" x14ac:dyDescent="0.3">
      <c r="I3806" s="101"/>
    </row>
    <row r="3807" spans="9:9" x14ac:dyDescent="0.3">
      <c r="I3807" s="101"/>
    </row>
    <row r="3808" spans="9:9" x14ac:dyDescent="0.3">
      <c r="I3808" s="101"/>
    </row>
    <row r="3809" spans="9:9" x14ac:dyDescent="0.3">
      <c r="I3809" s="101"/>
    </row>
    <row r="3810" spans="9:9" x14ac:dyDescent="0.3">
      <c r="I3810" s="101"/>
    </row>
    <row r="3811" spans="9:9" x14ac:dyDescent="0.3">
      <c r="I3811" s="101"/>
    </row>
    <row r="3812" spans="9:9" x14ac:dyDescent="0.3">
      <c r="I3812" s="101"/>
    </row>
    <row r="3813" spans="9:9" x14ac:dyDescent="0.3">
      <c r="I3813" s="101"/>
    </row>
    <row r="3814" spans="9:9" x14ac:dyDescent="0.3">
      <c r="I3814" s="101"/>
    </row>
    <row r="3815" spans="9:9" x14ac:dyDescent="0.3">
      <c r="I3815" s="101"/>
    </row>
    <row r="3816" spans="9:9" x14ac:dyDescent="0.3">
      <c r="I3816" s="101"/>
    </row>
    <row r="3817" spans="9:9" x14ac:dyDescent="0.3">
      <c r="I3817" s="101"/>
    </row>
    <row r="3818" spans="9:9" x14ac:dyDescent="0.3">
      <c r="I3818" s="101"/>
    </row>
    <row r="3819" spans="9:9" x14ac:dyDescent="0.3">
      <c r="I3819" s="101"/>
    </row>
    <row r="3820" spans="9:9" x14ac:dyDescent="0.3">
      <c r="I3820" s="101"/>
    </row>
    <row r="3821" spans="9:9" x14ac:dyDescent="0.3">
      <c r="I3821" s="101"/>
    </row>
    <row r="3822" spans="9:9" x14ac:dyDescent="0.3">
      <c r="I3822" s="101"/>
    </row>
    <row r="3823" spans="9:9" x14ac:dyDescent="0.3">
      <c r="I3823" s="101"/>
    </row>
    <row r="3824" spans="9:9" x14ac:dyDescent="0.3">
      <c r="I3824" s="101"/>
    </row>
    <row r="3825" spans="9:9" x14ac:dyDescent="0.3">
      <c r="I3825" s="101"/>
    </row>
    <row r="3826" spans="9:9" x14ac:dyDescent="0.3">
      <c r="I3826" s="101"/>
    </row>
    <row r="3827" spans="9:9" x14ac:dyDescent="0.3">
      <c r="I3827" s="101"/>
    </row>
    <row r="3828" spans="9:9" x14ac:dyDescent="0.3">
      <c r="I3828" s="101"/>
    </row>
    <row r="3829" spans="9:9" x14ac:dyDescent="0.3">
      <c r="I3829" s="101"/>
    </row>
    <row r="3830" spans="9:9" x14ac:dyDescent="0.3">
      <c r="I3830" s="101"/>
    </row>
    <row r="3831" spans="9:9" x14ac:dyDescent="0.3">
      <c r="I3831" s="101"/>
    </row>
    <row r="3832" spans="9:9" x14ac:dyDescent="0.3">
      <c r="I3832" s="101"/>
    </row>
    <row r="3833" spans="9:9" x14ac:dyDescent="0.3">
      <c r="I3833" s="101"/>
    </row>
    <row r="3834" spans="9:9" x14ac:dyDescent="0.3">
      <c r="I3834" s="101"/>
    </row>
    <row r="3835" spans="9:9" x14ac:dyDescent="0.3">
      <c r="I3835" s="101"/>
    </row>
    <row r="3836" spans="9:9" x14ac:dyDescent="0.3">
      <c r="I3836" s="101"/>
    </row>
    <row r="3837" spans="9:9" x14ac:dyDescent="0.3">
      <c r="I3837" s="101"/>
    </row>
    <row r="3838" spans="9:9" x14ac:dyDescent="0.3">
      <c r="I3838" s="101"/>
    </row>
    <row r="3839" spans="9:9" x14ac:dyDescent="0.3">
      <c r="I3839" s="101"/>
    </row>
    <row r="3840" spans="9:9" x14ac:dyDescent="0.3">
      <c r="I3840" s="101"/>
    </row>
    <row r="3841" spans="9:9" x14ac:dyDescent="0.3">
      <c r="I3841" s="101"/>
    </row>
    <row r="3842" spans="9:9" x14ac:dyDescent="0.3">
      <c r="I3842" s="101"/>
    </row>
    <row r="3843" spans="9:9" x14ac:dyDescent="0.3">
      <c r="I3843" s="101"/>
    </row>
    <row r="3844" spans="9:9" x14ac:dyDescent="0.3">
      <c r="I3844" s="101"/>
    </row>
    <row r="3845" spans="9:9" x14ac:dyDescent="0.3">
      <c r="I3845" s="101"/>
    </row>
    <row r="3846" spans="9:9" x14ac:dyDescent="0.3">
      <c r="I3846" s="101"/>
    </row>
    <row r="3847" spans="9:9" x14ac:dyDescent="0.3">
      <c r="I3847" s="101"/>
    </row>
    <row r="3848" spans="9:9" x14ac:dyDescent="0.3">
      <c r="I3848" s="101"/>
    </row>
    <row r="3849" spans="9:9" x14ac:dyDescent="0.3">
      <c r="I3849" s="101"/>
    </row>
    <row r="3850" spans="9:9" x14ac:dyDescent="0.3">
      <c r="I3850" s="101"/>
    </row>
    <row r="3851" spans="9:9" x14ac:dyDescent="0.3">
      <c r="I3851" s="101"/>
    </row>
    <row r="3852" spans="9:9" x14ac:dyDescent="0.3">
      <c r="I3852" s="101"/>
    </row>
    <row r="3853" spans="9:9" x14ac:dyDescent="0.3">
      <c r="I3853" s="101"/>
    </row>
    <row r="3854" spans="9:9" x14ac:dyDescent="0.3">
      <c r="I3854" s="101"/>
    </row>
    <row r="3855" spans="9:9" x14ac:dyDescent="0.3">
      <c r="I3855" s="101"/>
    </row>
    <row r="3856" spans="9:9" x14ac:dyDescent="0.3">
      <c r="I3856" s="101"/>
    </row>
    <row r="3857" spans="9:9" x14ac:dyDescent="0.3">
      <c r="I3857" s="101"/>
    </row>
    <row r="3858" spans="9:9" x14ac:dyDescent="0.3">
      <c r="I3858" s="101"/>
    </row>
    <row r="3859" spans="9:9" x14ac:dyDescent="0.3">
      <c r="I3859" s="101"/>
    </row>
    <row r="3860" spans="9:9" x14ac:dyDescent="0.3">
      <c r="I3860" s="101"/>
    </row>
    <row r="3861" spans="9:9" x14ac:dyDescent="0.3">
      <c r="I3861" s="101"/>
    </row>
    <row r="3862" spans="9:9" x14ac:dyDescent="0.3">
      <c r="I3862" s="101"/>
    </row>
    <row r="3863" spans="9:9" x14ac:dyDescent="0.3">
      <c r="I3863" s="101"/>
    </row>
    <row r="3864" spans="9:9" x14ac:dyDescent="0.3">
      <c r="I3864" s="101"/>
    </row>
    <row r="3865" spans="9:9" x14ac:dyDescent="0.3">
      <c r="I3865" s="101"/>
    </row>
    <row r="3866" spans="9:9" x14ac:dyDescent="0.3">
      <c r="I3866" s="101"/>
    </row>
    <row r="3867" spans="9:9" x14ac:dyDescent="0.3">
      <c r="I3867" s="101"/>
    </row>
    <row r="3868" spans="9:9" x14ac:dyDescent="0.3">
      <c r="I3868" s="101"/>
    </row>
    <row r="3869" spans="9:9" x14ac:dyDescent="0.3">
      <c r="I3869" s="101"/>
    </row>
    <row r="3870" spans="9:9" x14ac:dyDescent="0.3">
      <c r="I3870" s="101"/>
    </row>
    <row r="3871" spans="9:9" x14ac:dyDescent="0.3">
      <c r="I3871" s="101"/>
    </row>
    <row r="3872" spans="9:9" x14ac:dyDescent="0.3">
      <c r="I3872" s="101"/>
    </row>
    <row r="3873" spans="9:9" x14ac:dyDescent="0.3">
      <c r="I3873" s="101"/>
    </row>
    <row r="3874" spans="9:9" x14ac:dyDescent="0.3">
      <c r="I3874" s="101"/>
    </row>
    <row r="3875" spans="9:9" x14ac:dyDescent="0.3">
      <c r="I3875" s="101"/>
    </row>
    <row r="3876" spans="9:9" x14ac:dyDescent="0.3">
      <c r="I3876" s="101"/>
    </row>
    <row r="3877" spans="9:9" x14ac:dyDescent="0.3">
      <c r="I3877" s="101"/>
    </row>
    <row r="3878" spans="9:9" x14ac:dyDescent="0.3">
      <c r="I3878" s="101"/>
    </row>
    <row r="3879" spans="9:9" x14ac:dyDescent="0.3">
      <c r="I3879" s="101"/>
    </row>
    <row r="3880" spans="9:9" x14ac:dyDescent="0.3">
      <c r="I3880" s="101"/>
    </row>
    <row r="3881" spans="9:9" x14ac:dyDescent="0.3">
      <c r="I3881" s="101"/>
    </row>
    <row r="3882" spans="9:9" x14ac:dyDescent="0.3">
      <c r="I3882" s="101"/>
    </row>
    <row r="3883" spans="9:9" x14ac:dyDescent="0.3">
      <c r="I3883" s="101"/>
    </row>
    <row r="3884" spans="9:9" x14ac:dyDescent="0.3">
      <c r="I3884" s="101"/>
    </row>
    <row r="3885" spans="9:9" x14ac:dyDescent="0.3">
      <c r="I3885" s="101"/>
    </row>
    <row r="3886" spans="9:9" x14ac:dyDescent="0.3">
      <c r="I3886" s="101"/>
    </row>
    <row r="3887" spans="9:9" x14ac:dyDescent="0.3">
      <c r="I3887" s="101"/>
    </row>
    <row r="3888" spans="9:9" x14ac:dyDescent="0.3">
      <c r="I3888" s="101"/>
    </row>
    <row r="3889" spans="9:9" x14ac:dyDescent="0.3">
      <c r="I3889" s="101"/>
    </row>
    <row r="3890" spans="9:9" x14ac:dyDescent="0.3">
      <c r="I3890" s="101"/>
    </row>
    <row r="3891" spans="9:9" x14ac:dyDescent="0.3">
      <c r="I3891" s="101"/>
    </row>
    <row r="3892" spans="9:9" x14ac:dyDescent="0.3">
      <c r="I3892" s="101"/>
    </row>
    <row r="3893" spans="9:9" x14ac:dyDescent="0.3">
      <c r="I3893" s="101"/>
    </row>
    <row r="3894" spans="9:9" x14ac:dyDescent="0.3">
      <c r="I3894" s="101"/>
    </row>
    <row r="3895" spans="9:9" x14ac:dyDescent="0.3">
      <c r="I3895" s="101"/>
    </row>
    <row r="3896" spans="9:9" x14ac:dyDescent="0.3">
      <c r="I3896" s="101"/>
    </row>
    <row r="3897" spans="9:9" x14ac:dyDescent="0.3">
      <c r="I3897" s="101"/>
    </row>
    <row r="3898" spans="9:9" x14ac:dyDescent="0.3">
      <c r="I3898" s="101"/>
    </row>
    <row r="3899" spans="9:9" x14ac:dyDescent="0.3">
      <c r="I3899" s="101"/>
    </row>
    <row r="3900" spans="9:9" x14ac:dyDescent="0.3">
      <c r="I3900" s="101"/>
    </row>
    <row r="3901" spans="9:9" x14ac:dyDescent="0.3">
      <c r="I3901" s="101"/>
    </row>
    <row r="3902" spans="9:9" x14ac:dyDescent="0.3">
      <c r="I3902" s="101"/>
    </row>
    <row r="3903" spans="9:9" x14ac:dyDescent="0.3">
      <c r="I3903" s="101"/>
    </row>
    <row r="3904" spans="9:9" x14ac:dyDescent="0.3">
      <c r="I3904" s="101"/>
    </row>
    <row r="3905" spans="9:9" x14ac:dyDescent="0.3">
      <c r="I3905" s="101"/>
    </row>
    <row r="3906" spans="9:9" x14ac:dyDescent="0.3">
      <c r="I3906" s="101"/>
    </row>
    <row r="3907" spans="9:9" x14ac:dyDescent="0.3">
      <c r="I3907" s="101"/>
    </row>
    <row r="3908" spans="9:9" x14ac:dyDescent="0.3">
      <c r="I3908" s="101"/>
    </row>
    <row r="3909" spans="9:9" x14ac:dyDescent="0.3">
      <c r="I3909" s="101"/>
    </row>
    <row r="3910" spans="9:9" x14ac:dyDescent="0.3">
      <c r="I3910" s="101"/>
    </row>
    <row r="3911" spans="9:9" x14ac:dyDescent="0.3">
      <c r="I3911" s="101"/>
    </row>
    <row r="3912" spans="9:9" x14ac:dyDescent="0.3">
      <c r="I3912" s="101"/>
    </row>
    <row r="3913" spans="9:9" x14ac:dyDescent="0.3">
      <c r="I3913" s="101"/>
    </row>
    <row r="3914" spans="9:9" x14ac:dyDescent="0.3">
      <c r="I3914" s="101"/>
    </row>
    <row r="3915" spans="9:9" x14ac:dyDescent="0.3">
      <c r="I3915" s="101"/>
    </row>
    <row r="3916" spans="9:9" x14ac:dyDescent="0.3">
      <c r="I3916" s="101"/>
    </row>
    <row r="3917" spans="9:9" x14ac:dyDescent="0.3">
      <c r="I3917" s="101"/>
    </row>
    <row r="3918" spans="9:9" x14ac:dyDescent="0.3">
      <c r="I3918" s="101"/>
    </row>
    <row r="3919" spans="9:9" x14ac:dyDescent="0.3">
      <c r="I3919" s="101"/>
    </row>
    <row r="3920" spans="9:9" x14ac:dyDescent="0.3">
      <c r="I3920" s="101"/>
    </row>
    <row r="3921" spans="9:9" x14ac:dyDescent="0.3">
      <c r="I3921" s="101"/>
    </row>
    <row r="3922" spans="9:9" x14ac:dyDescent="0.3">
      <c r="I3922" s="101"/>
    </row>
    <row r="3923" spans="9:9" x14ac:dyDescent="0.3">
      <c r="I3923" s="101"/>
    </row>
    <row r="3924" spans="9:9" x14ac:dyDescent="0.3">
      <c r="I3924" s="101"/>
    </row>
    <row r="3925" spans="9:9" x14ac:dyDescent="0.3">
      <c r="I3925" s="101"/>
    </row>
    <row r="3926" spans="9:9" x14ac:dyDescent="0.3">
      <c r="I3926" s="101"/>
    </row>
    <row r="3927" spans="9:9" x14ac:dyDescent="0.3">
      <c r="I3927" s="101"/>
    </row>
    <row r="3928" spans="9:9" x14ac:dyDescent="0.3">
      <c r="I3928" s="101"/>
    </row>
    <row r="3929" spans="9:9" x14ac:dyDescent="0.3">
      <c r="I3929" s="101"/>
    </row>
    <row r="3930" spans="9:9" x14ac:dyDescent="0.3">
      <c r="I3930" s="101"/>
    </row>
    <row r="3931" spans="9:9" x14ac:dyDescent="0.3">
      <c r="I3931" s="101"/>
    </row>
    <row r="3932" spans="9:9" x14ac:dyDescent="0.3">
      <c r="I3932" s="101"/>
    </row>
    <row r="3933" spans="9:9" x14ac:dyDescent="0.3">
      <c r="I3933" s="101"/>
    </row>
    <row r="3934" spans="9:9" x14ac:dyDescent="0.3">
      <c r="I3934" s="101"/>
    </row>
    <row r="3935" spans="9:9" x14ac:dyDescent="0.3">
      <c r="I3935" s="101"/>
    </row>
    <row r="3936" spans="9:9" x14ac:dyDescent="0.3">
      <c r="I3936" s="101"/>
    </row>
    <row r="3937" spans="9:9" x14ac:dyDescent="0.3">
      <c r="I3937" s="101"/>
    </row>
    <row r="3938" spans="9:9" x14ac:dyDescent="0.3">
      <c r="I3938" s="101"/>
    </row>
    <row r="3939" spans="9:9" x14ac:dyDescent="0.3">
      <c r="I3939" s="101"/>
    </row>
    <row r="3940" spans="9:9" x14ac:dyDescent="0.3">
      <c r="I3940" s="101"/>
    </row>
    <row r="3941" spans="9:9" x14ac:dyDescent="0.3">
      <c r="I3941" s="101"/>
    </row>
    <row r="3942" spans="9:9" x14ac:dyDescent="0.3">
      <c r="I3942" s="101"/>
    </row>
    <row r="3943" spans="9:9" x14ac:dyDescent="0.3">
      <c r="I3943" s="101"/>
    </row>
    <row r="3944" spans="9:9" x14ac:dyDescent="0.3">
      <c r="I3944" s="101"/>
    </row>
    <row r="3945" spans="9:9" x14ac:dyDescent="0.3">
      <c r="I3945" s="101"/>
    </row>
    <row r="3946" spans="9:9" x14ac:dyDescent="0.3">
      <c r="I3946" s="101"/>
    </row>
    <row r="3947" spans="9:9" x14ac:dyDescent="0.3">
      <c r="I3947" s="101"/>
    </row>
    <row r="3948" spans="9:9" x14ac:dyDescent="0.3">
      <c r="I3948" s="101"/>
    </row>
    <row r="3949" spans="9:9" x14ac:dyDescent="0.3">
      <c r="I3949" s="101"/>
    </row>
    <row r="3950" spans="9:9" x14ac:dyDescent="0.3">
      <c r="I3950" s="101"/>
    </row>
    <row r="3951" spans="9:9" x14ac:dyDescent="0.3">
      <c r="I3951" s="101"/>
    </row>
    <row r="3952" spans="9:9" x14ac:dyDescent="0.3">
      <c r="I3952" s="101"/>
    </row>
    <row r="3953" spans="9:9" x14ac:dyDescent="0.3">
      <c r="I3953" s="101"/>
    </row>
    <row r="3954" spans="9:9" x14ac:dyDescent="0.3">
      <c r="I3954" s="101"/>
    </row>
    <row r="3955" spans="9:9" x14ac:dyDescent="0.3">
      <c r="I3955" s="101"/>
    </row>
    <row r="3956" spans="9:9" x14ac:dyDescent="0.3">
      <c r="I3956" s="101"/>
    </row>
    <row r="3957" spans="9:9" x14ac:dyDescent="0.3">
      <c r="I3957" s="101"/>
    </row>
    <row r="3958" spans="9:9" x14ac:dyDescent="0.3">
      <c r="I3958" s="101"/>
    </row>
    <row r="3959" spans="9:9" x14ac:dyDescent="0.3">
      <c r="I3959" s="101"/>
    </row>
    <row r="3960" spans="9:9" x14ac:dyDescent="0.3">
      <c r="I3960" s="101"/>
    </row>
    <row r="3961" spans="9:9" x14ac:dyDescent="0.3">
      <c r="I3961" s="101"/>
    </row>
    <row r="3962" spans="9:9" x14ac:dyDescent="0.3">
      <c r="I3962" s="101"/>
    </row>
    <row r="3963" spans="9:9" x14ac:dyDescent="0.3">
      <c r="I3963" s="101"/>
    </row>
    <row r="3964" spans="9:9" x14ac:dyDescent="0.3">
      <c r="I3964" s="101"/>
    </row>
    <row r="3965" spans="9:9" x14ac:dyDescent="0.3">
      <c r="I3965" s="101"/>
    </row>
    <row r="3966" spans="9:9" x14ac:dyDescent="0.3">
      <c r="I3966" s="101"/>
    </row>
    <row r="3967" spans="9:9" x14ac:dyDescent="0.3">
      <c r="I3967" s="101"/>
    </row>
    <row r="3968" spans="9:9" x14ac:dyDescent="0.3">
      <c r="I3968" s="101"/>
    </row>
    <row r="3969" spans="9:9" x14ac:dyDescent="0.3">
      <c r="I3969" s="101"/>
    </row>
    <row r="3970" spans="9:9" x14ac:dyDescent="0.3">
      <c r="I3970" s="101"/>
    </row>
    <row r="3971" spans="9:9" x14ac:dyDescent="0.3">
      <c r="I3971" s="101"/>
    </row>
    <row r="3972" spans="9:9" x14ac:dyDescent="0.3">
      <c r="I3972" s="101"/>
    </row>
    <row r="3973" spans="9:9" x14ac:dyDescent="0.3">
      <c r="I3973" s="101"/>
    </row>
    <row r="3974" spans="9:9" x14ac:dyDescent="0.3">
      <c r="I3974" s="101"/>
    </row>
    <row r="3975" spans="9:9" x14ac:dyDescent="0.3">
      <c r="I3975" s="101"/>
    </row>
    <row r="3976" spans="9:9" x14ac:dyDescent="0.3">
      <c r="I3976" s="101"/>
    </row>
    <row r="3977" spans="9:9" x14ac:dyDescent="0.3">
      <c r="I3977" s="101"/>
    </row>
    <row r="3978" spans="9:9" x14ac:dyDescent="0.3">
      <c r="I3978" s="101"/>
    </row>
    <row r="3979" spans="9:9" x14ac:dyDescent="0.3">
      <c r="I3979" s="101"/>
    </row>
    <row r="3980" spans="9:9" x14ac:dyDescent="0.3">
      <c r="I3980" s="101"/>
    </row>
    <row r="3981" spans="9:9" x14ac:dyDescent="0.3">
      <c r="I3981" s="101"/>
    </row>
    <row r="3982" spans="9:9" x14ac:dyDescent="0.3">
      <c r="I3982" s="101"/>
    </row>
    <row r="3983" spans="9:9" x14ac:dyDescent="0.3">
      <c r="I3983" s="101"/>
    </row>
    <row r="3984" spans="9:9" x14ac:dyDescent="0.3">
      <c r="I3984" s="101"/>
    </row>
    <row r="3985" spans="9:9" x14ac:dyDescent="0.3">
      <c r="I3985" s="101"/>
    </row>
    <row r="3986" spans="9:9" x14ac:dyDescent="0.3">
      <c r="I3986" s="101"/>
    </row>
    <row r="3987" spans="9:9" x14ac:dyDescent="0.3">
      <c r="I3987" s="101"/>
    </row>
    <row r="3988" spans="9:9" x14ac:dyDescent="0.3">
      <c r="I3988" s="101"/>
    </row>
    <row r="3989" spans="9:9" x14ac:dyDescent="0.3">
      <c r="I3989" s="101"/>
    </row>
    <row r="3990" spans="9:9" x14ac:dyDescent="0.3">
      <c r="I3990" s="101"/>
    </row>
    <row r="3991" spans="9:9" x14ac:dyDescent="0.3">
      <c r="I3991" s="101"/>
    </row>
    <row r="3992" spans="9:9" x14ac:dyDescent="0.3">
      <c r="I3992" s="101"/>
    </row>
    <row r="3993" spans="9:9" x14ac:dyDescent="0.3">
      <c r="I3993" s="101"/>
    </row>
    <row r="3994" spans="9:9" x14ac:dyDescent="0.3">
      <c r="I3994" s="101"/>
    </row>
    <row r="3995" spans="9:9" x14ac:dyDescent="0.3">
      <c r="I3995" s="101"/>
    </row>
    <row r="3996" spans="9:9" x14ac:dyDescent="0.3">
      <c r="I3996" s="101"/>
    </row>
    <row r="3997" spans="9:9" x14ac:dyDescent="0.3">
      <c r="I3997" s="101"/>
    </row>
    <row r="3998" spans="9:9" x14ac:dyDescent="0.3">
      <c r="I3998" s="101"/>
    </row>
    <row r="3999" spans="9:9" x14ac:dyDescent="0.3">
      <c r="I3999" s="101"/>
    </row>
    <row r="4000" spans="9:9" x14ac:dyDescent="0.3">
      <c r="I4000" s="101"/>
    </row>
    <row r="4001" spans="9:9" x14ac:dyDescent="0.3">
      <c r="I4001" s="101"/>
    </row>
    <row r="4002" spans="9:9" x14ac:dyDescent="0.3">
      <c r="I4002" s="101"/>
    </row>
    <row r="4003" spans="9:9" x14ac:dyDescent="0.3">
      <c r="I4003" s="101"/>
    </row>
    <row r="4004" spans="9:9" x14ac:dyDescent="0.3">
      <c r="I4004" s="101"/>
    </row>
    <row r="4005" spans="9:9" x14ac:dyDescent="0.3">
      <c r="I4005" s="101"/>
    </row>
    <row r="4006" spans="9:9" x14ac:dyDescent="0.3">
      <c r="I4006" s="101"/>
    </row>
    <row r="4007" spans="9:9" x14ac:dyDescent="0.3">
      <c r="I4007" s="101"/>
    </row>
    <row r="4008" spans="9:9" x14ac:dyDescent="0.3">
      <c r="I4008" s="101"/>
    </row>
    <row r="4009" spans="9:9" x14ac:dyDescent="0.3">
      <c r="I4009" s="101"/>
    </row>
    <row r="4010" spans="9:9" x14ac:dyDescent="0.3">
      <c r="I4010" s="101"/>
    </row>
    <row r="4011" spans="9:9" x14ac:dyDescent="0.3">
      <c r="I4011" s="101"/>
    </row>
    <row r="4012" spans="9:9" x14ac:dyDescent="0.3">
      <c r="I4012" s="101"/>
    </row>
    <row r="4013" spans="9:9" x14ac:dyDescent="0.3">
      <c r="I4013" s="101"/>
    </row>
    <row r="4014" spans="9:9" x14ac:dyDescent="0.3">
      <c r="I4014" s="101"/>
    </row>
    <row r="4015" spans="9:9" x14ac:dyDescent="0.3">
      <c r="I4015" s="101"/>
    </row>
    <row r="4016" spans="9:9" x14ac:dyDescent="0.3">
      <c r="I4016" s="101"/>
    </row>
    <row r="4017" spans="9:9" x14ac:dyDescent="0.3">
      <c r="I4017" s="101"/>
    </row>
    <row r="4018" spans="9:9" x14ac:dyDescent="0.3">
      <c r="I4018" s="101"/>
    </row>
    <row r="4019" spans="9:9" x14ac:dyDescent="0.3">
      <c r="I4019" s="101"/>
    </row>
    <row r="4020" spans="9:9" x14ac:dyDescent="0.3">
      <c r="I4020" s="101"/>
    </row>
    <row r="4021" spans="9:9" x14ac:dyDescent="0.3">
      <c r="I4021" s="101"/>
    </row>
    <row r="4022" spans="9:9" x14ac:dyDescent="0.3">
      <c r="I4022" s="101"/>
    </row>
    <row r="4023" spans="9:9" x14ac:dyDescent="0.3">
      <c r="I4023" s="101"/>
    </row>
    <row r="4024" spans="9:9" x14ac:dyDescent="0.3">
      <c r="I4024" s="101"/>
    </row>
    <row r="4025" spans="9:9" x14ac:dyDescent="0.3">
      <c r="I4025" s="101"/>
    </row>
    <row r="4026" spans="9:9" x14ac:dyDescent="0.3">
      <c r="I4026" s="101"/>
    </row>
    <row r="4027" spans="9:9" x14ac:dyDescent="0.3">
      <c r="I4027" s="101"/>
    </row>
    <row r="4028" spans="9:9" x14ac:dyDescent="0.3">
      <c r="I4028" s="101"/>
    </row>
    <row r="4029" spans="9:9" x14ac:dyDescent="0.3">
      <c r="I4029" s="101"/>
    </row>
    <row r="4030" spans="9:9" x14ac:dyDescent="0.3">
      <c r="I4030" s="101"/>
    </row>
    <row r="4031" spans="9:9" x14ac:dyDescent="0.3">
      <c r="I4031" s="101"/>
    </row>
    <row r="4032" spans="9:9" x14ac:dyDescent="0.3">
      <c r="I4032" s="101"/>
    </row>
    <row r="4033" spans="9:9" x14ac:dyDescent="0.3">
      <c r="I4033" s="101"/>
    </row>
    <row r="4034" spans="9:9" x14ac:dyDescent="0.3">
      <c r="I4034" s="101"/>
    </row>
    <row r="4035" spans="9:9" x14ac:dyDescent="0.3">
      <c r="I4035" s="101"/>
    </row>
    <row r="4036" spans="9:9" x14ac:dyDescent="0.3">
      <c r="I4036" s="101"/>
    </row>
    <row r="4037" spans="9:9" x14ac:dyDescent="0.3">
      <c r="I4037" s="101"/>
    </row>
    <row r="4038" spans="9:9" x14ac:dyDescent="0.3">
      <c r="I4038" s="101"/>
    </row>
    <row r="4039" spans="9:9" x14ac:dyDescent="0.3">
      <c r="I4039" s="101"/>
    </row>
    <row r="4040" spans="9:9" x14ac:dyDescent="0.3">
      <c r="I4040" s="101"/>
    </row>
    <row r="4041" spans="9:9" x14ac:dyDescent="0.3">
      <c r="I4041" s="101"/>
    </row>
    <row r="4042" spans="9:9" x14ac:dyDescent="0.3">
      <c r="I4042" s="101"/>
    </row>
    <row r="4043" spans="9:9" x14ac:dyDescent="0.3">
      <c r="I4043" s="101"/>
    </row>
    <row r="4044" spans="9:9" x14ac:dyDescent="0.3">
      <c r="I4044" s="101"/>
    </row>
    <row r="4045" spans="9:9" x14ac:dyDescent="0.3">
      <c r="I4045" s="101"/>
    </row>
    <row r="4046" spans="9:9" x14ac:dyDescent="0.3">
      <c r="I4046" s="101"/>
    </row>
    <row r="4047" spans="9:9" x14ac:dyDescent="0.3">
      <c r="I4047" s="101"/>
    </row>
    <row r="4048" spans="9:9" x14ac:dyDescent="0.3">
      <c r="I4048" s="101"/>
    </row>
    <row r="4049" spans="9:9" x14ac:dyDescent="0.3">
      <c r="I4049" s="101"/>
    </row>
    <row r="4050" spans="9:9" x14ac:dyDescent="0.3">
      <c r="I4050" s="101"/>
    </row>
    <row r="4051" spans="9:9" x14ac:dyDescent="0.3">
      <c r="I4051" s="101"/>
    </row>
    <row r="4052" spans="9:9" x14ac:dyDescent="0.3">
      <c r="I4052" s="101"/>
    </row>
    <row r="4053" spans="9:9" x14ac:dyDescent="0.3">
      <c r="I4053" s="101"/>
    </row>
    <row r="4054" spans="9:9" x14ac:dyDescent="0.3">
      <c r="I4054" s="101"/>
    </row>
    <row r="4055" spans="9:9" x14ac:dyDescent="0.3">
      <c r="I4055" s="101"/>
    </row>
    <row r="4056" spans="9:9" x14ac:dyDescent="0.3">
      <c r="I4056" s="101"/>
    </row>
    <row r="4057" spans="9:9" x14ac:dyDescent="0.3">
      <c r="I4057" s="101"/>
    </row>
    <row r="4058" spans="9:9" x14ac:dyDescent="0.3">
      <c r="I4058" s="101"/>
    </row>
    <row r="4059" spans="9:9" x14ac:dyDescent="0.3">
      <c r="I4059" s="101"/>
    </row>
    <row r="4060" spans="9:9" x14ac:dyDescent="0.3">
      <c r="I4060" s="101"/>
    </row>
    <row r="4061" spans="9:9" x14ac:dyDescent="0.3">
      <c r="I4061" s="101"/>
    </row>
    <row r="4062" spans="9:9" x14ac:dyDescent="0.3">
      <c r="I4062" s="101"/>
    </row>
    <row r="4063" spans="9:9" x14ac:dyDescent="0.3">
      <c r="I4063" s="101"/>
    </row>
    <row r="4064" spans="9:9" x14ac:dyDescent="0.3">
      <c r="I4064" s="101"/>
    </row>
    <row r="4065" spans="9:9" x14ac:dyDescent="0.3">
      <c r="I4065" s="101"/>
    </row>
    <row r="4066" spans="9:9" x14ac:dyDescent="0.3">
      <c r="I4066" s="101"/>
    </row>
    <row r="4067" spans="9:9" x14ac:dyDescent="0.3">
      <c r="I4067" s="101"/>
    </row>
    <row r="4068" spans="9:9" x14ac:dyDescent="0.3">
      <c r="I4068" s="101"/>
    </row>
    <row r="4069" spans="9:9" x14ac:dyDescent="0.3">
      <c r="I4069" s="101"/>
    </row>
    <row r="4070" spans="9:9" x14ac:dyDescent="0.3">
      <c r="I4070" s="101"/>
    </row>
    <row r="4071" spans="9:9" x14ac:dyDescent="0.3">
      <c r="I4071" s="101"/>
    </row>
    <row r="4072" spans="9:9" x14ac:dyDescent="0.3">
      <c r="I4072" s="101"/>
    </row>
    <row r="4073" spans="9:9" x14ac:dyDescent="0.3">
      <c r="I4073" s="101"/>
    </row>
    <row r="4074" spans="9:9" x14ac:dyDescent="0.3">
      <c r="I4074" s="101"/>
    </row>
    <row r="4075" spans="9:9" x14ac:dyDescent="0.3">
      <c r="I4075" s="101"/>
    </row>
    <row r="4076" spans="9:9" x14ac:dyDescent="0.3">
      <c r="I4076" s="101"/>
    </row>
    <row r="4077" spans="9:9" x14ac:dyDescent="0.3">
      <c r="I4077" s="101"/>
    </row>
    <row r="4078" spans="9:9" x14ac:dyDescent="0.3">
      <c r="I4078" s="101"/>
    </row>
    <row r="4079" spans="9:9" x14ac:dyDescent="0.3">
      <c r="I4079" s="101"/>
    </row>
    <row r="4080" spans="9:9" x14ac:dyDescent="0.3">
      <c r="I4080" s="101"/>
    </row>
    <row r="4081" spans="9:9" x14ac:dyDescent="0.3">
      <c r="I4081" s="101"/>
    </row>
    <row r="4082" spans="9:9" x14ac:dyDescent="0.3">
      <c r="I4082" s="101"/>
    </row>
    <row r="4083" spans="9:9" x14ac:dyDescent="0.3">
      <c r="I4083" s="101"/>
    </row>
    <row r="4084" spans="9:9" x14ac:dyDescent="0.3">
      <c r="I4084" s="101"/>
    </row>
    <row r="4085" spans="9:9" x14ac:dyDescent="0.3">
      <c r="I4085" s="101"/>
    </row>
    <row r="4086" spans="9:9" x14ac:dyDescent="0.3">
      <c r="I4086" s="101"/>
    </row>
    <row r="4087" spans="9:9" x14ac:dyDescent="0.3">
      <c r="I4087" s="101"/>
    </row>
    <row r="4088" spans="9:9" x14ac:dyDescent="0.3">
      <c r="I4088" s="101"/>
    </row>
    <row r="4089" spans="9:9" x14ac:dyDescent="0.3">
      <c r="I4089" s="101"/>
    </row>
    <row r="4090" spans="9:9" x14ac:dyDescent="0.3">
      <c r="I4090" s="101"/>
    </row>
    <row r="4091" spans="9:9" x14ac:dyDescent="0.3">
      <c r="I4091" s="101"/>
    </row>
    <row r="4092" spans="9:9" x14ac:dyDescent="0.3">
      <c r="I4092" s="101"/>
    </row>
    <row r="4093" spans="9:9" x14ac:dyDescent="0.3">
      <c r="I4093" s="101"/>
    </row>
    <row r="4094" spans="9:9" x14ac:dyDescent="0.3">
      <c r="I4094" s="101"/>
    </row>
    <row r="4095" spans="9:9" x14ac:dyDescent="0.3">
      <c r="I4095" s="101"/>
    </row>
    <row r="4096" spans="9:9" x14ac:dyDescent="0.3">
      <c r="I4096" s="101"/>
    </row>
    <row r="4097" spans="9:9" x14ac:dyDescent="0.3">
      <c r="I4097" s="101"/>
    </row>
    <row r="4098" spans="9:9" x14ac:dyDescent="0.3">
      <c r="I4098" s="101"/>
    </row>
    <row r="4099" spans="9:9" x14ac:dyDescent="0.3">
      <c r="I4099" s="101"/>
    </row>
    <row r="4100" spans="9:9" x14ac:dyDescent="0.3">
      <c r="I4100" s="101"/>
    </row>
    <row r="4101" spans="9:9" x14ac:dyDescent="0.3">
      <c r="I4101" s="101"/>
    </row>
    <row r="4102" spans="9:9" x14ac:dyDescent="0.3">
      <c r="I4102" s="101"/>
    </row>
    <row r="4103" spans="9:9" x14ac:dyDescent="0.3">
      <c r="I4103" s="101"/>
    </row>
    <row r="4104" spans="9:9" x14ac:dyDescent="0.3">
      <c r="I4104" s="101"/>
    </row>
    <row r="4105" spans="9:9" x14ac:dyDescent="0.3">
      <c r="I4105" s="101"/>
    </row>
    <row r="4106" spans="9:9" x14ac:dyDescent="0.3">
      <c r="I4106" s="101"/>
    </row>
    <row r="4107" spans="9:9" x14ac:dyDescent="0.3">
      <c r="I4107" s="101"/>
    </row>
    <row r="4108" spans="9:9" x14ac:dyDescent="0.3">
      <c r="I4108" s="101"/>
    </row>
    <row r="4109" spans="9:9" x14ac:dyDescent="0.3">
      <c r="I4109" s="101"/>
    </row>
    <row r="4110" spans="9:9" x14ac:dyDescent="0.3">
      <c r="I4110" s="101"/>
    </row>
    <row r="4111" spans="9:9" x14ac:dyDescent="0.3">
      <c r="I4111" s="101"/>
    </row>
    <row r="4112" spans="9:9" x14ac:dyDescent="0.3">
      <c r="I4112" s="101"/>
    </row>
    <row r="4113" spans="9:9" x14ac:dyDescent="0.3">
      <c r="I4113" s="101"/>
    </row>
    <row r="4114" spans="9:9" x14ac:dyDescent="0.3">
      <c r="I4114" s="101"/>
    </row>
    <row r="4115" spans="9:9" x14ac:dyDescent="0.3">
      <c r="I4115" s="101"/>
    </row>
    <row r="4116" spans="9:9" x14ac:dyDescent="0.3">
      <c r="I4116" s="101"/>
    </row>
    <row r="4117" spans="9:9" x14ac:dyDescent="0.3">
      <c r="I4117" s="101"/>
    </row>
    <row r="4118" spans="9:9" x14ac:dyDescent="0.3">
      <c r="I4118" s="101"/>
    </row>
    <row r="4119" spans="9:9" x14ac:dyDescent="0.3">
      <c r="I4119" s="101"/>
    </row>
    <row r="4120" spans="9:9" x14ac:dyDescent="0.3">
      <c r="I4120" s="101"/>
    </row>
    <row r="4121" spans="9:9" x14ac:dyDescent="0.3">
      <c r="I4121" s="101"/>
    </row>
    <row r="4122" spans="9:9" x14ac:dyDescent="0.3">
      <c r="I4122" s="101"/>
    </row>
    <row r="4123" spans="9:9" x14ac:dyDescent="0.3">
      <c r="I4123" s="101"/>
    </row>
    <row r="4124" spans="9:9" x14ac:dyDescent="0.3">
      <c r="I4124" s="101"/>
    </row>
    <row r="4125" spans="9:9" x14ac:dyDescent="0.3">
      <c r="I4125" s="101"/>
    </row>
    <row r="4126" spans="9:9" x14ac:dyDescent="0.3">
      <c r="I4126" s="101"/>
    </row>
    <row r="4127" spans="9:9" x14ac:dyDescent="0.3">
      <c r="I4127" s="101"/>
    </row>
    <row r="4128" spans="9:9" x14ac:dyDescent="0.3">
      <c r="I4128" s="101"/>
    </row>
    <row r="4129" spans="9:9" x14ac:dyDescent="0.3">
      <c r="I4129" s="101"/>
    </row>
    <row r="4130" spans="9:9" x14ac:dyDescent="0.3">
      <c r="I4130" s="101"/>
    </row>
    <row r="4131" spans="9:9" x14ac:dyDescent="0.3">
      <c r="I4131" s="101"/>
    </row>
    <row r="4132" spans="9:9" x14ac:dyDescent="0.3">
      <c r="I4132" s="101"/>
    </row>
    <row r="4133" spans="9:9" x14ac:dyDescent="0.3">
      <c r="I4133" s="101"/>
    </row>
    <row r="4134" spans="9:9" x14ac:dyDescent="0.3">
      <c r="I4134" s="101"/>
    </row>
    <row r="4135" spans="9:9" x14ac:dyDescent="0.3">
      <c r="I4135" s="101"/>
    </row>
    <row r="4136" spans="9:9" x14ac:dyDescent="0.3">
      <c r="I4136" s="101"/>
    </row>
    <row r="4137" spans="9:9" x14ac:dyDescent="0.3">
      <c r="I4137" s="101"/>
    </row>
    <row r="4138" spans="9:9" x14ac:dyDescent="0.3">
      <c r="I4138" s="101"/>
    </row>
    <row r="4139" spans="9:9" x14ac:dyDescent="0.3">
      <c r="I4139" s="101"/>
    </row>
    <row r="4140" spans="9:9" x14ac:dyDescent="0.3">
      <c r="I4140" s="101"/>
    </row>
    <row r="4141" spans="9:9" x14ac:dyDescent="0.3">
      <c r="I4141" s="101"/>
    </row>
    <row r="4142" spans="9:9" x14ac:dyDescent="0.3">
      <c r="I4142" s="101"/>
    </row>
    <row r="4143" spans="9:9" x14ac:dyDescent="0.3">
      <c r="I4143" s="101"/>
    </row>
    <row r="4144" spans="9:9" x14ac:dyDescent="0.3">
      <c r="I4144" s="101"/>
    </row>
    <row r="4145" spans="9:9" x14ac:dyDescent="0.3">
      <c r="I4145" s="101"/>
    </row>
    <row r="4146" spans="9:9" x14ac:dyDescent="0.3">
      <c r="I4146" s="101"/>
    </row>
    <row r="4147" spans="9:9" x14ac:dyDescent="0.3">
      <c r="I4147" s="101"/>
    </row>
    <row r="4148" spans="9:9" x14ac:dyDescent="0.3">
      <c r="I4148" s="101"/>
    </row>
    <row r="4149" spans="9:9" x14ac:dyDescent="0.3">
      <c r="I4149" s="101"/>
    </row>
    <row r="4150" spans="9:9" x14ac:dyDescent="0.3">
      <c r="I4150" s="101"/>
    </row>
    <row r="4151" spans="9:9" x14ac:dyDescent="0.3">
      <c r="I4151" s="101"/>
    </row>
    <row r="4152" spans="9:9" x14ac:dyDescent="0.3">
      <c r="I4152" s="101"/>
    </row>
    <row r="4153" spans="9:9" x14ac:dyDescent="0.3">
      <c r="I4153" s="101"/>
    </row>
    <row r="4154" spans="9:9" x14ac:dyDescent="0.3">
      <c r="I4154" s="101"/>
    </row>
    <row r="4155" spans="9:9" x14ac:dyDescent="0.3">
      <c r="I4155" s="101"/>
    </row>
    <row r="4156" spans="9:9" x14ac:dyDescent="0.3">
      <c r="I4156" s="101"/>
    </row>
    <row r="4157" spans="9:9" x14ac:dyDescent="0.3">
      <c r="I4157" s="101"/>
    </row>
    <row r="4158" spans="9:9" x14ac:dyDescent="0.3">
      <c r="I4158" s="101"/>
    </row>
    <row r="4159" spans="9:9" x14ac:dyDescent="0.3">
      <c r="I4159" s="101"/>
    </row>
    <row r="4160" spans="9:9" x14ac:dyDescent="0.3">
      <c r="I4160" s="101"/>
    </row>
    <row r="4161" spans="9:9" x14ac:dyDescent="0.3">
      <c r="I4161" s="101"/>
    </row>
    <row r="4162" spans="9:9" x14ac:dyDescent="0.3">
      <c r="I4162" s="101"/>
    </row>
    <row r="4163" spans="9:9" x14ac:dyDescent="0.3">
      <c r="I4163" s="101"/>
    </row>
    <row r="4164" spans="9:9" x14ac:dyDescent="0.3">
      <c r="I4164" s="101"/>
    </row>
    <row r="4165" spans="9:9" x14ac:dyDescent="0.3">
      <c r="I4165" s="101"/>
    </row>
    <row r="4166" spans="9:9" x14ac:dyDescent="0.3">
      <c r="I4166" s="101"/>
    </row>
    <row r="4167" spans="9:9" x14ac:dyDescent="0.3">
      <c r="I4167" s="101"/>
    </row>
    <row r="4168" spans="9:9" x14ac:dyDescent="0.3">
      <c r="I4168" s="101"/>
    </row>
    <row r="4169" spans="9:9" x14ac:dyDescent="0.3">
      <c r="I4169" s="101"/>
    </row>
    <row r="4170" spans="9:9" x14ac:dyDescent="0.3">
      <c r="I4170" s="101"/>
    </row>
    <row r="4171" spans="9:9" x14ac:dyDescent="0.3">
      <c r="I4171" s="101"/>
    </row>
    <row r="4172" spans="9:9" x14ac:dyDescent="0.3">
      <c r="I4172" s="101"/>
    </row>
    <row r="4173" spans="9:9" x14ac:dyDescent="0.3">
      <c r="I4173" s="101"/>
    </row>
    <row r="4174" spans="9:9" x14ac:dyDescent="0.3">
      <c r="I4174" s="101"/>
    </row>
    <row r="4175" spans="9:9" x14ac:dyDescent="0.3">
      <c r="I4175" s="101"/>
    </row>
    <row r="4176" spans="9:9" x14ac:dyDescent="0.3">
      <c r="I4176" s="101"/>
    </row>
    <row r="4177" spans="9:9" x14ac:dyDescent="0.3">
      <c r="I4177" s="101"/>
    </row>
    <row r="4178" spans="9:9" x14ac:dyDescent="0.3">
      <c r="I4178" s="101"/>
    </row>
    <row r="4179" spans="9:9" x14ac:dyDescent="0.3">
      <c r="I4179" s="101"/>
    </row>
    <row r="4180" spans="9:9" x14ac:dyDescent="0.3">
      <c r="I4180" s="101"/>
    </row>
    <row r="4181" spans="9:9" x14ac:dyDescent="0.3">
      <c r="I4181" s="101"/>
    </row>
    <row r="4182" spans="9:9" x14ac:dyDescent="0.3">
      <c r="I4182" s="101"/>
    </row>
    <row r="4183" spans="9:9" x14ac:dyDescent="0.3">
      <c r="I4183" s="101"/>
    </row>
    <row r="4184" spans="9:9" x14ac:dyDescent="0.3">
      <c r="I4184" s="101"/>
    </row>
    <row r="4185" spans="9:9" x14ac:dyDescent="0.3">
      <c r="I4185" s="101"/>
    </row>
    <row r="4186" spans="9:9" x14ac:dyDescent="0.3">
      <c r="I4186" s="101"/>
    </row>
    <row r="4187" spans="9:9" x14ac:dyDescent="0.3">
      <c r="I4187" s="101"/>
    </row>
    <row r="4188" spans="9:9" x14ac:dyDescent="0.3">
      <c r="I4188" s="101"/>
    </row>
    <row r="4189" spans="9:9" x14ac:dyDescent="0.3">
      <c r="I4189" s="101"/>
    </row>
    <row r="4190" spans="9:9" x14ac:dyDescent="0.3">
      <c r="I4190" s="101"/>
    </row>
    <row r="4191" spans="9:9" x14ac:dyDescent="0.3">
      <c r="I4191" s="101"/>
    </row>
    <row r="4192" spans="9:9" x14ac:dyDescent="0.3">
      <c r="I4192" s="101"/>
    </row>
    <row r="4193" spans="9:9" x14ac:dyDescent="0.3">
      <c r="I4193" s="101"/>
    </row>
    <row r="4194" spans="9:9" x14ac:dyDescent="0.3">
      <c r="I4194" s="101"/>
    </row>
    <row r="4195" spans="9:9" x14ac:dyDescent="0.3">
      <c r="I4195" s="101"/>
    </row>
    <row r="4196" spans="9:9" x14ac:dyDescent="0.3">
      <c r="I4196" s="101"/>
    </row>
    <row r="4197" spans="9:9" x14ac:dyDescent="0.3">
      <c r="I4197" s="101"/>
    </row>
    <row r="4198" spans="9:9" x14ac:dyDescent="0.3">
      <c r="I4198" s="101"/>
    </row>
    <row r="4199" spans="9:9" x14ac:dyDescent="0.3">
      <c r="I4199" s="101"/>
    </row>
    <row r="4200" spans="9:9" x14ac:dyDescent="0.3">
      <c r="I4200" s="101"/>
    </row>
    <row r="4201" spans="9:9" x14ac:dyDescent="0.3">
      <c r="I4201" s="101"/>
    </row>
    <row r="4202" spans="9:9" x14ac:dyDescent="0.3">
      <c r="I4202" s="101"/>
    </row>
    <row r="4203" spans="9:9" x14ac:dyDescent="0.3">
      <c r="I4203" s="101"/>
    </row>
    <row r="4204" spans="9:9" x14ac:dyDescent="0.3">
      <c r="I4204" s="101"/>
    </row>
    <row r="4205" spans="9:9" x14ac:dyDescent="0.3">
      <c r="I4205" s="101"/>
    </row>
    <row r="4206" spans="9:9" x14ac:dyDescent="0.3">
      <c r="I4206" s="101"/>
    </row>
    <row r="4207" spans="9:9" x14ac:dyDescent="0.3">
      <c r="I4207" s="101"/>
    </row>
    <row r="4208" spans="9:9" x14ac:dyDescent="0.3">
      <c r="I4208" s="101"/>
    </row>
    <row r="4209" spans="9:9" x14ac:dyDescent="0.3">
      <c r="I4209" s="101"/>
    </row>
    <row r="4210" spans="9:9" x14ac:dyDescent="0.3">
      <c r="I4210" s="101"/>
    </row>
    <row r="4211" spans="9:9" x14ac:dyDescent="0.3">
      <c r="I4211" s="101"/>
    </row>
    <row r="4212" spans="9:9" x14ac:dyDescent="0.3">
      <c r="I4212" s="101"/>
    </row>
    <row r="4213" spans="9:9" x14ac:dyDescent="0.3">
      <c r="I4213" s="101"/>
    </row>
    <row r="4214" spans="9:9" x14ac:dyDescent="0.3">
      <c r="I4214" s="101"/>
    </row>
    <row r="4215" spans="9:9" x14ac:dyDescent="0.3">
      <c r="I4215" s="101"/>
    </row>
    <row r="4216" spans="9:9" x14ac:dyDescent="0.3">
      <c r="I4216" s="101"/>
    </row>
    <row r="4217" spans="9:9" x14ac:dyDescent="0.3">
      <c r="I4217" s="101"/>
    </row>
    <row r="4218" spans="9:9" x14ac:dyDescent="0.3">
      <c r="I4218" s="101"/>
    </row>
    <row r="4219" spans="9:9" x14ac:dyDescent="0.3">
      <c r="I4219" s="101"/>
    </row>
    <row r="4220" spans="9:9" x14ac:dyDescent="0.3">
      <c r="I4220" s="101"/>
    </row>
    <row r="4221" spans="9:9" x14ac:dyDescent="0.3">
      <c r="I4221" s="101"/>
    </row>
    <row r="4222" spans="9:9" x14ac:dyDescent="0.3">
      <c r="I4222" s="101"/>
    </row>
    <row r="4223" spans="9:9" x14ac:dyDescent="0.3">
      <c r="I4223" s="101"/>
    </row>
    <row r="4224" spans="9:9" x14ac:dyDescent="0.3">
      <c r="I4224" s="101"/>
    </row>
    <row r="4225" spans="9:9" x14ac:dyDescent="0.3">
      <c r="I4225" s="101"/>
    </row>
    <row r="4226" spans="9:9" x14ac:dyDescent="0.3">
      <c r="I4226" s="101"/>
    </row>
    <row r="4227" spans="9:9" x14ac:dyDescent="0.3">
      <c r="I4227" s="101"/>
    </row>
    <row r="4228" spans="9:9" x14ac:dyDescent="0.3">
      <c r="I4228" s="101"/>
    </row>
    <row r="4229" spans="9:9" x14ac:dyDescent="0.3">
      <c r="I4229" s="101"/>
    </row>
    <row r="4230" spans="9:9" x14ac:dyDescent="0.3">
      <c r="I4230" s="101"/>
    </row>
    <row r="4231" spans="9:9" x14ac:dyDescent="0.3">
      <c r="I4231" s="101"/>
    </row>
    <row r="4232" spans="9:9" x14ac:dyDescent="0.3">
      <c r="I4232" s="101"/>
    </row>
    <row r="4233" spans="9:9" x14ac:dyDescent="0.3">
      <c r="I4233" s="101"/>
    </row>
    <row r="4234" spans="9:9" x14ac:dyDescent="0.3">
      <c r="I4234" s="101"/>
    </row>
    <row r="4235" spans="9:9" x14ac:dyDescent="0.3">
      <c r="I4235" s="101"/>
    </row>
    <row r="4236" spans="9:9" x14ac:dyDescent="0.3">
      <c r="I4236" s="101"/>
    </row>
    <row r="4237" spans="9:9" x14ac:dyDescent="0.3">
      <c r="I4237" s="101"/>
    </row>
    <row r="4238" spans="9:9" x14ac:dyDescent="0.3">
      <c r="I4238" s="101"/>
    </row>
    <row r="4239" spans="9:9" x14ac:dyDescent="0.3">
      <c r="I4239" s="101"/>
    </row>
    <row r="4240" spans="9:9" x14ac:dyDescent="0.3">
      <c r="I4240" s="101"/>
    </row>
    <row r="4241" spans="9:9" x14ac:dyDescent="0.3">
      <c r="I4241" s="101"/>
    </row>
    <row r="4242" spans="9:9" x14ac:dyDescent="0.3">
      <c r="I4242" s="101"/>
    </row>
    <row r="4243" spans="9:9" x14ac:dyDescent="0.3">
      <c r="I4243" s="101"/>
    </row>
    <row r="4244" spans="9:9" x14ac:dyDescent="0.3">
      <c r="I4244" s="101"/>
    </row>
    <row r="4245" spans="9:9" x14ac:dyDescent="0.3">
      <c r="I4245" s="101"/>
    </row>
    <row r="4246" spans="9:9" x14ac:dyDescent="0.3">
      <c r="I4246" s="101"/>
    </row>
    <row r="4247" spans="9:9" x14ac:dyDescent="0.3">
      <c r="I4247" s="101"/>
    </row>
    <row r="4248" spans="9:9" x14ac:dyDescent="0.3">
      <c r="I4248" s="101"/>
    </row>
    <row r="4249" spans="9:9" x14ac:dyDescent="0.3">
      <c r="I4249" s="101"/>
    </row>
    <row r="4250" spans="9:9" x14ac:dyDescent="0.3">
      <c r="I4250" s="101"/>
    </row>
    <row r="4251" spans="9:9" x14ac:dyDescent="0.3">
      <c r="I4251" s="101"/>
    </row>
    <row r="4252" spans="9:9" x14ac:dyDescent="0.3">
      <c r="I4252" s="101"/>
    </row>
    <row r="4253" spans="9:9" x14ac:dyDescent="0.3">
      <c r="I4253" s="101"/>
    </row>
    <row r="4254" spans="9:9" x14ac:dyDescent="0.3">
      <c r="I4254" s="101"/>
    </row>
    <row r="4255" spans="9:9" x14ac:dyDescent="0.3">
      <c r="I4255" s="101"/>
    </row>
    <row r="4256" spans="9:9" x14ac:dyDescent="0.3">
      <c r="I4256" s="101"/>
    </row>
    <row r="4257" spans="9:9" x14ac:dyDescent="0.3">
      <c r="I4257" s="101"/>
    </row>
    <row r="4258" spans="9:9" x14ac:dyDescent="0.3">
      <c r="I4258" s="101"/>
    </row>
    <row r="4259" spans="9:9" x14ac:dyDescent="0.3">
      <c r="I4259" s="101"/>
    </row>
    <row r="4260" spans="9:9" x14ac:dyDescent="0.3">
      <c r="I4260" s="101"/>
    </row>
    <row r="4261" spans="9:9" x14ac:dyDescent="0.3">
      <c r="I4261" s="101"/>
    </row>
    <row r="4262" spans="9:9" x14ac:dyDescent="0.3">
      <c r="I4262" s="101"/>
    </row>
    <row r="4263" spans="9:9" x14ac:dyDescent="0.3">
      <c r="I4263" s="101"/>
    </row>
    <row r="4264" spans="9:9" x14ac:dyDescent="0.3">
      <c r="I4264" s="101"/>
    </row>
    <row r="4265" spans="9:9" x14ac:dyDescent="0.3">
      <c r="I4265" s="101"/>
    </row>
    <row r="4266" spans="9:9" x14ac:dyDescent="0.3">
      <c r="I4266" s="101"/>
    </row>
    <row r="4267" spans="9:9" x14ac:dyDescent="0.3">
      <c r="I4267" s="101"/>
    </row>
    <row r="4268" spans="9:9" x14ac:dyDescent="0.3">
      <c r="I4268" s="101"/>
    </row>
    <row r="4269" spans="9:9" x14ac:dyDescent="0.3">
      <c r="I4269" s="101"/>
    </row>
    <row r="4270" spans="9:9" x14ac:dyDescent="0.3">
      <c r="I4270" s="101"/>
    </row>
    <row r="4271" spans="9:9" x14ac:dyDescent="0.3">
      <c r="I4271" s="101"/>
    </row>
    <row r="4272" spans="9:9" x14ac:dyDescent="0.3">
      <c r="I4272" s="101"/>
    </row>
    <row r="4273" spans="9:9" x14ac:dyDescent="0.3">
      <c r="I4273" s="101"/>
    </row>
    <row r="4274" spans="9:9" x14ac:dyDescent="0.3">
      <c r="I4274" s="101"/>
    </row>
    <row r="4275" spans="9:9" x14ac:dyDescent="0.3">
      <c r="I4275" s="101"/>
    </row>
    <row r="4276" spans="9:9" x14ac:dyDescent="0.3">
      <c r="I4276" s="101"/>
    </row>
    <row r="4277" spans="9:9" x14ac:dyDescent="0.3">
      <c r="I4277" s="101"/>
    </row>
    <row r="4278" spans="9:9" x14ac:dyDescent="0.3">
      <c r="I4278" s="101"/>
    </row>
    <row r="4279" spans="9:9" x14ac:dyDescent="0.3">
      <c r="I4279" s="101"/>
    </row>
    <row r="4280" spans="9:9" x14ac:dyDescent="0.3">
      <c r="I4280" s="101"/>
    </row>
    <row r="4281" spans="9:9" x14ac:dyDescent="0.3">
      <c r="I4281" s="101"/>
    </row>
    <row r="4282" spans="9:9" x14ac:dyDescent="0.3">
      <c r="I4282" s="101"/>
    </row>
    <row r="4283" spans="9:9" x14ac:dyDescent="0.3">
      <c r="I4283" s="101"/>
    </row>
    <row r="4284" spans="9:9" x14ac:dyDescent="0.3">
      <c r="I4284" s="101"/>
    </row>
    <row r="4285" spans="9:9" x14ac:dyDescent="0.3">
      <c r="I4285" s="101"/>
    </row>
    <row r="4286" spans="9:9" x14ac:dyDescent="0.3">
      <c r="I4286" s="101"/>
    </row>
    <row r="4287" spans="9:9" x14ac:dyDescent="0.3">
      <c r="I4287" s="101"/>
    </row>
    <row r="4288" spans="9:9" x14ac:dyDescent="0.3">
      <c r="I4288" s="101"/>
    </row>
    <row r="4289" spans="9:9" x14ac:dyDescent="0.3">
      <c r="I4289" s="101"/>
    </row>
    <row r="4290" spans="9:9" x14ac:dyDescent="0.3">
      <c r="I4290" s="101"/>
    </row>
    <row r="4291" spans="9:9" x14ac:dyDescent="0.3">
      <c r="I4291" s="101"/>
    </row>
    <row r="4292" spans="9:9" x14ac:dyDescent="0.3">
      <c r="I4292" s="101"/>
    </row>
    <row r="4293" spans="9:9" x14ac:dyDescent="0.3">
      <c r="I4293" s="101"/>
    </row>
    <row r="4294" spans="9:9" x14ac:dyDescent="0.3">
      <c r="I4294" s="101"/>
    </row>
    <row r="4295" spans="9:9" x14ac:dyDescent="0.3">
      <c r="I4295" s="101"/>
    </row>
    <row r="4296" spans="9:9" x14ac:dyDescent="0.3">
      <c r="I4296" s="101"/>
    </row>
    <row r="4297" spans="9:9" x14ac:dyDescent="0.3">
      <c r="I4297" s="101"/>
    </row>
    <row r="4298" spans="9:9" x14ac:dyDescent="0.3">
      <c r="I4298" s="101"/>
    </row>
    <row r="4299" spans="9:9" x14ac:dyDescent="0.3">
      <c r="I4299" s="101"/>
    </row>
    <row r="4300" spans="9:9" x14ac:dyDescent="0.3">
      <c r="I4300" s="101"/>
    </row>
    <row r="4301" spans="9:9" x14ac:dyDescent="0.3">
      <c r="I4301" s="101"/>
    </row>
    <row r="4302" spans="9:9" x14ac:dyDescent="0.3">
      <c r="I4302" s="101"/>
    </row>
    <row r="4303" spans="9:9" x14ac:dyDescent="0.3">
      <c r="I4303" s="101"/>
    </row>
    <row r="4304" spans="9:9" x14ac:dyDescent="0.3">
      <c r="I4304" s="101"/>
    </row>
    <row r="4305" spans="9:9" x14ac:dyDescent="0.3">
      <c r="I4305" s="101"/>
    </row>
    <row r="4306" spans="9:9" x14ac:dyDescent="0.3">
      <c r="I4306" s="101"/>
    </row>
    <row r="4307" spans="9:9" x14ac:dyDescent="0.3">
      <c r="I4307" s="101"/>
    </row>
    <row r="4308" spans="9:9" x14ac:dyDescent="0.3">
      <c r="I4308" s="101"/>
    </row>
    <row r="4309" spans="9:9" x14ac:dyDescent="0.3">
      <c r="I4309" s="101"/>
    </row>
    <row r="4310" spans="9:9" x14ac:dyDescent="0.3">
      <c r="I4310" s="101"/>
    </row>
    <row r="4311" spans="9:9" x14ac:dyDescent="0.3">
      <c r="I4311" s="101"/>
    </row>
    <row r="4312" spans="9:9" x14ac:dyDescent="0.3">
      <c r="I4312" s="101"/>
    </row>
    <row r="4313" spans="9:9" x14ac:dyDescent="0.3">
      <c r="I4313" s="101"/>
    </row>
    <row r="4314" spans="9:9" x14ac:dyDescent="0.3">
      <c r="I4314" s="101"/>
    </row>
    <row r="4315" spans="9:9" x14ac:dyDescent="0.3">
      <c r="I4315" s="101"/>
    </row>
    <row r="4316" spans="9:9" x14ac:dyDescent="0.3">
      <c r="I4316" s="101"/>
    </row>
    <row r="4317" spans="9:9" x14ac:dyDescent="0.3">
      <c r="I4317" s="101"/>
    </row>
    <row r="4318" spans="9:9" x14ac:dyDescent="0.3">
      <c r="I4318" s="101"/>
    </row>
    <row r="4319" spans="9:9" x14ac:dyDescent="0.3">
      <c r="I4319" s="101"/>
    </row>
    <row r="4320" spans="9:9" x14ac:dyDescent="0.3">
      <c r="I4320" s="101"/>
    </row>
    <row r="4321" spans="9:9" x14ac:dyDescent="0.3">
      <c r="I4321" s="101"/>
    </row>
    <row r="4322" spans="9:9" x14ac:dyDescent="0.3">
      <c r="I4322" s="101"/>
    </row>
    <row r="4323" spans="9:9" x14ac:dyDescent="0.3">
      <c r="I4323" s="101"/>
    </row>
    <row r="4324" spans="9:9" x14ac:dyDescent="0.3">
      <c r="I4324" s="101"/>
    </row>
    <row r="4325" spans="9:9" x14ac:dyDescent="0.3">
      <c r="I4325" s="101"/>
    </row>
    <row r="4326" spans="9:9" x14ac:dyDescent="0.3">
      <c r="I4326" s="101"/>
    </row>
    <row r="4327" spans="9:9" x14ac:dyDescent="0.3">
      <c r="I4327" s="101"/>
    </row>
    <row r="4328" spans="9:9" x14ac:dyDescent="0.3">
      <c r="I4328" s="101"/>
    </row>
    <row r="4329" spans="9:9" x14ac:dyDescent="0.3">
      <c r="I4329" s="101"/>
    </row>
    <row r="4330" spans="9:9" x14ac:dyDescent="0.3">
      <c r="I4330" s="101"/>
    </row>
    <row r="4331" spans="9:9" x14ac:dyDescent="0.3">
      <c r="I4331" s="101"/>
    </row>
    <row r="4332" spans="9:9" x14ac:dyDescent="0.3">
      <c r="I4332" s="101"/>
    </row>
    <row r="4333" spans="9:9" x14ac:dyDescent="0.3">
      <c r="I4333" s="101"/>
    </row>
    <row r="4334" spans="9:9" x14ac:dyDescent="0.3">
      <c r="I4334" s="101"/>
    </row>
    <row r="4335" spans="9:9" x14ac:dyDescent="0.3">
      <c r="I4335" s="101"/>
    </row>
    <row r="4336" spans="9:9" x14ac:dyDescent="0.3">
      <c r="I4336" s="101"/>
    </row>
    <row r="4337" spans="9:9" x14ac:dyDescent="0.3">
      <c r="I4337" s="101"/>
    </row>
    <row r="4338" spans="9:9" x14ac:dyDescent="0.3">
      <c r="I4338" s="101"/>
    </row>
    <row r="4339" spans="9:9" x14ac:dyDescent="0.3">
      <c r="I4339" s="101"/>
    </row>
    <row r="4340" spans="9:9" x14ac:dyDescent="0.3">
      <c r="I4340" s="101"/>
    </row>
    <row r="4341" spans="9:9" x14ac:dyDescent="0.3">
      <c r="I4341" s="101"/>
    </row>
    <row r="4342" spans="9:9" x14ac:dyDescent="0.3">
      <c r="I4342" s="101"/>
    </row>
    <row r="4343" spans="9:9" x14ac:dyDescent="0.3">
      <c r="I4343" s="101"/>
    </row>
    <row r="4344" spans="9:9" x14ac:dyDescent="0.3">
      <c r="I4344" s="101"/>
    </row>
    <row r="4345" spans="9:9" x14ac:dyDescent="0.3">
      <c r="I4345" s="101"/>
    </row>
    <row r="4346" spans="9:9" x14ac:dyDescent="0.3">
      <c r="I4346" s="101"/>
    </row>
    <row r="4347" spans="9:9" x14ac:dyDescent="0.3">
      <c r="I4347" s="101"/>
    </row>
    <row r="4348" spans="9:9" x14ac:dyDescent="0.3">
      <c r="I4348" s="101"/>
    </row>
    <row r="4349" spans="9:9" x14ac:dyDescent="0.3">
      <c r="I4349" s="101"/>
    </row>
    <row r="4350" spans="9:9" x14ac:dyDescent="0.3">
      <c r="I4350" s="101"/>
    </row>
    <row r="4351" spans="9:9" x14ac:dyDescent="0.3">
      <c r="I4351" s="101"/>
    </row>
    <row r="4352" spans="9:9" x14ac:dyDescent="0.3">
      <c r="I4352" s="101"/>
    </row>
    <row r="4353" spans="9:9" x14ac:dyDescent="0.3">
      <c r="I4353" s="101"/>
    </row>
    <row r="4354" spans="9:9" x14ac:dyDescent="0.3">
      <c r="I4354" s="101"/>
    </row>
    <row r="4355" spans="9:9" x14ac:dyDescent="0.3">
      <c r="I4355" s="101"/>
    </row>
    <row r="4356" spans="9:9" x14ac:dyDescent="0.3">
      <c r="I4356" s="101"/>
    </row>
    <row r="4357" spans="9:9" x14ac:dyDescent="0.3">
      <c r="I4357" s="101"/>
    </row>
    <row r="4358" spans="9:9" x14ac:dyDescent="0.3">
      <c r="I4358" s="101"/>
    </row>
    <row r="4359" spans="9:9" x14ac:dyDescent="0.3">
      <c r="I4359" s="101"/>
    </row>
    <row r="4360" spans="9:9" x14ac:dyDescent="0.3">
      <c r="I4360" s="101"/>
    </row>
    <row r="4361" spans="9:9" x14ac:dyDescent="0.3">
      <c r="I4361" s="101"/>
    </row>
    <row r="4362" spans="9:9" x14ac:dyDescent="0.3">
      <c r="I4362" s="101"/>
    </row>
    <row r="4363" spans="9:9" x14ac:dyDescent="0.3">
      <c r="I4363" s="101"/>
    </row>
    <row r="4364" spans="9:9" x14ac:dyDescent="0.3">
      <c r="I4364" s="101"/>
    </row>
    <row r="4365" spans="9:9" x14ac:dyDescent="0.3">
      <c r="I4365" s="101"/>
    </row>
    <row r="4366" spans="9:9" x14ac:dyDescent="0.3">
      <c r="I4366" s="101"/>
    </row>
    <row r="4367" spans="9:9" x14ac:dyDescent="0.3">
      <c r="I4367" s="101"/>
    </row>
    <row r="4368" spans="9:9" x14ac:dyDescent="0.3">
      <c r="I4368" s="101"/>
    </row>
    <row r="4369" spans="9:9" x14ac:dyDescent="0.3">
      <c r="I4369" s="101"/>
    </row>
    <row r="4370" spans="9:9" x14ac:dyDescent="0.3">
      <c r="I4370" s="101"/>
    </row>
    <row r="4371" spans="9:9" x14ac:dyDescent="0.3">
      <c r="I4371" s="101"/>
    </row>
    <row r="4372" spans="9:9" x14ac:dyDescent="0.3">
      <c r="I4372" s="101"/>
    </row>
    <row r="4373" spans="9:9" x14ac:dyDescent="0.3">
      <c r="I4373" s="101"/>
    </row>
    <row r="4374" spans="9:9" x14ac:dyDescent="0.3">
      <c r="I4374" s="101"/>
    </row>
    <row r="4375" spans="9:9" x14ac:dyDescent="0.3">
      <c r="I4375" s="101"/>
    </row>
    <row r="4376" spans="9:9" x14ac:dyDescent="0.3">
      <c r="I4376" s="101"/>
    </row>
    <row r="4377" spans="9:9" x14ac:dyDescent="0.3">
      <c r="I4377" s="101"/>
    </row>
    <row r="4378" spans="9:9" x14ac:dyDescent="0.3">
      <c r="I4378" s="101"/>
    </row>
    <row r="4379" spans="9:9" x14ac:dyDescent="0.3">
      <c r="I4379" s="101"/>
    </row>
    <row r="4380" spans="9:9" x14ac:dyDescent="0.3">
      <c r="I4380" s="101"/>
    </row>
    <row r="4381" spans="9:9" x14ac:dyDescent="0.3">
      <c r="I4381" s="101"/>
    </row>
    <row r="4382" spans="9:9" x14ac:dyDescent="0.3">
      <c r="I4382" s="101"/>
    </row>
    <row r="4383" spans="9:9" x14ac:dyDescent="0.3">
      <c r="I4383" s="101"/>
    </row>
    <row r="4384" spans="9:9" x14ac:dyDescent="0.3">
      <c r="I4384" s="101"/>
    </row>
    <row r="4385" spans="9:9" x14ac:dyDescent="0.3">
      <c r="I4385" s="101"/>
    </row>
    <row r="4386" spans="9:9" x14ac:dyDescent="0.3">
      <c r="I4386" s="101"/>
    </row>
    <row r="4387" spans="9:9" x14ac:dyDescent="0.3">
      <c r="I4387" s="101"/>
    </row>
    <row r="4388" spans="9:9" x14ac:dyDescent="0.3">
      <c r="I4388" s="101"/>
    </row>
    <row r="4389" spans="9:9" x14ac:dyDescent="0.3">
      <c r="I4389" s="101"/>
    </row>
    <row r="4390" spans="9:9" x14ac:dyDescent="0.3">
      <c r="I4390" s="101"/>
    </row>
    <row r="4391" spans="9:9" x14ac:dyDescent="0.3">
      <c r="I4391" s="101"/>
    </row>
    <row r="4392" spans="9:9" x14ac:dyDescent="0.3">
      <c r="I4392" s="101"/>
    </row>
    <row r="4393" spans="9:9" x14ac:dyDescent="0.3">
      <c r="I4393" s="101"/>
    </row>
    <row r="4394" spans="9:9" x14ac:dyDescent="0.3">
      <c r="I4394" s="101"/>
    </row>
    <row r="4395" spans="9:9" x14ac:dyDescent="0.3">
      <c r="I4395" s="101"/>
    </row>
    <row r="4396" spans="9:9" x14ac:dyDescent="0.3">
      <c r="I4396" s="101"/>
    </row>
    <row r="4397" spans="9:9" x14ac:dyDescent="0.3">
      <c r="I4397" s="101"/>
    </row>
    <row r="4398" spans="9:9" x14ac:dyDescent="0.3">
      <c r="I4398" s="101"/>
    </row>
    <row r="4399" spans="9:9" x14ac:dyDescent="0.3">
      <c r="I4399" s="101"/>
    </row>
    <row r="4400" spans="9:9" x14ac:dyDescent="0.3">
      <c r="I4400" s="101"/>
    </row>
    <row r="4401" spans="9:9" x14ac:dyDescent="0.3">
      <c r="I4401" s="101"/>
    </row>
    <row r="4402" spans="9:9" x14ac:dyDescent="0.3">
      <c r="I4402" s="101"/>
    </row>
    <row r="4403" spans="9:9" x14ac:dyDescent="0.3">
      <c r="I4403" s="101"/>
    </row>
    <row r="4404" spans="9:9" x14ac:dyDescent="0.3">
      <c r="I4404" s="101"/>
    </row>
    <row r="4405" spans="9:9" x14ac:dyDescent="0.3">
      <c r="I4405" s="101"/>
    </row>
    <row r="4406" spans="9:9" x14ac:dyDescent="0.3">
      <c r="I4406" s="101"/>
    </row>
    <row r="4407" spans="9:9" x14ac:dyDescent="0.3">
      <c r="I4407" s="101"/>
    </row>
    <row r="4408" spans="9:9" x14ac:dyDescent="0.3">
      <c r="I4408" s="101"/>
    </row>
    <row r="4409" spans="9:9" x14ac:dyDescent="0.3">
      <c r="I4409" s="101"/>
    </row>
    <row r="4410" spans="9:9" x14ac:dyDescent="0.3">
      <c r="I4410" s="101"/>
    </row>
    <row r="4411" spans="9:9" x14ac:dyDescent="0.3">
      <c r="I4411" s="101"/>
    </row>
    <row r="4412" spans="9:9" x14ac:dyDescent="0.3">
      <c r="I4412" s="101"/>
    </row>
    <row r="4413" spans="9:9" x14ac:dyDescent="0.3">
      <c r="I4413" s="101"/>
    </row>
    <row r="4414" spans="9:9" x14ac:dyDescent="0.3">
      <c r="I4414" s="101"/>
    </row>
    <row r="4415" spans="9:9" x14ac:dyDescent="0.3">
      <c r="I4415" s="101"/>
    </row>
    <row r="4416" spans="9:9" x14ac:dyDescent="0.3">
      <c r="I4416" s="101"/>
    </row>
    <row r="4417" spans="9:9" x14ac:dyDescent="0.3">
      <c r="I4417" s="101"/>
    </row>
    <row r="4418" spans="9:9" x14ac:dyDescent="0.3">
      <c r="I4418" s="101"/>
    </row>
    <row r="4419" spans="9:9" x14ac:dyDescent="0.3">
      <c r="I4419" s="101"/>
    </row>
    <row r="4420" spans="9:9" x14ac:dyDescent="0.3">
      <c r="I4420" s="101"/>
    </row>
    <row r="4421" spans="9:9" x14ac:dyDescent="0.3">
      <c r="I4421" s="101"/>
    </row>
    <row r="4422" spans="9:9" x14ac:dyDescent="0.3">
      <c r="I4422" s="101"/>
    </row>
    <row r="4423" spans="9:9" x14ac:dyDescent="0.3">
      <c r="I4423" s="101"/>
    </row>
    <row r="4424" spans="9:9" x14ac:dyDescent="0.3">
      <c r="I4424" s="101"/>
    </row>
    <row r="4425" spans="9:9" x14ac:dyDescent="0.3">
      <c r="I4425" s="101"/>
    </row>
    <row r="4426" spans="9:9" x14ac:dyDescent="0.3">
      <c r="I4426" s="101"/>
    </row>
    <row r="4427" spans="9:9" x14ac:dyDescent="0.3">
      <c r="I4427" s="101"/>
    </row>
    <row r="4428" spans="9:9" x14ac:dyDescent="0.3">
      <c r="I4428" s="101"/>
    </row>
    <row r="4429" spans="9:9" x14ac:dyDescent="0.3">
      <c r="I4429" s="101"/>
    </row>
    <row r="4430" spans="9:9" x14ac:dyDescent="0.3">
      <c r="I4430" s="101"/>
    </row>
    <row r="4431" spans="9:9" x14ac:dyDescent="0.3">
      <c r="I4431" s="101"/>
    </row>
    <row r="4432" spans="9:9" x14ac:dyDescent="0.3">
      <c r="I4432" s="101"/>
    </row>
    <row r="4433" spans="9:9" x14ac:dyDescent="0.3">
      <c r="I4433" s="101"/>
    </row>
    <row r="4434" spans="9:9" x14ac:dyDescent="0.3">
      <c r="I4434" s="101"/>
    </row>
    <row r="4435" spans="9:9" x14ac:dyDescent="0.3">
      <c r="I4435" s="101"/>
    </row>
    <row r="4436" spans="9:9" x14ac:dyDescent="0.3">
      <c r="I4436" s="101"/>
    </row>
    <row r="4437" spans="9:9" x14ac:dyDescent="0.3">
      <c r="I4437" s="101"/>
    </row>
    <row r="4438" spans="9:9" x14ac:dyDescent="0.3">
      <c r="I4438" s="101"/>
    </row>
    <row r="4439" spans="9:9" x14ac:dyDescent="0.3">
      <c r="I4439" s="101"/>
    </row>
    <row r="4440" spans="9:9" x14ac:dyDescent="0.3">
      <c r="I4440" s="101"/>
    </row>
    <row r="4441" spans="9:9" x14ac:dyDescent="0.3">
      <c r="I4441" s="101"/>
    </row>
    <row r="4442" spans="9:9" x14ac:dyDescent="0.3">
      <c r="I4442" s="101"/>
    </row>
    <row r="4443" spans="9:9" x14ac:dyDescent="0.3">
      <c r="I4443" s="101"/>
    </row>
    <row r="4444" spans="9:9" x14ac:dyDescent="0.3">
      <c r="I4444" s="101"/>
    </row>
    <row r="4445" spans="9:9" x14ac:dyDescent="0.3">
      <c r="I4445" s="101"/>
    </row>
    <row r="4446" spans="9:9" x14ac:dyDescent="0.3">
      <c r="I4446" s="101"/>
    </row>
    <row r="4447" spans="9:9" x14ac:dyDescent="0.3">
      <c r="I4447" s="101"/>
    </row>
    <row r="4448" spans="9:9" x14ac:dyDescent="0.3">
      <c r="I4448" s="101"/>
    </row>
    <row r="4449" spans="9:9" x14ac:dyDescent="0.3">
      <c r="I4449" s="101"/>
    </row>
    <row r="4450" spans="9:9" x14ac:dyDescent="0.3">
      <c r="I4450" s="101"/>
    </row>
    <row r="4451" spans="9:9" x14ac:dyDescent="0.3">
      <c r="I4451" s="101"/>
    </row>
    <row r="4452" spans="9:9" x14ac:dyDescent="0.3">
      <c r="I4452" s="101"/>
    </row>
    <row r="4453" spans="9:9" x14ac:dyDescent="0.3">
      <c r="I4453" s="101"/>
    </row>
    <row r="4454" spans="9:9" x14ac:dyDescent="0.3">
      <c r="I4454" s="101"/>
    </row>
    <row r="4455" spans="9:9" x14ac:dyDescent="0.3">
      <c r="I4455" s="101"/>
    </row>
    <row r="4456" spans="9:9" x14ac:dyDescent="0.3">
      <c r="I4456" s="101"/>
    </row>
    <row r="4457" spans="9:9" x14ac:dyDescent="0.3">
      <c r="I4457" s="101"/>
    </row>
    <row r="4458" spans="9:9" x14ac:dyDescent="0.3">
      <c r="I4458" s="101"/>
    </row>
    <row r="4459" spans="9:9" x14ac:dyDescent="0.3">
      <c r="I4459" s="101"/>
    </row>
    <row r="4460" spans="9:9" x14ac:dyDescent="0.3">
      <c r="I4460" s="101"/>
    </row>
    <row r="4461" spans="9:9" x14ac:dyDescent="0.3">
      <c r="I4461" s="101"/>
    </row>
    <row r="4462" spans="9:9" x14ac:dyDescent="0.3">
      <c r="I4462" s="101"/>
    </row>
    <row r="4463" spans="9:9" x14ac:dyDescent="0.3">
      <c r="I4463" s="101"/>
    </row>
    <row r="4464" spans="9:9" x14ac:dyDescent="0.3">
      <c r="I4464" s="101"/>
    </row>
    <row r="4465" spans="9:9" x14ac:dyDescent="0.3">
      <c r="I4465" s="101"/>
    </row>
    <row r="4466" spans="9:9" x14ac:dyDescent="0.3">
      <c r="I4466" s="101"/>
    </row>
    <row r="4467" spans="9:9" x14ac:dyDescent="0.3">
      <c r="I4467" s="101"/>
    </row>
    <row r="4468" spans="9:9" x14ac:dyDescent="0.3">
      <c r="I4468" s="101"/>
    </row>
    <row r="4469" spans="9:9" x14ac:dyDescent="0.3">
      <c r="I4469" s="101"/>
    </row>
    <row r="4470" spans="9:9" x14ac:dyDescent="0.3">
      <c r="I4470" s="101"/>
    </row>
    <row r="4471" spans="9:9" x14ac:dyDescent="0.3">
      <c r="I4471" s="101"/>
    </row>
    <row r="4472" spans="9:9" x14ac:dyDescent="0.3">
      <c r="I4472" s="101"/>
    </row>
    <row r="4473" spans="9:9" x14ac:dyDescent="0.3">
      <c r="I4473" s="101"/>
    </row>
    <row r="4474" spans="9:9" x14ac:dyDescent="0.3">
      <c r="I4474" s="101"/>
    </row>
    <row r="4475" spans="9:9" x14ac:dyDescent="0.3">
      <c r="I4475" s="101"/>
    </row>
    <row r="4476" spans="9:9" x14ac:dyDescent="0.3">
      <c r="I4476" s="101"/>
    </row>
    <row r="4477" spans="9:9" x14ac:dyDescent="0.3">
      <c r="I4477" s="101"/>
    </row>
    <row r="4478" spans="9:9" x14ac:dyDescent="0.3">
      <c r="I4478" s="101"/>
    </row>
    <row r="4479" spans="9:9" x14ac:dyDescent="0.3">
      <c r="I4479" s="101"/>
    </row>
    <row r="4480" spans="9:9" x14ac:dyDescent="0.3">
      <c r="I4480" s="101"/>
    </row>
    <row r="4481" spans="9:9" x14ac:dyDescent="0.3">
      <c r="I4481" s="101"/>
    </row>
    <row r="4482" spans="9:9" x14ac:dyDescent="0.3">
      <c r="I4482" s="101"/>
    </row>
    <row r="4483" spans="9:9" x14ac:dyDescent="0.3">
      <c r="I4483" s="101"/>
    </row>
    <row r="4484" spans="9:9" x14ac:dyDescent="0.3">
      <c r="I4484" s="101"/>
    </row>
    <row r="4485" spans="9:9" x14ac:dyDescent="0.3">
      <c r="I4485" s="101"/>
    </row>
    <row r="4486" spans="9:9" x14ac:dyDescent="0.3">
      <c r="I4486" s="101"/>
    </row>
    <row r="4487" spans="9:9" x14ac:dyDescent="0.3">
      <c r="I4487" s="101"/>
    </row>
    <row r="4488" spans="9:9" x14ac:dyDescent="0.3">
      <c r="I4488" s="101"/>
    </row>
    <row r="4489" spans="9:9" x14ac:dyDescent="0.3">
      <c r="I4489" s="101"/>
    </row>
    <row r="4490" spans="9:9" x14ac:dyDescent="0.3">
      <c r="I4490" s="101"/>
    </row>
    <row r="4491" spans="9:9" x14ac:dyDescent="0.3">
      <c r="I4491" s="101"/>
    </row>
    <row r="4492" spans="9:9" x14ac:dyDescent="0.3">
      <c r="I4492" s="101"/>
    </row>
    <row r="4493" spans="9:9" x14ac:dyDescent="0.3">
      <c r="I4493" s="101"/>
    </row>
    <row r="4494" spans="9:9" x14ac:dyDescent="0.3">
      <c r="I4494" s="101"/>
    </row>
    <row r="4495" spans="9:9" x14ac:dyDescent="0.3">
      <c r="I4495" s="101"/>
    </row>
    <row r="4496" spans="9:9" x14ac:dyDescent="0.3">
      <c r="I4496" s="101"/>
    </row>
    <row r="4497" spans="9:9" x14ac:dyDescent="0.3">
      <c r="I4497" s="101"/>
    </row>
    <row r="4498" spans="9:9" x14ac:dyDescent="0.3">
      <c r="I4498" s="101"/>
    </row>
    <row r="4499" spans="9:9" x14ac:dyDescent="0.3">
      <c r="I4499" s="101"/>
    </row>
    <row r="4500" spans="9:9" x14ac:dyDescent="0.3">
      <c r="I4500" s="101"/>
    </row>
    <row r="4501" spans="9:9" x14ac:dyDescent="0.3">
      <c r="I4501" s="101"/>
    </row>
    <row r="4502" spans="9:9" x14ac:dyDescent="0.3">
      <c r="I4502" s="101"/>
    </row>
    <row r="4503" spans="9:9" x14ac:dyDescent="0.3">
      <c r="I4503" s="101"/>
    </row>
    <row r="4504" spans="9:9" x14ac:dyDescent="0.3">
      <c r="I4504" s="101"/>
    </row>
    <row r="4505" spans="9:9" x14ac:dyDescent="0.3">
      <c r="I4505" s="101"/>
    </row>
    <row r="4506" spans="9:9" x14ac:dyDescent="0.3">
      <c r="I4506" s="101"/>
    </row>
    <row r="4507" spans="9:9" x14ac:dyDescent="0.3">
      <c r="I4507" s="101"/>
    </row>
    <row r="4508" spans="9:9" x14ac:dyDescent="0.3">
      <c r="I4508" s="101"/>
    </row>
    <row r="4509" spans="9:9" x14ac:dyDescent="0.3">
      <c r="I4509" s="101"/>
    </row>
    <row r="4510" spans="9:9" x14ac:dyDescent="0.3">
      <c r="I4510" s="101"/>
    </row>
    <row r="4511" spans="9:9" x14ac:dyDescent="0.3">
      <c r="I4511" s="101"/>
    </row>
    <row r="4512" spans="9:9" x14ac:dyDescent="0.3">
      <c r="I4512" s="101"/>
    </row>
    <row r="4513" spans="9:9" x14ac:dyDescent="0.3">
      <c r="I4513" s="101"/>
    </row>
    <row r="4514" spans="9:9" x14ac:dyDescent="0.3">
      <c r="I4514" s="101"/>
    </row>
    <row r="4515" spans="9:9" x14ac:dyDescent="0.3">
      <c r="I4515" s="101"/>
    </row>
    <row r="4516" spans="9:9" x14ac:dyDescent="0.3">
      <c r="I4516" s="101"/>
    </row>
    <row r="4517" spans="9:9" x14ac:dyDescent="0.3">
      <c r="I4517" s="101"/>
    </row>
    <row r="4518" spans="9:9" x14ac:dyDescent="0.3">
      <c r="I4518" s="101"/>
    </row>
    <row r="4519" spans="9:9" x14ac:dyDescent="0.3">
      <c r="I4519" s="101"/>
    </row>
    <row r="4520" spans="9:9" x14ac:dyDescent="0.3">
      <c r="I4520" s="101"/>
    </row>
    <row r="4521" spans="9:9" x14ac:dyDescent="0.3">
      <c r="I4521" s="101"/>
    </row>
    <row r="4522" spans="9:9" x14ac:dyDescent="0.3">
      <c r="I4522" s="101"/>
    </row>
    <row r="4523" spans="9:9" x14ac:dyDescent="0.3">
      <c r="I4523" s="101"/>
    </row>
    <row r="4524" spans="9:9" x14ac:dyDescent="0.3">
      <c r="I4524" s="101"/>
    </row>
    <row r="4525" spans="9:9" x14ac:dyDescent="0.3">
      <c r="I4525" s="101"/>
    </row>
    <row r="4526" spans="9:9" x14ac:dyDescent="0.3">
      <c r="I4526" s="101"/>
    </row>
    <row r="4527" spans="9:9" x14ac:dyDescent="0.3">
      <c r="I4527" s="101"/>
    </row>
    <row r="4528" spans="9:9" x14ac:dyDescent="0.3">
      <c r="I4528" s="101"/>
    </row>
    <row r="4529" spans="9:9" x14ac:dyDescent="0.3">
      <c r="I4529" s="101"/>
    </row>
    <row r="4530" spans="9:9" x14ac:dyDescent="0.3">
      <c r="I4530" s="101"/>
    </row>
    <row r="4531" spans="9:9" x14ac:dyDescent="0.3">
      <c r="I4531" s="101"/>
    </row>
    <row r="4532" spans="9:9" x14ac:dyDescent="0.3">
      <c r="I4532" s="101"/>
    </row>
    <row r="4533" spans="9:9" x14ac:dyDescent="0.3">
      <c r="I4533" s="101"/>
    </row>
    <row r="4534" spans="9:9" x14ac:dyDescent="0.3">
      <c r="I4534" s="101"/>
    </row>
    <row r="4535" spans="9:9" x14ac:dyDescent="0.3">
      <c r="I4535" s="101"/>
    </row>
    <row r="4536" spans="9:9" x14ac:dyDescent="0.3">
      <c r="I4536" s="101"/>
    </row>
    <row r="4537" spans="9:9" x14ac:dyDescent="0.3">
      <c r="I4537" s="101"/>
    </row>
    <row r="4538" spans="9:9" x14ac:dyDescent="0.3">
      <c r="I4538" s="101"/>
    </row>
    <row r="4539" spans="9:9" x14ac:dyDescent="0.3">
      <c r="I4539" s="101"/>
    </row>
    <row r="4540" spans="9:9" x14ac:dyDescent="0.3">
      <c r="I4540" s="101"/>
    </row>
    <row r="4541" spans="9:9" x14ac:dyDescent="0.3">
      <c r="I4541" s="101"/>
    </row>
    <row r="4542" spans="9:9" x14ac:dyDescent="0.3">
      <c r="I4542" s="101"/>
    </row>
    <row r="4543" spans="9:9" x14ac:dyDescent="0.3">
      <c r="I4543" s="101"/>
    </row>
    <row r="4544" spans="9:9" x14ac:dyDescent="0.3">
      <c r="I4544" s="101"/>
    </row>
    <row r="4545" spans="9:9" x14ac:dyDescent="0.3">
      <c r="I4545" s="101"/>
    </row>
    <row r="4546" spans="9:9" x14ac:dyDescent="0.3">
      <c r="I4546" s="101"/>
    </row>
    <row r="4547" spans="9:9" x14ac:dyDescent="0.3">
      <c r="I4547" s="101"/>
    </row>
    <row r="4548" spans="9:9" x14ac:dyDescent="0.3">
      <c r="I4548" s="101"/>
    </row>
    <row r="4549" spans="9:9" x14ac:dyDescent="0.3">
      <c r="I4549" s="101"/>
    </row>
    <row r="4550" spans="9:9" x14ac:dyDescent="0.3">
      <c r="I4550" s="101"/>
    </row>
    <row r="4551" spans="9:9" x14ac:dyDescent="0.3">
      <c r="I4551" s="101"/>
    </row>
    <row r="4552" spans="9:9" x14ac:dyDescent="0.3">
      <c r="I4552" s="101"/>
    </row>
    <row r="4553" spans="9:9" x14ac:dyDescent="0.3">
      <c r="I4553" s="101"/>
    </row>
    <row r="4554" spans="9:9" x14ac:dyDescent="0.3">
      <c r="I4554" s="101"/>
    </row>
    <row r="4555" spans="9:9" x14ac:dyDescent="0.3">
      <c r="I4555" s="101"/>
    </row>
    <row r="4556" spans="9:9" x14ac:dyDescent="0.3">
      <c r="I4556" s="101"/>
    </row>
    <row r="4557" spans="9:9" x14ac:dyDescent="0.3">
      <c r="I4557" s="101"/>
    </row>
    <row r="4558" spans="9:9" x14ac:dyDescent="0.3">
      <c r="I4558" s="101"/>
    </row>
    <row r="4559" spans="9:9" x14ac:dyDescent="0.3">
      <c r="I4559" s="101"/>
    </row>
    <row r="4560" spans="9:9" x14ac:dyDescent="0.3">
      <c r="I4560" s="101"/>
    </row>
    <row r="4561" spans="9:9" x14ac:dyDescent="0.3">
      <c r="I4561" s="101"/>
    </row>
    <row r="4562" spans="9:9" x14ac:dyDescent="0.3">
      <c r="I4562" s="101"/>
    </row>
    <row r="4563" spans="9:9" x14ac:dyDescent="0.3">
      <c r="I4563" s="101"/>
    </row>
    <row r="4564" spans="9:9" x14ac:dyDescent="0.3">
      <c r="I4564" s="101"/>
    </row>
    <row r="4565" spans="9:9" x14ac:dyDescent="0.3">
      <c r="I4565" s="101"/>
    </row>
    <row r="4566" spans="9:9" x14ac:dyDescent="0.3">
      <c r="I4566" s="101"/>
    </row>
    <row r="4567" spans="9:9" x14ac:dyDescent="0.3">
      <c r="I4567" s="101"/>
    </row>
    <row r="4568" spans="9:9" x14ac:dyDescent="0.3">
      <c r="I4568" s="101"/>
    </row>
    <row r="4569" spans="9:9" x14ac:dyDescent="0.3">
      <c r="I4569" s="101"/>
    </row>
    <row r="4570" spans="9:9" x14ac:dyDescent="0.3">
      <c r="I4570" s="101"/>
    </row>
    <row r="4571" spans="9:9" x14ac:dyDescent="0.3">
      <c r="I4571" s="101"/>
    </row>
    <row r="4572" spans="9:9" x14ac:dyDescent="0.3">
      <c r="I4572" s="101"/>
    </row>
    <row r="4573" spans="9:9" x14ac:dyDescent="0.3">
      <c r="I4573" s="101"/>
    </row>
    <row r="4574" spans="9:9" x14ac:dyDescent="0.3">
      <c r="I4574" s="101"/>
    </row>
    <row r="4575" spans="9:9" x14ac:dyDescent="0.3">
      <c r="I4575" s="101"/>
    </row>
    <row r="4576" spans="9:9" x14ac:dyDescent="0.3">
      <c r="I4576" s="101"/>
    </row>
    <row r="4577" spans="9:9" x14ac:dyDescent="0.3">
      <c r="I4577" s="101"/>
    </row>
    <row r="4578" spans="9:9" x14ac:dyDescent="0.3">
      <c r="I4578" s="101"/>
    </row>
    <row r="4579" spans="9:9" x14ac:dyDescent="0.3">
      <c r="I4579" s="101"/>
    </row>
    <row r="4580" spans="9:9" x14ac:dyDescent="0.3">
      <c r="I4580" s="101"/>
    </row>
    <row r="4581" spans="9:9" x14ac:dyDescent="0.3">
      <c r="I4581" s="101"/>
    </row>
    <row r="4582" spans="9:9" x14ac:dyDescent="0.3">
      <c r="I4582" s="101"/>
    </row>
    <row r="4583" spans="9:9" x14ac:dyDescent="0.3">
      <c r="I4583" s="101"/>
    </row>
    <row r="4584" spans="9:9" x14ac:dyDescent="0.3">
      <c r="I4584" s="101"/>
    </row>
    <row r="4585" spans="9:9" x14ac:dyDescent="0.3">
      <c r="I4585" s="101"/>
    </row>
    <row r="4586" spans="9:9" x14ac:dyDescent="0.3">
      <c r="I4586" s="101"/>
    </row>
    <row r="4587" spans="9:9" x14ac:dyDescent="0.3">
      <c r="I4587" s="101"/>
    </row>
    <row r="4588" spans="9:9" x14ac:dyDescent="0.3">
      <c r="I4588" s="101"/>
    </row>
    <row r="4589" spans="9:9" x14ac:dyDescent="0.3">
      <c r="I4589" s="101"/>
    </row>
    <row r="4590" spans="9:9" x14ac:dyDescent="0.3">
      <c r="I4590" s="101"/>
    </row>
    <row r="4591" spans="9:9" x14ac:dyDescent="0.3">
      <c r="I4591" s="101"/>
    </row>
    <row r="4592" spans="9:9" x14ac:dyDescent="0.3">
      <c r="I4592" s="101"/>
    </row>
    <row r="4593" spans="9:9" x14ac:dyDescent="0.3">
      <c r="I4593" s="101"/>
    </row>
    <row r="4594" spans="9:9" x14ac:dyDescent="0.3">
      <c r="I4594" s="101"/>
    </row>
    <row r="4595" spans="9:9" x14ac:dyDescent="0.3">
      <c r="I4595" s="101"/>
    </row>
    <row r="4596" spans="9:9" x14ac:dyDescent="0.3">
      <c r="I4596" s="101"/>
    </row>
    <row r="4597" spans="9:9" x14ac:dyDescent="0.3">
      <c r="I4597" s="101"/>
    </row>
    <row r="4598" spans="9:9" x14ac:dyDescent="0.3">
      <c r="I4598" s="101"/>
    </row>
    <row r="4599" spans="9:9" x14ac:dyDescent="0.3">
      <c r="I4599" s="101"/>
    </row>
    <row r="4600" spans="9:9" x14ac:dyDescent="0.3">
      <c r="I4600" s="101"/>
    </row>
    <row r="4601" spans="9:9" x14ac:dyDescent="0.3">
      <c r="I4601" s="101"/>
    </row>
    <row r="4602" spans="9:9" x14ac:dyDescent="0.3">
      <c r="I4602" s="101"/>
    </row>
    <row r="4603" spans="9:9" x14ac:dyDescent="0.3">
      <c r="I4603" s="101"/>
    </row>
    <row r="4604" spans="9:9" x14ac:dyDescent="0.3">
      <c r="I4604" s="101"/>
    </row>
    <row r="4605" spans="9:9" x14ac:dyDescent="0.3">
      <c r="I4605" s="101"/>
    </row>
    <row r="4606" spans="9:9" x14ac:dyDescent="0.3">
      <c r="I4606" s="101"/>
    </row>
    <row r="4607" spans="9:9" x14ac:dyDescent="0.3">
      <c r="I4607" s="101"/>
    </row>
    <row r="4608" spans="9:9" x14ac:dyDescent="0.3">
      <c r="I4608" s="101"/>
    </row>
    <row r="4609" spans="9:9" x14ac:dyDescent="0.3">
      <c r="I4609" s="101"/>
    </row>
    <row r="4610" spans="9:9" x14ac:dyDescent="0.3">
      <c r="I4610" s="101"/>
    </row>
    <row r="4611" spans="9:9" x14ac:dyDescent="0.3">
      <c r="I4611" s="101"/>
    </row>
    <row r="4612" spans="9:9" x14ac:dyDescent="0.3">
      <c r="I4612" s="101"/>
    </row>
    <row r="4613" spans="9:9" x14ac:dyDescent="0.3">
      <c r="I4613" s="101"/>
    </row>
    <row r="4614" spans="9:9" x14ac:dyDescent="0.3">
      <c r="I4614" s="101"/>
    </row>
    <row r="4615" spans="9:9" x14ac:dyDescent="0.3">
      <c r="I4615" s="101"/>
    </row>
    <row r="4616" spans="9:9" x14ac:dyDescent="0.3">
      <c r="I4616" s="101"/>
    </row>
    <row r="4617" spans="9:9" x14ac:dyDescent="0.3">
      <c r="I4617" s="101"/>
    </row>
    <row r="4618" spans="9:9" x14ac:dyDescent="0.3">
      <c r="I4618" s="101"/>
    </row>
    <row r="4619" spans="9:9" x14ac:dyDescent="0.3">
      <c r="I4619" s="101"/>
    </row>
    <row r="4620" spans="9:9" x14ac:dyDescent="0.3">
      <c r="I4620" s="101"/>
    </row>
    <row r="4621" spans="9:9" x14ac:dyDescent="0.3">
      <c r="I4621" s="101"/>
    </row>
    <row r="4622" spans="9:9" x14ac:dyDescent="0.3">
      <c r="I4622" s="101"/>
    </row>
    <row r="4623" spans="9:9" x14ac:dyDescent="0.3">
      <c r="I4623" s="101"/>
    </row>
    <row r="4624" spans="9:9" x14ac:dyDescent="0.3">
      <c r="I4624" s="101"/>
    </row>
    <row r="4625" spans="9:9" x14ac:dyDescent="0.3">
      <c r="I4625" s="101"/>
    </row>
    <row r="4626" spans="9:9" x14ac:dyDescent="0.3">
      <c r="I4626" s="101"/>
    </row>
    <row r="4627" spans="9:9" x14ac:dyDescent="0.3">
      <c r="I4627" s="101"/>
    </row>
    <row r="4628" spans="9:9" x14ac:dyDescent="0.3">
      <c r="I4628" s="101"/>
    </row>
    <row r="4629" spans="9:9" x14ac:dyDescent="0.3">
      <c r="I4629" s="101"/>
    </row>
    <row r="4630" spans="9:9" x14ac:dyDescent="0.3">
      <c r="I4630" s="101"/>
    </row>
    <row r="4631" spans="9:9" x14ac:dyDescent="0.3">
      <c r="I4631" s="101"/>
    </row>
    <row r="4632" spans="9:9" x14ac:dyDescent="0.3">
      <c r="I4632" s="101"/>
    </row>
    <row r="4633" spans="9:9" x14ac:dyDescent="0.3">
      <c r="I4633" s="101"/>
    </row>
    <row r="4634" spans="9:9" x14ac:dyDescent="0.3">
      <c r="I4634" s="101"/>
    </row>
    <row r="4635" spans="9:9" x14ac:dyDescent="0.3">
      <c r="I4635" s="101"/>
    </row>
    <row r="4636" spans="9:9" x14ac:dyDescent="0.3">
      <c r="I4636" s="101"/>
    </row>
    <row r="4637" spans="9:9" x14ac:dyDescent="0.3">
      <c r="I4637" s="101"/>
    </row>
    <row r="4638" spans="9:9" x14ac:dyDescent="0.3">
      <c r="I4638" s="101"/>
    </row>
    <row r="4639" spans="9:9" x14ac:dyDescent="0.3">
      <c r="I4639" s="101"/>
    </row>
    <row r="4640" spans="9:9" x14ac:dyDescent="0.3">
      <c r="I4640" s="101"/>
    </row>
    <row r="4641" spans="9:9" x14ac:dyDescent="0.3">
      <c r="I4641" s="101"/>
    </row>
    <row r="4642" spans="9:9" x14ac:dyDescent="0.3">
      <c r="I4642" s="101"/>
    </row>
    <row r="4643" spans="9:9" x14ac:dyDescent="0.3">
      <c r="I4643" s="101"/>
    </row>
    <row r="4644" spans="9:9" x14ac:dyDescent="0.3">
      <c r="I4644" s="101"/>
    </row>
    <row r="4645" spans="9:9" x14ac:dyDescent="0.3">
      <c r="I4645" s="101"/>
    </row>
    <row r="4646" spans="9:9" x14ac:dyDescent="0.3">
      <c r="I4646" s="101"/>
    </row>
    <row r="4647" spans="9:9" x14ac:dyDescent="0.3">
      <c r="I4647" s="101"/>
    </row>
    <row r="4648" spans="9:9" x14ac:dyDescent="0.3">
      <c r="I4648" s="101"/>
    </row>
    <row r="4649" spans="9:9" x14ac:dyDescent="0.3">
      <c r="I4649" s="101"/>
    </row>
    <row r="4650" spans="9:9" x14ac:dyDescent="0.3">
      <c r="I4650" s="101"/>
    </row>
    <row r="4651" spans="9:9" x14ac:dyDescent="0.3">
      <c r="I4651" s="101"/>
    </row>
    <row r="4652" spans="9:9" x14ac:dyDescent="0.3">
      <c r="I4652" s="101"/>
    </row>
    <row r="4653" spans="9:9" x14ac:dyDescent="0.3">
      <c r="I4653" s="101"/>
    </row>
    <row r="4654" spans="9:9" x14ac:dyDescent="0.3">
      <c r="I4654" s="101"/>
    </row>
    <row r="4655" spans="9:9" x14ac:dyDescent="0.3">
      <c r="I4655" s="101"/>
    </row>
    <row r="4656" spans="9:9" x14ac:dyDescent="0.3">
      <c r="I4656" s="101"/>
    </row>
    <row r="4657" spans="9:9" x14ac:dyDescent="0.3">
      <c r="I4657" s="101"/>
    </row>
    <row r="4658" spans="9:9" x14ac:dyDescent="0.3">
      <c r="I4658" s="101"/>
    </row>
    <row r="4659" spans="9:9" x14ac:dyDescent="0.3">
      <c r="I4659" s="101"/>
    </row>
    <row r="4660" spans="9:9" x14ac:dyDescent="0.3">
      <c r="I4660" s="101"/>
    </row>
    <row r="4661" spans="9:9" x14ac:dyDescent="0.3">
      <c r="I4661" s="101"/>
    </row>
    <row r="4662" spans="9:9" x14ac:dyDescent="0.3">
      <c r="I4662" s="101"/>
    </row>
    <row r="4663" spans="9:9" x14ac:dyDescent="0.3">
      <c r="I4663" s="101"/>
    </row>
    <row r="4664" spans="9:9" x14ac:dyDescent="0.3">
      <c r="I4664" s="101"/>
    </row>
    <row r="4665" spans="9:9" x14ac:dyDescent="0.3">
      <c r="I4665" s="101"/>
    </row>
    <row r="4666" spans="9:9" x14ac:dyDescent="0.3">
      <c r="I4666" s="101"/>
    </row>
    <row r="4667" spans="9:9" x14ac:dyDescent="0.3">
      <c r="I4667" s="101"/>
    </row>
    <row r="4668" spans="9:9" x14ac:dyDescent="0.3">
      <c r="I4668" s="101"/>
    </row>
    <row r="4669" spans="9:9" x14ac:dyDescent="0.3">
      <c r="I4669" s="101"/>
    </row>
    <row r="4670" spans="9:9" x14ac:dyDescent="0.3">
      <c r="I4670" s="101"/>
    </row>
    <row r="4671" spans="9:9" x14ac:dyDescent="0.3">
      <c r="I4671" s="101"/>
    </row>
    <row r="4672" spans="9:9" x14ac:dyDescent="0.3">
      <c r="I4672" s="101"/>
    </row>
    <row r="4673" spans="9:9" x14ac:dyDescent="0.3">
      <c r="I4673" s="101"/>
    </row>
    <row r="4674" spans="9:9" x14ac:dyDescent="0.3">
      <c r="I4674" s="101"/>
    </row>
    <row r="4675" spans="9:9" x14ac:dyDescent="0.3">
      <c r="I4675" s="101"/>
    </row>
    <row r="4676" spans="9:9" x14ac:dyDescent="0.3">
      <c r="I4676" s="101"/>
    </row>
    <row r="4677" spans="9:9" x14ac:dyDescent="0.3">
      <c r="I4677" s="101"/>
    </row>
    <row r="4678" spans="9:9" x14ac:dyDescent="0.3">
      <c r="I4678" s="101"/>
    </row>
    <row r="4679" spans="9:9" x14ac:dyDescent="0.3">
      <c r="I4679" s="101"/>
    </row>
    <row r="4680" spans="9:9" x14ac:dyDescent="0.3">
      <c r="I4680" s="101"/>
    </row>
    <row r="4681" spans="9:9" x14ac:dyDescent="0.3">
      <c r="I4681" s="101"/>
    </row>
    <row r="4682" spans="9:9" x14ac:dyDescent="0.3">
      <c r="I4682" s="101"/>
    </row>
    <row r="4683" spans="9:9" x14ac:dyDescent="0.3">
      <c r="I4683" s="101"/>
    </row>
    <row r="4684" spans="9:9" x14ac:dyDescent="0.3">
      <c r="I4684" s="101"/>
    </row>
    <row r="4685" spans="9:9" x14ac:dyDescent="0.3">
      <c r="I4685" s="101"/>
    </row>
    <row r="4686" spans="9:9" x14ac:dyDescent="0.3">
      <c r="I4686" s="101"/>
    </row>
    <row r="4687" spans="9:9" x14ac:dyDescent="0.3">
      <c r="I4687" s="101"/>
    </row>
    <row r="4688" spans="9:9" x14ac:dyDescent="0.3">
      <c r="I4688" s="101"/>
    </row>
    <row r="4689" spans="9:9" x14ac:dyDescent="0.3">
      <c r="I4689" s="101"/>
    </row>
    <row r="4690" spans="9:9" x14ac:dyDescent="0.3">
      <c r="I4690" s="101"/>
    </row>
    <row r="4691" spans="9:9" x14ac:dyDescent="0.3">
      <c r="I4691" s="101"/>
    </row>
    <row r="4692" spans="9:9" x14ac:dyDescent="0.3">
      <c r="I4692" s="101"/>
    </row>
    <row r="4693" spans="9:9" x14ac:dyDescent="0.3">
      <c r="I4693" s="101"/>
    </row>
    <row r="4694" spans="9:9" x14ac:dyDescent="0.3">
      <c r="I4694" s="101"/>
    </row>
    <row r="4695" spans="9:9" x14ac:dyDescent="0.3">
      <c r="I4695" s="101"/>
    </row>
    <row r="4696" spans="9:9" x14ac:dyDescent="0.3">
      <c r="I4696" s="101"/>
    </row>
    <row r="4697" spans="9:9" x14ac:dyDescent="0.3">
      <c r="I4697" s="101"/>
    </row>
    <row r="4698" spans="9:9" x14ac:dyDescent="0.3">
      <c r="I4698" s="101"/>
    </row>
    <row r="4699" spans="9:9" x14ac:dyDescent="0.3">
      <c r="I4699" s="101"/>
    </row>
    <row r="4700" spans="9:9" x14ac:dyDescent="0.3">
      <c r="I4700" s="101"/>
    </row>
    <row r="4701" spans="9:9" x14ac:dyDescent="0.3">
      <c r="I4701" s="101"/>
    </row>
    <row r="4702" spans="9:9" x14ac:dyDescent="0.3">
      <c r="I4702" s="101"/>
    </row>
    <row r="4703" spans="9:9" x14ac:dyDescent="0.3">
      <c r="I4703" s="101"/>
    </row>
    <row r="4704" spans="9:9" x14ac:dyDescent="0.3">
      <c r="I4704" s="101"/>
    </row>
    <row r="4705" spans="9:9" x14ac:dyDescent="0.3">
      <c r="I4705" s="101"/>
    </row>
    <row r="4706" spans="9:9" x14ac:dyDescent="0.3">
      <c r="I4706" s="101"/>
    </row>
    <row r="4707" spans="9:9" x14ac:dyDescent="0.3">
      <c r="I4707" s="101"/>
    </row>
    <row r="4708" spans="9:9" x14ac:dyDescent="0.3">
      <c r="I4708" s="101"/>
    </row>
    <row r="4709" spans="9:9" x14ac:dyDescent="0.3">
      <c r="I4709" s="101"/>
    </row>
    <row r="4710" spans="9:9" x14ac:dyDescent="0.3">
      <c r="I4710" s="101"/>
    </row>
    <row r="4711" spans="9:9" x14ac:dyDescent="0.3">
      <c r="I4711" s="101"/>
    </row>
    <row r="4712" spans="9:9" x14ac:dyDescent="0.3">
      <c r="I4712" s="101"/>
    </row>
    <row r="4713" spans="9:9" x14ac:dyDescent="0.3">
      <c r="I4713" s="101"/>
    </row>
    <row r="4714" spans="9:9" x14ac:dyDescent="0.3">
      <c r="I4714" s="101"/>
    </row>
    <row r="4715" spans="9:9" x14ac:dyDescent="0.3">
      <c r="I4715" s="101"/>
    </row>
    <row r="4716" spans="9:9" x14ac:dyDescent="0.3">
      <c r="I4716" s="101"/>
    </row>
    <row r="4717" spans="9:9" x14ac:dyDescent="0.3">
      <c r="I4717" s="101"/>
    </row>
    <row r="4718" spans="9:9" x14ac:dyDescent="0.3">
      <c r="I4718" s="101"/>
    </row>
    <row r="4719" spans="9:9" x14ac:dyDescent="0.3">
      <c r="I4719" s="101"/>
    </row>
    <row r="4720" spans="9:9" x14ac:dyDescent="0.3">
      <c r="I4720" s="101"/>
    </row>
    <row r="4721" spans="9:9" x14ac:dyDescent="0.3">
      <c r="I4721" s="101"/>
    </row>
    <row r="4722" spans="9:9" x14ac:dyDescent="0.3">
      <c r="I4722" s="101"/>
    </row>
    <row r="4723" spans="9:9" x14ac:dyDescent="0.3">
      <c r="I4723" s="101"/>
    </row>
    <row r="4724" spans="9:9" x14ac:dyDescent="0.3">
      <c r="I4724" s="101"/>
    </row>
    <row r="4725" spans="9:9" x14ac:dyDescent="0.3">
      <c r="I4725" s="101"/>
    </row>
    <row r="4726" spans="9:9" x14ac:dyDescent="0.3">
      <c r="I4726" s="101"/>
    </row>
    <row r="4727" spans="9:9" x14ac:dyDescent="0.3">
      <c r="I4727" s="101"/>
    </row>
    <row r="4728" spans="9:9" x14ac:dyDescent="0.3">
      <c r="I4728" s="101"/>
    </row>
    <row r="4729" spans="9:9" x14ac:dyDescent="0.3">
      <c r="I4729" s="101"/>
    </row>
    <row r="4730" spans="9:9" x14ac:dyDescent="0.3">
      <c r="I4730" s="101"/>
    </row>
    <row r="4731" spans="9:9" x14ac:dyDescent="0.3">
      <c r="I4731" s="101"/>
    </row>
    <row r="4732" spans="9:9" x14ac:dyDescent="0.3">
      <c r="I4732" s="101"/>
    </row>
    <row r="4733" spans="9:9" x14ac:dyDescent="0.3">
      <c r="I4733" s="101"/>
    </row>
    <row r="4734" spans="9:9" x14ac:dyDescent="0.3">
      <c r="I4734" s="101"/>
    </row>
    <row r="4735" spans="9:9" x14ac:dyDescent="0.3">
      <c r="I4735" s="101"/>
    </row>
    <row r="4736" spans="9:9" x14ac:dyDescent="0.3">
      <c r="I4736" s="101"/>
    </row>
    <row r="4737" spans="9:9" x14ac:dyDescent="0.3">
      <c r="I4737" s="101"/>
    </row>
    <row r="4738" spans="9:9" x14ac:dyDescent="0.3">
      <c r="I4738" s="101"/>
    </row>
    <row r="4739" spans="9:9" x14ac:dyDescent="0.3">
      <c r="I4739" s="101"/>
    </row>
    <row r="4740" spans="9:9" x14ac:dyDescent="0.3">
      <c r="I4740" s="101"/>
    </row>
    <row r="4741" spans="9:9" x14ac:dyDescent="0.3">
      <c r="I4741" s="101"/>
    </row>
    <row r="4742" spans="9:9" x14ac:dyDescent="0.3">
      <c r="I4742" s="101"/>
    </row>
    <row r="4743" spans="9:9" x14ac:dyDescent="0.3">
      <c r="I4743" s="101"/>
    </row>
    <row r="4744" spans="9:9" x14ac:dyDescent="0.3">
      <c r="I4744" s="101"/>
    </row>
    <row r="4745" spans="9:9" x14ac:dyDescent="0.3">
      <c r="I4745" s="101"/>
    </row>
    <row r="4746" spans="9:9" x14ac:dyDescent="0.3">
      <c r="I4746" s="101"/>
    </row>
    <row r="4747" spans="9:9" x14ac:dyDescent="0.3">
      <c r="I4747" s="101"/>
    </row>
    <row r="4748" spans="9:9" x14ac:dyDescent="0.3">
      <c r="I4748" s="101"/>
    </row>
    <row r="4749" spans="9:9" x14ac:dyDescent="0.3">
      <c r="I4749" s="101"/>
    </row>
    <row r="4750" spans="9:9" x14ac:dyDescent="0.3">
      <c r="I4750" s="101"/>
    </row>
    <row r="4751" spans="9:9" x14ac:dyDescent="0.3">
      <c r="I4751" s="101"/>
    </row>
    <row r="4752" spans="9:9" x14ac:dyDescent="0.3">
      <c r="I4752" s="101"/>
    </row>
    <row r="4753" spans="9:9" x14ac:dyDescent="0.3">
      <c r="I4753" s="101"/>
    </row>
    <row r="4754" spans="9:9" x14ac:dyDescent="0.3">
      <c r="I4754" s="101"/>
    </row>
    <row r="4755" spans="9:9" x14ac:dyDescent="0.3">
      <c r="I4755" s="101"/>
    </row>
    <row r="4756" spans="9:9" x14ac:dyDescent="0.3">
      <c r="I4756" s="101"/>
    </row>
    <row r="4757" spans="9:9" x14ac:dyDescent="0.3">
      <c r="I4757" s="101"/>
    </row>
    <row r="4758" spans="9:9" x14ac:dyDescent="0.3">
      <c r="I4758" s="101"/>
    </row>
    <row r="4759" spans="9:9" x14ac:dyDescent="0.3">
      <c r="I4759" s="101"/>
    </row>
    <row r="4760" spans="9:9" x14ac:dyDescent="0.3">
      <c r="I4760" s="101"/>
    </row>
    <row r="4761" spans="9:9" x14ac:dyDescent="0.3">
      <c r="I4761" s="101"/>
    </row>
    <row r="4762" spans="9:9" x14ac:dyDescent="0.3">
      <c r="I4762" s="101"/>
    </row>
    <row r="4763" spans="9:9" x14ac:dyDescent="0.3">
      <c r="I4763" s="101"/>
    </row>
    <row r="4764" spans="9:9" x14ac:dyDescent="0.3">
      <c r="I4764" s="101"/>
    </row>
    <row r="4765" spans="9:9" x14ac:dyDescent="0.3">
      <c r="I4765" s="101"/>
    </row>
    <row r="4766" spans="9:9" x14ac:dyDescent="0.3">
      <c r="I4766" s="101"/>
    </row>
    <row r="4767" spans="9:9" x14ac:dyDescent="0.3">
      <c r="I4767" s="101"/>
    </row>
    <row r="4768" spans="9:9" x14ac:dyDescent="0.3">
      <c r="I4768" s="101"/>
    </row>
    <row r="4769" spans="9:9" x14ac:dyDescent="0.3">
      <c r="I4769" s="101"/>
    </row>
    <row r="4770" spans="9:9" x14ac:dyDescent="0.3">
      <c r="I4770" s="101"/>
    </row>
    <row r="4771" spans="9:9" x14ac:dyDescent="0.3">
      <c r="I4771" s="101"/>
    </row>
    <row r="4772" spans="9:9" x14ac:dyDescent="0.3">
      <c r="I4772" s="101"/>
    </row>
    <row r="4773" spans="9:9" x14ac:dyDescent="0.3">
      <c r="I4773" s="101"/>
    </row>
    <row r="4774" spans="9:9" x14ac:dyDescent="0.3">
      <c r="I4774" s="101"/>
    </row>
    <row r="4775" spans="9:9" x14ac:dyDescent="0.3">
      <c r="I4775" s="101"/>
    </row>
    <row r="4776" spans="9:9" x14ac:dyDescent="0.3">
      <c r="I4776" s="101"/>
    </row>
    <row r="4777" spans="9:9" x14ac:dyDescent="0.3">
      <c r="I4777" s="101"/>
    </row>
    <row r="4778" spans="9:9" x14ac:dyDescent="0.3">
      <c r="I4778" s="101"/>
    </row>
    <row r="4779" spans="9:9" x14ac:dyDescent="0.3">
      <c r="I4779" s="101"/>
    </row>
    <row r="4780" spans="9:9" x14ac:dyDescent="0.3">
      <c r="I4780" s="101"/>
    </row>
    <row r="4781" spans="9:9" x14ac:dyDescent="0.3">
      <c r="I4781" s="101"/>
    </row>
    <row r="4782" spans="9:9" x14ac:dyDescent="0.3">
      <c r="I4782" s="101"/>
    </row>
    <row r="4783" spans="9:9" x14ac:dyDescent="0.3">
      <c r="I4783" s="101"/>
    </row>
    <row r="4784" spans="9:9" x14ac:dyDescent="0.3">
      <c r="I4784" s="101"/>
    </row>
    <row r="4785" spans="9:9" x14ac:dyDescent="0.3">
      <c r="I4785" s="101"/>
    </row>
    <row r="4786" spans="9:9" x14ac:dyDescent="0.3">
      <c r="I4786" s="101"/>
    </row>
    <row r="4787" spans="9:9" x14ac:dyDescent="0.3">
      <c r="I4787" s="101"/>
    </row>
    <row r="4788" spans="9:9" x14ac:dyDescent="0.3">
      <c r="I4788" s="101"/>
    </row>
    <row r="4789" spans="9:9" x14ac:dyDescent="0.3">
      <c r="I4789" s="101"/>
    </row>
    <row r="4790" spans="9:9" x14ac:dyDescent="0.3">
      <c r="I4790" s="101"/>
    </row>
    <row r="4791" spans="9:9" x14ac:dyDescent="0.3">
      <c r="I4791" s="101"/>
    </row>
    <row r="4792" spans="9:9" x14ac:dyDescent="0.3">
      <c r="I4792" s="101"/>
    </row>
    <row r="4793" spans="9:9" x14ac:dyDescent="0.3">
      <c r="I4793" s="101"/>
    </row>
    <row r="4794" spans="9:9" x14ac:dyDescent="0.3">
      <c r="I4794" s="101"/>
    </row>
    <row r="4795" spans="9:9" x14ac:dyDescent="0.3">
      <c r="I4795" s="101"/>
    </row>
    <row r="4796" spans="9:9" x14ac:dyDescent="0.3">
      <c r="I4796" s="101"/>
    </row>
    <row r="4797" spans="9:9" x14ac:dyDescent="0.3">
      <c r="I4797" s="101"/>
    </row>
    <row r="4798" spans="9:9" x14ac:dyDescent="0.3">
      <c r="I4798" s="101"/>
    </row>
    <row r="4799" spans="9:9" x14ac:dyDescent="0.3">
      <c r="I4799" s="101"/>
    </row>
    <row r="4800" spans="9:9" x14ac:dyDescent="0.3">
      <c r="I4800" s="101"/>
    </row>
    <row r="4801" spans="9:9" x14ac:dyDescent="0.3">
      <c r="I4801" s="101"/>
    </row>
    <row r="4802" spans="9:9" x14ac:dyDescent="0.3">
      <c r="I4802" s="101"/>
    </row>
    <row r="4803" spans="9:9" x14ac:dyDescent="0.3">
      <c r="I4803" s="101"/>
    </row>
    <row r="4804" spans="9:9" x14ac:dyDescent="0.3">
      <c r="I4804" s="101"/>
    </row>
    <row r="4805" spans="9:9" x14ac:dyDescent="0.3">
      <c r="I4805" s="101"/>
    </row>
    <row r="4806" spans="9:9" x14ac:dyDescent="0.3">
      <c r="I4806" s="101"/>
    </row>
    <row r="4807" spans="9:9" x14ac:dyDescent="0.3">
      <c r="I4807" s="101"/>
    </row>
    <row r="4808" spans="9:9" x14ac:dyDescent="0.3">
      <c r="I4808" s="101"/>
    </row>
    <row r="4809" spans="9:9" x14ac:dyDescent="0.3">
      <c r="I4809" s="101"/>
    </row>
    <row r="4810" spans="9:9" x14ac:dyDescent="0.3">
      <c r="I4810" s="101"/>
    </row>
    <row r="4811" spans="9:9" x14ac:dyDescent="0.3">
      <c r="I4811" s="101"/>
    </row>
    <row r="4812" spans="9:9" x14ac:dyDescent="0.3">
      <c r="I4812" s="101"/>
    </row>
    <row r="4813" spans="9:9" x14ac:dyDescent="0.3">
      <c r="I4813" s="101"/>
    </row>
    <row r="4814" spans="9:9" x14ac:dyDescent="0.3">
      <c r="I4814" s="101"/>
    </row>
    <row r="4815" spans="9:9" x14ac:dyDescent="0.3">
      <c r="I4815" s="101"/>
    </row>
    <row r="4816" spans="9:9" x14ac:dyDescent="0.3">
      <c r="I4816" s="101"/>
    </row>
    <row r="4817" spans="9:9" x14ac:dyDescent="0.3">
      <c r="I4817" s="101"/>
    </row>
    <row r="4818" spans="9:9" x14ac:dyDescent="0.3">
      <c r="I4818" s="101"/>
    </row>
    <row r="4819" spans="9:9" x14ac:dyDescent="0.3">
      <c r="I4819" s="101"/>
    </row>
    <row r="4820" spans="9:9" x14ac:dyDescent="0.3">
      <c r="I4820" s="101"/>
    </row>
    <row r="4821" spans="9:9" x14ac:dyDescent="0.3">
      <c r="I4821" s="101"/>
    </row>
    <row r="4822" spans="9:9" x14ac:dyDescent="0.3">
      <c r="I4822" s="101"/>
    </row>
    <row r="4823" spans="9:9" x14ac:dyDescent="0.3">
      <c r="I4823" s="101"/>
    </row>
    <row r="4824" spans="9:9" x14ac:dyDescent="0.3">
      <c r="I4824" s="101"/>
    </row>
    <row r="4825" spans="9:9" x14ac:dyDescent="0.3">
      <c r="I4825" s="101"/>
    </row>
    <row r="4826" spans="9:9" x14ac:dyDescent="0.3">
      <c r="I4826" s="101"/>
    </row>
    <row r="4827" spans="9:9" x14ac:dyDescent="0.3">
      <c r="I4827" s="101"/>
    </row>
    <row r="4828" spans="9:9" x14ac:dyDescent="0.3">
      <c r="I4828" s="101"/>
    </row>
    <row r="4829" spans="9:9" x14ac:dyDescent="0.3">
      <c r="I4829" s="101"/>
    </row>
    <row r="4830" spans="9:9" x14ac:dyDescent="0.3">
      <c r="I4830" s="101"/>
    </row>
    <row r="4831" spans="9:9" x14ac:dyDescent="0.3">
      <c r="I4831" s="101"/>
    </row>
    <row r="4832" spans="9:9" x14ac:dyDescent="0.3">
      <c r="I4832" s="101"/>
    </row>
    <row r="4833" spans="9:9" x14ac:dyDescent="0.3">
      <c r="I4833" s="101"/>
    </row>
    <row r="4834" spans="9:9" x14ac:dyDescent="0.3">
      <c r="I4834" s="101"/>
    </row>
    <row r="4835" spans="9:9" x14ac:dyDescent="0.3">
      <c r="I4835" s="101"/>
    </row>
    <row r="4836" spans="9:9" x14ac:dyDescent="0.3">
      <c r="I4836" s="101"/>
    </row>
    <row r="4837" spans="9:9" x14ac:dyDescent="0.3">
      <c r="I4837" s="101"/>
    </row>
    <row r="4838" spans="9:9" x14ac:dyDescent="0.3">
      <c r="I4838" s="101"/>
    </row>
    <row r="4839" spans="9:9" x14ac:dyDescent="0.3">
      <c r="I4839" s="101"/>
    </row>
    <row r="4840" spans="9:9" x14ac:dyDescent="0.3">
      <c r="I4840" s="101"/>
    </row>
    <row r="4841" spans="9:9" x14ac:dyDescent="0.3">
      <c r="I4841" s="101"/>
    </row>
    <row r="4842" spans="9:9" x14ac:dyDescent="0.3">
      <c r="I4842" s="101"/>
    </row>
    <row r="4843" spans="9:9" x14ac:dyDescent="0.3">
      <c r="I4843" s="101"/>
    </row>
    <row r="4844" spans="9:9" x14ac:dyDescent="0.3">
      <c r="I4844" s="101"/>
    </row>
    <row r="4845" spans="9:9" x14ac:dyDescent="0.3">
      <c r="I4845" s="101"/>
    </row>
    <row r="4846" spans="9:9" x14ac:dyDescent="0.3">
      <c r="I4846" s="101"/>
    </row>
    <row r="4847" spans="9:9" x14ac:dyDescent="0.3">
      <c r="I4847" s="101"/>
    </row>
    <row r="4848" spans="9:9" x14ac:dyDescent="0.3">
      <c r="I4848" s="101"/>
    </row>
    <row r="4849" spans="9:9" x14ac:dyDescent="0.3">
      <c r="I4849" s="101"/>
    </row>
    <row r="4850" spans="9:9" x14ac:dyDescent="0.3">
      <c r="I4850" s="101"/>
    </row>
    <row r="4851" spans="9:9" x14ac:dyDescent="0.3">
      <c r="I4851" s="101"/>
    </row>
    <row r="4852" spans="9:9" x14ac:dyDescent="0.3">
      <c r="I4852" s="101"/>
    </row>
    <row r="4853" spans="9:9" x14ac:dyDescent="0.3">
      <c r="I4853" s="101"/>
    </row>
    <row r="4854" spans="9:9" x14ac:dyDescent="0.3">
      <c r="I4854" s="101"/>
    </row>
    <row r="4855" spans="9:9" x14ac:dyDescent="0.3">
      <c r="I4855" s="101"/>
    </row>
    <row r="4856" spans="9:9" x14ac:dyDescent="0.3">
      <c r="I4856" s="101"/>
    </row>
    <row r="4857" spans="9:9" x14ac:dyDescent="0.3">
      <c r="I4857" s="101"/>
    </row>
    <row r="4858" spans="9:9" x14ac:dyDescent="0.3">
      <c r="I4858" s="101"/>
    </row>
    <row r="4859" spans="9:9" x14ac:dyDescent="0.3">
      <c r="I4859" s="101"/>
    </row>
    <row r="4860" spans="9:9" x14ac:dyDescent="0.3">
      <c r="I4860" s="101"/>
    </row>
    <row r="4861" spans="9:9" x14ac:dyDescent="0.3">
      <c r="I4861" s="101"/>
    </row>
    <row r="4862" spans="9:9" x14ac:dyDescent="0.3">
      <c r="I4862" s="101"/>
    </row>
    <row r="4863" spans="9:9" x14ac:dyDescent="0.3">
      <c r="I4863" s="101"/>
    </row>
    <row r="4864" spans="9:9" x14ac:dyDescent="0.3">
      <c r="I4864" s="101"/>
    </row>
    <row r="4865" spans="9:9" x14ac:dyDescent="0.3">
      <c r="I4865" s="101"/>
    </row>
    <row r="4866" spans="9:9" x14ac:dyDescent="0.3">
      <c r="I4866" s="101"/>
    </row>
    <row r="4867" spans="9:9" x14ac:dyDescent="0.3">
      <c r="I4867" s="101"/>
    </row>
    <row r="4868" spans="9:9" x14ac:dyDescent="0.3">
      <c r="I4868" s="101"/>
    </row>
    <row r="4869" spans="9:9" x14ac:dyDescent="0.3">
      <c r="I4869" s="101"/>
    </row>
    <row r="4870" spans="9:9" x14ac:dyDescent="0.3">
      <c r="I4870" s="101"/>
    </row>
    <row r="4871" spans="9:9" x14ac:dyDescent="0.3">
      <c r="I4871" s="101"/>
    </row>
    <row r="4872" spans="9:9" x14ac:dyDescent="0.3">
      <c r="I4872" s="101"/>
    </row>
    <row r="4873" spans="9:9" x14ac:dyDescent="0.3">
      <c r="I4873" s="101"/>
    </row>
    <row r="4874" spans="9:9" x14ac:dyDescent="0.3">
      <c r="I4874" s="101"/>
    </row>
    <row r="4875" spans="9:9" x14ac:dyDescent="0.3">
      <c r="I4875" s="101"/>
    </row>
    <row r="4876" spans="9:9" x14ac:dyDescent="0.3">
      <c r="I4876" s="101"/>
    </row>
    <row r="4877" spans="9:9" x14ac:dyDescent="0.3">
      <c r="I4877" s="101"/>
    </row>
    <row r="4878" spans="9:9" x14ac:dyDescent="0.3">
      <c r="I4878" s="101"/>
    </row>
    <row r="4879" spans="9:9" x14ac:dyDescent="0.3">
      <c r="I4879" s="101"/>
    </row>
    <row r="4880" spans="9:9" x14ac:dyDescent="0.3">
      <c r="I4880" s="101"/>
    </row>
    <row r="4881" spans="9:9" x14ac:dyDescent="0.3">
      <c r="I4881" s="101"/>
    </row>
    <row r="4882" spans="9:9" x14ac:dyDescent="0.3">
      <c r="I4882" s="101"/>
    </row>
    <row r="4883" spans="9:9" x14ac:dyDescent="0.3">
      <c r="I4883" s="101"/>
    </row>
    <row r="4884" spans="9:9" x14ac:dyDescent="0.3">
      <c r="I4884" s="101"/>
    </row>
    <row r="4885" spans="9:9" x14ac:dyDescent="0.3">
      <c r="I4885" s="101"/>
    </row>
    <row r="4886" spans="9:9" x14ac:dyDescent="0.3">
      <c r="I4886" s="101"/>
    </row>
    <row r="4887" spans="9:9" x14ac:dyDescent="0.3">
      <c r="I4887" s="101"/>
    </row>
    <row r="4888" spans="9:9" x14ac:dyDescent="0.3">
      <c r="I4888" s="101"/>
    </row>
    <row r="4889" spans="9:9" x14ac:dyDescent="0.3">
      <c r="I4889" s="101"/>
    </row>
    <row r="4890" spans="9:9" x14ac:dyDescent="0.3">
      <c r="I4890" s="101"/>
    </row>
    <row r="4891" spans="9:9" x14ac:dyDescent="0.3">
      <c r="I4891" s="101"/>
    </row>
    <row r="4892" spans="9:9" x14ac:dyDescent="0.3">
      <c r="I4892" s="101"/>
    </row>
    <row r="4893" spans="9:9" x14ac:dyDescent="0.3">
      <c r="I4893" s="101"/>
    </row>
    <row r="4894" spans="9:9" x14ac:dyDescent="0.3">
      <c r="I4894" s="101"/>
    </row>
    <row r="4895" spans="9:9" x14ac:dyDescent="0.3">
      <c r="I4895" s="101"/>
    </row>
    <row r="4896" spans="9:9" x14ac:dyDescent="0.3">
      <c r="I4896" s="101"/>
    </row>
    <row r="4897" spans="9:9" x14ac:dyDescent="0.3">
      <c r="I4897" s="101"/>
    </row>
    <row r="4898" spans="9:9" x14ac:dyDescent="0.3">
      <c r="I4898" s="101"/>
    </row>
    <row r="4899" spans="9:9" x14ac:dyDescent="0.3">
      <c r="I4899" s="101"/>
    </row>
    <row r="4900" spans="9:9" x14ac:dyDescent="0.3">
      <c r="I4900" s="101"/>
    </row>
    <row r="4901" spans="9:9" x14ac:dyDescent="0.3">
      <c r="I4901" s="101"/>
    </row>
    <row r="4902" spans="9:9" x14ac:dyDescent="0.3">
      <c r="I4902" s="101"/>
    </row>
    <row r="4903" spans="9:9" x14ac:dyDescent="0.3">
      <c r="I4903" s="101"/>
    </row>
    <row r="4904" spans="9:9" x14ac:dyDescent="0.3">
      <c r="I4904" s="101"/>
    </row>
    <row r="4905" spans="9:9" x14ac:dyDescent="0.3">
      <c r="I4905" s="101"/>
    </row>
    <row r="4906" spans="9:9" x14ac:dyDescent="0.3">
      <c r="I4906" s="101"/>
    </row>
    <row r="4907" spans="9:9" x14ac:dyDescent="0.3">
      <c r="I4907" s="101"/>
    </row>
    <row r="4908" spans="9:9" x14ac:dyDescent="0.3">
      <c r="I4908" s="101"/>
    </row>
    <row r="4909" spans="9:9" x14ac:dyDescent="0.3">
      <c r="I4909" s="101"/>
    </row>
    <row r="4910" spans="9:9" x14ac:dyDescent="0.3">
      <c r="I4910" s="101"/>
    </row>
    <row r="4911" spans="9:9" x14ac:dyDescent="0.3">
      <c r="I4911" s="101"/>
    </row>
    <row r="4912" spans="9:9" x14ac:dyDescent="0.3">
      <c r="I4912" s="101"/>
    </row>
    <row r="4913" spans="9:9" x14ac:dyDescent="0.3">
      <c r="I4913" s="101"/>
    </row>
    <row r="4914" spans="9:9" x14ac:dyDescent="0.3">
      <c r="I4914" s="101"/>
    </row>
    <row r="4915" spans="9:9" x14ac:dyDescent="0.3">
      <c r="I4915" s="101"/>
    </row>
    <row r="4916" spans="9:9" x14ac:dyDescent="0.3">
      <c r="I4916" s="101"/>
    </row>
    <row r="4917" spans="9:9" x14ac:dyDescent="0.3">
      <c r="I4917" s="101"/>
    </row>
    <row r="4918" spans="9:9" x14ac:dyDescent="0.3">
      <c r="I4918" s="101"/>
    </row>
    <row r="4919" spans="9:9" x14ac:dyDescent="0.3">
      <c r="I4919" s="101"/>
    </row>
    <row r="4920" spans="9:9" x14ac:dyDescent="0.3">
      <c r="I4920" s="101"/>
    </row>
    <row r="4921" spans="9:9" x14ac:dyDescent="0.3">
      <c r="I4921" s="101"/>
    </row>
    <row r="4922" spans="9:9" x14ac:dyDescent="0.3">
      <c r="I4922" s="101"/>
    </row>
    <row r="4923" spans="9:9" x14ac:dyDescent="0.3">
      <c r="I4923" s="101"/>
    </row>
    <row r="4924" spans="9:9" x14ac:dyDescent="0.3">
      <c r="I4924" s="101"/>
    </row>
    <row r="4925" spans="9:9" x14ac:dyDescent="0.3">
      <c r="I4925" s="101"/>
    </row>
    <row r="4926" spans="9:9" x14ac:dyDescent="0.3">
      <c r="I4926" s="101"/>
    </row>
    <row r="4927" spans="9:9" x14ac:dyDescent="0.3">
      <c r="I4927" s="101"/>
    </row>
    <row r="4928" spans="9:9" x14ac:dyDescent="0.3">
      <c r="I4928" s="101"/>
    </row>
    <row r="4929" spans="9:9" x14ac:dyDescent="0.3">
      <c r="I4929" s="101"/>
    </row>
    <row r="4930" spans="9:9" x14ac:dyDescent="0.3">
      <c r="I4930" s="101"/>
    </row>
    <row r="4931" spans="9:9" x14ac:dyDescent="0.3">
      <c r="I4931" s="101"/>
    </row>
    <row r="4932" spans="9:9" x14ac:dyDescent="0.3">
      <c r="I4932" s="101"/>
    </row>
    <row r="4933" spans="9:9" x14ac:dyDescent="0.3">
      <c r="I4933" s="101"/>
    </row>
    <row r="4934" spans="9:9" x14ac:dyDescent="0.3">
      <c r="I4934" s="101"/>
    </row>
    <row r="4935" spans="9:9" x14ac:dyDescent="0.3">
      <c r="I4935" s="101"/>
    </row>
    <row r="4936" spans="9:9" x14ac:dyDescent="0.3">
      <c r="I4936" s="101"/>
    </row>
    <row r="4937" spans="9:9" x14ac:dyDescent="0.3">
      <c r="I4937" s="101"/>
    </row>
    <row r="4938" spans="9:9" x14ac:dyDescent="0.3">
      <c r="I4938" s="101"/>
    </row>
    <row r="4939" spans="9:9" x14ac:dyDescent="0.3">
      <c r="I4939" s="101"/>
    </row>
    <row r="4940" spans="9:9" x14ac:dyDescent="0.3">
      <c r="I4940" s="101"/>
    </row>
    <row r="4941" spans="9:9" x14ac:dyDescent="0.3">
      <c r="I4941" s="101"/>
    </row>
    <row r="4942" spans="9:9" x14ac:dyDescent="0.3">
      <c r="I4942" s="101"/>
    </row>
    <row r="4943" spans="9:9" x14ac:dyDescent="0.3">
      <c r="I4943" s="101"/>
    </row>
    <row r="4944" spans="9:9" x14ac:dyDescent="0.3">
      <c r="I4944" s="101"/>
    </row>
    <row r="4945" spans="9:9" x14ac:dyDescent="0.3">
      <c r="I4945" s="101"/>
    </row>
    <row r="4946" spans="9:9" x14ac:dyDescent="0.3">
      <c r="I4946" s="101"/>
    </row>
    <row r="4947" spans="9:9" x14ac:dyDescent="0.3">
      <c r="I4947" s="101"/>
    </row>
    <row r="4948" spans="9:9" x14ac:dyDescent="0.3">
      <c r="I4948" s="101"/>
    </row>
    <row r="4949" spans="9:9" x14ac:dyDescent="0.3">
      <c r="I4949" s="101"/>
    </row>
    <row r="4950" spans="9:9" x14ac:dyDescent="0.3">
      <c r="I4950" s="101"/>
    </row>
    <row r="4951" spans="9:9" x14ac:dyDescent="0.3">
      <c r="I4951" s="101"/>
    </row>
    <row r="4952" spans="9:9" x14ac:dyDescent="0.3">
      <c r="I4952" s="101"/>
    </row>
    <row r="4953" spans="9:9" x14ac:dyDescent="0.3">
      <c r="I4953" s="101"/>
    </row>
    <row r="4954" spans="9:9" x14ac:dyDescent="0.3">
      <c r="I4954" s="101"/>
    </row>
    <row r="4955" spans="9:9" x14ac:dyDescent="0.3">
      <c r="I4955" s="101"/>
    </row>
    <row r="4956" spans="9:9" x14ac:dyDescent="0.3">
      <c r="I4956" s="101"/>
    </row>
    <row r="4957" spans="9:9" x14ac:dyDescent="0.3">
      <c r="I4957" s="101"/>
    </row>
    <row r="4958" spans="9:9" x14ac:dyDescent="0.3">
      <c r="I4958" s="101"/>
    </row>
    <row r="4959" spans="9:9" x14ac:dyDescent="0.3">
      <c r="I4959" s="101"/>
    </row>
    <row r="4960" spans="9:9" x14ac:dyDescent="0.3">
      <c r="I4960" s="101"/>
    </row>
    <row r="4961" spans="9:9" x14ac:dyDescent="0.3">
      <c r="I4961" s="101"/>
    </row>
    <row r="4962" spans="9:9" x14ac:dyDescent="0.3">
      <c r="I4962" s="101"/>
    </row>
    <row r="4963" spans="9:9" x14ac:dyDescent="0.3">
      <c r="I4963" s="101"/>
    </row>
    <row r="4964" spans="9:9" x14ac:dyDescent="0.3">
      <c r="I4964" s="101"/>
    </row>
    <row r="4965" spans="9:9" x14ac:dyDescent="0.3">
      <c r="I4965" s="101"/>
    </row>
    <row r="4966" spans="9:9" x14ac:dyDescent="0.3">
      <c r="I4966" s="101"/>
    </row>
    <row r="4967" spans="9:9" x14ac:dyDescent="0.3">
      <c r="I4967" s="101"/>
    </row>
    <row r="4968" spans="9:9" x14ac:dyDescent="0.3">
      <c r="I4968" s="101"/>
    </row>
    <row r="4969" spans="9:9" x14ac:dyDescent="0.3">
      <c r="I4969" s="101"/>
    </row>
    <row r="4970" spans="9:9" x14ac:dyDescent="0.3">
      <c r="I4970" s="101"/>
    </row>
    <row r="4971" spans="9:9" x14ac:dyDescent="0.3">
      <c r="I4971" s="101"/>
    </row>
    <row r="4972" spans="9:9" x14ac:dyDescent="0.3">
      <c r="I4972" s="101"/>
    </row>
    <row r="4973" spans="9:9" x14ac:dyDescent="0.3">
      <c r="I4973" s="101"/>
    </row>
    <row r="4974" spans="9:9" x14ac:dyDescent="0.3">
      <c r="I4974" s="101"/>
    </row>
    <row r="4975" spans="9:9" x14ac:dyDescent="0.3">
      <c r="I4975" s="101"/>
    </row>
    <row r="4976" spans="9:9" x14ac:dyDescent="0.3">
      <c r="I4976" s="101"/>
    </row>
    <row r="4977" spans="9:9" x14ac:dyDescent="0.3">
      <c r="I4977" s="101"/>
    </row>
    <row r="4978" spans="9:9" x14ac:dyDescent="0.3">
      <c r="I4978" s="101"/>
    </row>
    <row r="4979" spans="9:9" x14ac:dyDescent="0.3">
      <c r="I4979" s="101"/>
    </row>
    <row r="4980" spans="9:9" x14ac:dyDescent="0.3">
      <c r="I4980" s="101"/>
    </row>
    <row r="4981" spans="9:9" x14ac:dyDescent="0.3">
      <c r="I4981" s="101"/>
    </row>
    <row r="4982" spans="9:9" x14ac:dyDescent="0.3">
      <c r="I4982" s="101"/>
    </row>
    <row r="4983" spans="9:9" x14ac:dyDescent="0.3">
      <c r="I4983" s="101"/>
    </row>
    <row r="4984" spans="9:9" x14ac:dyDescent="0.3">
      <c r="I4984" s="101"/>
    </row>
    <row r="4985" spans="9:9" x14ac:dyDescent="0.3">
      <c r="I4985" s="101"/>
    </row>
    <row r="4986" spans="9:9" x14ac:dyDescent="0.3">
      <c r="I4986" s="101"/>
    </row>
    <row r="4987" spans="9:9" x14ac:dyDescent="0.3">
      <c r="I4987" s="101"/>
    </row>
    <row r="4988" spans="9:9" x14ac:dyDescent="0.3">
      <c r="I4988" s="101"/>
    </row>
    <row r="4989" spans="9:9" x14ac:dyDescent="0.3">
      <c r="I4989" s="101"/>
    </row>
    <row r="4990" spans="9:9" x14ac:dyDescent="0.3">
      <c r="I4990" s="101"/>
    </row>
    <row r="4991" spans="9:9" x14ac:dyDescent="0.3">
      <c r="I4991" s="101"/>
    </row>
    <row r="4992" spans="9:9" x14ac:dyDescent="0.3">
      <c r="I4992" s="101"/>
    </row>
    <row r="4993" spans="9:9" x14ac:dyDescent="0.3">
      <c r="I4993" s="101"/>
    </row>
    <row r="4994" spans="9:9" x14ac:dyDescent="0.3">
      <c r="I4994" s="101"/>
    </row>
    <row r="4995" spans="9:9" x14ac:dyDescent="0.3">
      <c r="I4995" s="101"/>
    </row>
    <row r="4996" spans="9:9" x14ac:dyDescent="0.3">
      <c r="I4996" s="101"/>
    </row>
    <row r="4997" spans="9:9" x14ac:dyDescent="0.3">
      <c r="I4997" s="101"/>
    </row>
    <row r="4998" spans="9:9" x14ac:dyDescent="0.3">
      <c r="I4998" s="101"/>
    </row>
    <row r="4999" spans="9:9" x14ac:dyDescent="0.3">
      <c r="I4999" s="101"/>
    </row>
    <row r="5000" spans="9:9" x14ac:dyDescent="0.3">
      <c r="I5000" s="101"/>
    </row>
    <row r="5001" spans="9:9" x14ac:dyDescent="0.3">
      <c r="I5001" s="101"/>
    </row>
    <row r="5002" spans="9:9" x14ac:dyDescent="0.3">
      <c r="I5002" s="101"/>
    </row>
    <row r="5003" spans="9:9" x14ac:dyDescent="0.3">
      <c r="I5003" s="101"/>
    </row>
    <row r="5004" spans="9:9" x14ac:dyDescent="0.3">
      <c r="I5004" s="101"/>
    </row>
    <row r="5005" spans="9:9" x14ac:dyDescent="0.3">
      <c r="I5005" s="101"/>
    </row>
    <row r="5006" spans="9:9" x14ac:dyDescent="0.3">
      <c r="I5006" s="101"/>
    </row>
    <row r="5007" spans="9:9" x14ac:dyDescent="0.3">
      <c r="I5007" s="101"/>
    </row>
    <row r="5008" spans="9:9" x14ac:dyDescent="0.3">
      <c r="I5008" s="101"/>
    </row>
    <row r="5009" spans="9:9" x14ac:dyDescent="0.3">
      <c r="I5009" s="101"/>
    </row>
    <row r="5010" spans="9:9" x14ac:dyDescent="0.3">
      <c r="I5010" s="101"/>
    </row>
    <row r="5011" spans="9:9" x14ac:dyDescent="0.3">
      <c r="I5011" s="101"/>
    </row>
    <row r="5012" spans="9:9" x14ac:dyDescent="0.3">
      <c r="I5012" s="101"/>
    </row>
    <row r="5013" spans="9:9" x14ac:dyDescent="0.3">
      <c r="I5013" s="101"/>
    </row>
    <row r="5014" spans="9:9" x14ac:dyDescent="0.3">
      <c r="I5014" s="101"/>
    </row>
    <row r="5015" spans="9:9" x14ac:dyDescent="0.3">
      <c r="I5015" s="101"/>
    </row>
    <row r="5016" spans="9:9" x14ac:dyDescent="0.3">
      <c r="I5016" s="101"/>
    </row>
    <row r="5017" spans="9:9" x14ac:dyDescent="0.3">
      <c r="I5017" s="101"/>
    </row>
    <row r="5018" spans="9:9" x14ac:dyDescent="0.3">
      <c r="I5018" s="101"/>
    </row>
    <row r="5019" spans="9:9" x14ac:dyDescent="0.3">
      <c r="I5019" s="101"/>
    </row>
    <row r="5020" spans="9:9" x14ac:dyDescent="0.3">
      <c r="I5020" s="101"/>
    </row>
    <row r="5021" spans="9:9" x14ac:dyDescent="0.3">
      <c r="I5021" s="101"/>
    </row>
    <row r="5022" spans="9:9" x14ac:dyDescent="0.3">
      <c r="I5022" s="101"/>
    </row>
    <row r="5023" spans="9:9" x14ac:dyDescent="0.3">
      <c r="I5023" s="101"/>
    </row>
    <row r="5024" spans="9:9" x14ac:dyDescent="0.3">
      <c r="I5024" s="101"/>
    </row>
    <row r="5025" spans="9:9" x14ac:dyDescent="0.3">
      <c r="I5025" s="101"/>
    </row>
    <row r="5026" spans="9:9" x14ac:dyDescent="0.3">
      <c r="I5026" s="101"/>
    </row>
    <row r="5027" spans="9:9" x14ac:dyDescent="0.3">
      <c r="I5027" s="101"/>
    </row>
    <row r="5028" spans="9:9" x14ac:dyDescent="0.3">
      <c r="I5028" s="101"/>
    </row>
    <row r="5029" spans="9:9" x14ac:dyDescent="0.3">
      <c r="I5029" s="101"/>
    </row>
    <row r="5030" spans="9:9" x14ac:dyDescent="0.3">
      <c r="I5030" s="101"/>
    </row>
    <row r="5031" spans="9:9" x14ac:dyDescent="0.3">
      <c r="I5031" s="101"/>
    </row>
    <row r="5032" spans="9:9" x14ac:dyDescent="0.3">
      <c r="I5032" s="101"/>
    </row>
    <row r="5033" spans="9:9" x14ac:dyDescent="0.3">
      <c r="I5033" s="101"/>
    </row>
    <row r="5034" spans="9:9" x14ac:dyDescent="0.3">
      <c r="I5034" s="101"/>
    </row>
    <row r="5035" spans="9:9" x14ac:dyDescent="0.3">
      <c r="I5035" s="101"/>
    </row>
    <row r="5036" spans="9:9" x14ac:dyDescent="0.3">
      <c r="I5036" s="101"/>
    </row>
    <row r="5037" spans="9:9" x14ac:dyDescent="0.3">
      <c r="I5037" s="101"/>
    </row>
    <row r="5038" spans="9:9" x14ac:dyDescent="0.3">
      <c r="I5038" s="101"/>
    </row>
    <row r="5039" spans="9:9" x14ac:dyDescent="0.3">
      <c r="I5039" s="101"/>
    </row>
    <row r="5040" spans="9:9" x14ac:dyDescent="0.3">
      <c r="I5040" s="101"/>
    </row>
    <row r="5041" spans="9:9" x14ac:dyDescent="0.3">
      <c r="I5041" s="101"/>
    </row>
    <row r="5042" spans="9:9" x14ac:dyDescent="0.3">
      <c r="I5042" s="101"/>
    </row>
    <row r="5043" spans="9:9" x14ac:dyDescent="0.3">
      <c r="I5043" s="101"/>
    </row>
    <row r="5044" spans="9:9" x14ac:dyDescent="0.3">
      <c r="I5044" s="101"/>
    </row>
    <row r="5045" spans="9:9" x14ac:dyDescent="0.3">
      <c r="I5045" s="101"/>
    </row>
    <row r="5046" spans="9:9" x14ac:dyDescent="0.3">
      <c r="I5046" s="101"/>
    </row>
    <row r="5047" spans="9:9" x14ac:dyDescent="0.3">
      <c r="I5047" s="101"/>
    </row>
    <row r="5048" spans="9:9" x14ac:dyDescent="0.3">
      <c r="I5048" s="101"/>
    </row>
    <row r="5049" spans="9:9" x14ac:dyDescent="0.3">
      <c r="I5049" s="101"/>
    </row>
    <row r="5050" spans="9:9" x14ac:dyDescent="0.3">
      <c r="I5050" s="101"/>
    </row>
    <row r="5051" spans="9:9" x14ac:dyDescent="0.3">
      <c r="I5051" s="101"/>
    </row>
    <row r="5052" spans="9:9" x14ac:dyDescent="0.3">
      <c r="I5052" s="101"/>
    </row>
    <row r="5053" spans="9:9" x14ac:dyDescent="0.3">
      <c r="I5053" s="101"/>
    </row>
    <row r="5054" spans="9:9" x14ac:dyDescent="0.3">
      <c r="I5054" s="101"/>
    </row>
    <row r="5055" spans="9:9" x14ac:dyDescent="0.3">
      <c r="I5055" s="101"/>
    </row>
    <row r="5056" spans="9:9" x14ac:dyDescent="0.3">
      <c r="I5056" s="101"/>
    </row>
    <row r="5057" spans="9:9" x14ac:dyDescent="0.3">
      <c r="I5057" s="101"/>
    </row>
    <row r="5058" spans="9:9" x14ac:dyDescent="0.3">
      <c r="I5058" s="101"/>
    </row>
    <row r="5059" spans="9:9" x14ac:dyDescent="0.3">
      <c r="I5059" s="101"/>
    </row>
    <row r="5060" spans="9:9" x14ac:dyDescent="0.3">
      <c r="I5060" s="101"/>
    </row>
    <row r="5061" spans="9:9" x14ac:dyDescent="0.3">
      <c r="I5061" s="101"/>
    </row>
    <row r="5062" spans="9:9" x14ac:dyDescent="0.3">
      <c r="I5062" s="101"/>
    </row>
    <row r="5063" spans="9:9" x14ac:dyDescent="0.3">
      <c r="I5063" s="101"/>
    </row>
    <row r="5064" spans="9:9" x14ac:dyDescent="0.3">
      <c r="I5064" s="101"/>
    </row>
    <row r="5065" spans="9:9" x14ac:dyDescent="0.3">
      <c r="I5065" s="101"/>
    </row>
    <row r="5066" spans="9:9" x14ac:dyDescent="0.3">
      <c r="I5066" s="101"/>
    </row>
    <row r="5067" spans="9:9" x14ac:dyDescent="0.3">
      <c r="I5067" s="101"/>
    </row>
    <row r="5068" spans="9:9" x14ac:dyDescent="0.3">
      <c r="I5068" s="101"/>
    </row>
    <row r="5069" spans="9:9" x14ac:dyDescent="0.3">
      <c r="I5069" s="101"/>
    </row>
    <row r="5070" spans="9:9" x14ac:dyDescent="0.3">
      <c r="I5070" s="101"/>
    </row>
    <row r="5071" spans="9:9" x14ac:dyDescent="0.3">
      <c r="I5071" s="101"/>
    </row>
    <row r="5072" spans="9:9" x14ac:dyDescent="0.3">
      <c r="I5072" s="101"/>
    </row>
    <row r="5073" spans="9:9" x14ac:dyDescent="0.3">
      <c r="I5073" s="101"/>
    </row>
    <row r="5074" spans="9:9" x14ac:dyDescent="0.3">
      <c r="I5074" s="101"/>
    </row>
    <row r="5075" spans="9:9" x14ac:dyDescent="0.3">
      <c r="I5075" s="101"/>
    </row>
    <row r="5076" spans="9:9" x14ac:dyDescent="0.3">
      <c r="I5076" s="101"/>
    </row>
    <row r="5077" spans="9:9" x14ac:dyDescent="0.3">
      <c r="I5077" s="101"/>
    </row>
    <row r="5078" spans="9:9" x14ac:dyDescent="0.3">
      <c r="I5078" s="101"/>
    </row>
    <row r="5079" spans="9:9" x14ac:dyDescent="0.3">
      <c r="I5079" s="101"/>
    </row>
    <row r="5080" spans="9:9" x14ac:dyDescent="0.3">
      <c r="I5080" s="101"/>
    </row>
    <row r="5081" spans="9:9" x14ac:dyDescent="0.3">
      <c r="I5081" s="101"/>
    </row>
    <row r="5082" spans="9:9" x14ac:dyDescent="0.3">
      <c r="I5082" s="101"/>
    </row>
    <row r="5083" spans="9:9" x14ac:dyDescent="0.3">
      <c r="I5083" s="101"/>
    </row>
    <row r="5084" spans="9:9" x14ac:dyDescent="0.3">
      <c r="I5084" s="101"/>
    </row>
    <row r="5085" spans="9:9" x14ac:dyDescent="0.3">
      <c r="I5085" s="101"/>
    </row>
    <row r="5086" spans="9:9" x14ac:dyDescent="0.3">
      <c r="I5086" s="101"/>
    </row>
    <row r="5087" spans="9:9" x14ac:dyDescent="0.3">
      <c r="I5087" s="101"/>
    </row>
    <row r="5088" spans="9:9" x14ac:dyDescent="0.3">
      <c r="I5088" s="101"/>
    </row>
    <row r="5089" spans="9:9" x14ac:dyDescent="0.3">
      <c r="I5089" s="101"/>
    </row>
    <row r="5090" spans="9:9" x14ac:dyDescent="0.3">
      <c r="I5090" s="101"/>
    </row>
    <row r="5091" spans="9:9" x14ac:dyDescent="0.3">
      <c r="I5091" s="101"/>
    </row>
    <row r="5092" spans="9:9" x14ac:dyDescent="0.3">
      <c r="I5092" s="101"/>
    </row>
    <row r="5093" spans="9:9" x14ac:dyDescent="0.3">
      <c r="I5093" s="101"/>
    </row>
    <row r="5094" spans="9:9" x14ac:dyDescent="0.3">
      <c r="I5094" s="101"/>
    </row>
    <row r="5095" spans="9:9" x14ac:dyDescent="0.3">
      <c r="I5095" s="101"/>
    </row>
    <row r="5096" spans="9:9" x14ac:dyDescent="0.3">
      <c r="I5096" s="101"/>
    </row>
    <row r="5097" spans="9:9" x14ac:dyDescent="0.3">
      <c r="I5097" s="101"/>
    </row>
    <row r="5098" spans="9:9" x14ac:dyDescent="0.3">
      <c r="I5098" s="101"/>
    </row>
    <row r="5099" spans="9:9" x14ac:dyDescent="0.3">
      <c r="I5099" s="101"/>
    </row>
    <row r="5100" spans="9:9" x14ac:dyDescent="0.3">
      <c r="I5100" s="101"/>
    </row>
    <row r="5101" spans="9:9" x14ac:dyDescent="0.3">
      <c r="I5101" s="101"/>
    </row>
    <row r="5102" spans="9:9" x14ac:dyDescent="0.3">
      <c r="I5102" s="101"/>
    </row>
    <row r="5103" spans="9:9" x14ac:dyDescent="0.3">
      <c r="I5103" s="101"/>
    </row>
    <row r="5104" spans="9:9" x14ac:dyDescent="0.3">
      <c r="I5104" s="101"/>
    </row>
    <row r="5105" spans="9:9" x14ac:dyDescent="0.3">
      <c r="I5105" s="101"/>
    </row>
    <row r="5106" spans="9:9" x14ac:dyDescent="0.3">
      <c r="I5106" s="101"/>
    </row>
    <row r="5107" spans="9:9" x14ac:dyDescent="0.3">
      <c r="I5107" s="101"/>
    </row>
    <row r="5108" spans="9:9" x14ac:dyDescent="0.3">
      <c r="I5108" s="101"/>
    </row>
    <row r="5109" spans="9:9" x14ac:dyDescent="0.3">
      <c r="I5109" s="101"/>
    </row>
    <row r="5110" spans="9:9" x14ac:dyDescent="0.3">
      <c r="I5110" s="101"/>
    </row>
    <row r="5111" spans="9:9" x14ac:dyDescent="0.3">
      <c r="I5111" s="101"/>
    </row>
    <row r="5112" spans="9:9" x14ac:dyDescent="0.3">
      <c r="I5112" s="101"/>
    </row>
    <row r="5113" spans="9:9" x14ac:dyDescent="0.3">
      <c r="I5113" s="101"/>
    </row>
    <row r="5114" spans="9:9" x14ac:dyDescent="0.3">
      <c r="I5114" s="101"/>
    </row>
    <row r="5115" spans="9:9" x14ac:dyDescent="0.3">
      <c r="I5115" s="101"/>
    </row>
    <row r="5116" spans="9:9" x14ac:dyDescent="0.3">
      <c r="I5116" s="101"/>
    </row>
    <row r="5117" spans="9:9" x14ac:dyDescent="0.3">
      <c r="I5117" s="101"/>
    </row>
    <row r="5118" spans="9:9" x14ac:dyDescent="0.3">
      <c r="I5118" s="101"/>
    </row>
    <row r="5119" spans="9:9" x14ac:dyDescent="0.3">
      <c r="I5119" s="101"/>
    </row>
    <row r="5120" spans="9:9" x14ac:dyDescent="0.3">
      <c r="I5120" s="101"/>
    </row>
    <row r="5121" spans="9:9" x14ac:dyDescent="0.3">
      <c r="I5121" s="101"/>
    </row>
    <row r="5122" spans="9:9" x14ac:dyDescent="0.3">
      <c r="I5122" s="101"/>
    </row>
    <row r="5123" spans="9:9" x14ac:dyDescent="0.3">
      <c r="I5123" s="101"/>
    </row>
    <row r="5124" spans="9:9" x14ac:dyDescent="0.3">
      <c r="I5124" s="101"/>
    </row>
    <row r="5125" spans="9:9" x14ac:dyDescent="0.3">
      <c r="I5125" s="101"/>
    </row>
    <row r="5126" spans="9:9" x14ac:dyDescent="0.3">
      <c r="I5126" s="101"/>
    </row>
    <row r="5127" spans="9:9" x14ac:dyDescent="0.3">
      <c r="I5127" s="101"/>
    </row>
    <row r="5128" spans="9:9" x14ac:dyDescent="0.3">
      <c r="I5128" s="101"/>
    </row>
    <row r="5129" spans="9:9" x14ac:dyDescent="0.3">
      <c r="I5129" s="101"/>
    </row>
    <row r="5130" spans="9:9" x14ac:dyDescent="0.3">
      <c r="I5130" s="101"/>
    </row>
    <row r="5131" spans="9:9" x14ac:dyDescent="0.3">
      <c r="I5131" s="101"/>
    </row>
    <row r="5132" spans="9:9" x14ac:dyDescent="0.3">
      <c r="I5132" s="101"/>
    </row>
    <row r="5133" spans="9:9" x14ac:dyDescent="0.3">
      <c r="I5133" s="101"/>
    </row>
    <row r="5134" spans="9:9" x14ac:dyDescent="0.3">
      <c r="I5134" s="101"/>
    </row>
    <row r="5135" spans="9:9" x14ac:dyDescent="0.3">
      <c r="I5135" s="101"/>
    </row>
    <row r="5136" spans="9:9" x14ac:dyDescent="0.3">
      <c r="I5136" s="101"/>
    </row>
    <row r="5137" spans="9:9" x14ac:dyDescent="0.3">
      <c r="I5137" s="101"/>
    </row>
    <row r="5138" spans="9:9" x14ac:dyDescent="0.3">
      <c r="I5138" s="101"/>
    </row>
    <row r="5139" spans="9:9" x14ac:dyDescent="0.3">
      <c r="I5139" s="101"/>
    </row>
    <row r="5140" spans="9:9" x14ac:dyDescent="0.3">
      <c r="I5140" s="101"/>
    </row>
    <row r="5141" spans="9:9" x14ac:dyDescent="0.3">
      <c r="I5141" s="101"/>
    </row>
    <row r="5142" spans="9:9" x14ac:dyDescent="0.3">
      <c r="I5142" s="101"/>
    </row>
    <row r="5143" spans="9:9" x14ac:dyDescent="0.3">
      <c r="I5143" s="101"/>
    </row>
    <row r="5144" spans="9:9" x14ac:dyDescent="0.3">
      <c r="I5144" s="101"/>
    </row>
    <row r="5145" spans="9:9" x14ac:dyDescent="0.3">
      <c r="I5145" s="101"/>
    </row>
    <row r="5146" spans="9:9" x14ac:dyDescent="0.3">
      <c r="I5146" s="101"/>
    </row>
    <row r="5147" spans="9:9" x14ac:dyDescent="0.3">
      <c r="I5147" s="101"/>
    </row>
    <row r="5148" spans="9:9" x14ac:dyDescent="0.3">
      <c r="I5148" s="101"/>
    </row>
    <row r="5149" spans="9:9" x14ac:dyDescent="0.3">
      <c r="I5149" s="101"/>
    </row>
    <row r="5150" spans="9:9" x14ac:dyDescent="0.3">
      <c r="I5150" s="101"/>
    </row>
    <row r="5151" spans="9:9" x14ac:dyDescent="0.3">
      <c r="I5151" s="101"/>
    </row>
    <row r="5152" spans="9:9" x14ac:dyDescent="0.3">
      <c r="I5152" s="101"/>
    </row>
    <row r="5153" spans="9:9" x14ac:dyDescent="0.3">
      <c r="I5153" s="101"/>
    </row>
    <row r="5154" spans="9:9" x14ac:dyDescent="0.3">
      <c r="I5154" s="101"/>
    </row>
    <row r="5155" spans="9:9" x14ac:dyDescent="0.3">
      <c r="I5155" s="101"/>
    </row>
    <row r="5156" spans="9:9" x14ac:dyDescent="0.3">
      <c r="I5156" s="101"/>
    </row>
    <row r="5157" spans="9:9" x14ac:dyDescent="0.3">
      <c r="I5157" s="101"/>
    </row>
    <row r="5158" spans="9:9" x14ac:dyDescent="0.3">
      <c r="I5158" s="101"/>
    </row>
    <row r="5159" spans="9:9" x14ac:dyDescent="0.3">
      <c r="I5159" s="101"/>
    </row>
    <row r="5160" spans="9:9" x14ac:dyDescent="0.3">
      <c r="I5160" s="101"/>
    </row>
    <row r="5161" spans="9:9" x14ac:dyDescent="0.3">
      <c r="I5161" s="101"/>
    </row>
    <row r="5162" spans="9:9" x14ac:dyDescent="0.3">
      <c r="I5162" s="101"/>
    </row>
    <row r="5163" spans="9:9" x14ac:dyDescent="0.3">
      <c r="I5163" s="101"/>
    </row>
    <row r="5164" spans="9:9" x14ac:dyDescent="0.3">
      <c r="I5164" s="101"/>
    </row>
    <row r="5165" spans="9:9" x14ac:dyDescent="0.3">
      <c r="I5165" s="101"/>
    </row>
    <row r="5166" spans="9:9" x14ac:dyDescent="0.3">
      <c r="I5166" s="101"/>
    </row>
    <row r="5167" spans="9:9" x14ac:dyDescent="0.3">
      <c r="I5167" s="101"/>
    </row>
    <row r="5168" spans="9:9" x14ac:dyDescent="0.3">
      <c r="I5168" s="101"/>
    </row>
    <row r="5169" spans="9:9" x14ac:dyDescent="0.3">
      <c r="I5169" s="101"/>
    </row>
    <row r="5170" spans="9:9" x14ac:dyDescent="0.3">
      <c r="I5170" s="101"/>
    </row>
    <row r="5171" spans="9:9" x14ac:dyDescent="0.3">
      <c r="I5171" s="101"/>
    </row>
    <row r="5172" spans="9:9" x14ac:dyDescent="0.3">
      <c r="I5172" s="101"/>
    </row>
    <row r="5173" spans="9:9" x14ac:dyDescent="0.3">
      <c r="I5173" s="101"/>
    </row>
    <row r="5174" spans="9:9" x14ac:dyDescent="0.3">
      <c r="I5174" s="101"/>
    </row>
    <row r="5175" spans="9:9" x14ac:dyDescent="0.3">
      <c r="I5175" s="101"/>
    </row>
    <row r="5176" spans="9:9" x14ac:dyDescent="0.3">
      <c r="I5176" s="101"/>
    </row>
    <row r="5177" spans="9:9" x14ac:dyDescent="0.3">
      <c r="I5177" s="101"/>
    </row>
    <row r="5178" spans="9:9" x14ac:dyDescent="0.3">
      <c r="I5178" s="101"/>
    </row>
    <row r="5179" spans="9:9" x14ac:dyDescent="0.3">
      <c r="I5179" s="101"/>
    </row>
    <row r="5180" spans="9:9" x14ac:dyDescent="0.3">
      <c r="I5180" s="101"/>
    </row>
    <row r="5181" spans="9:9" x14ac:dyDescent="0.3">
      <c r="I5181" s="101"/>
    </row>
    <row r="5182" spans="9:9" x14ac:dyDescent="0.3">
      <c r="I5182" s="101"/>
    </row>
    <row r="5183" spans="9:9" x14ac:dyDescent="0.3">
      <c r="I5183" s="101"/>
    </row>
    <row r="5184" spans="9:9" x14ac:dyDescent="0.3">
      <c r="I5184" s="101"/>
    </row>
    <row r="5185" spans="9:9" x14ac:dyDescent="0.3">
      <c r="I5185" s="101"/>
    </row>
    <row r="5186" spans="9:9" x14ac:dyDescent="0.3">
      <c r="I5186" s="101"/>
    </row>
    <row r="5187" spans="9:9" x14ac:dyDescent="0.3">
      <c r="I5187" s="101"/>
    </row>
    <row r="5188" spans="9:9" x14ac:dyDescent="0.3">
      <c r="I5188" s="101"/>
    </row>
    <row r="5189" spans="9:9" x14ac:dyDescent="0.3">
      <c r="I5189" s="101"/>
    </row>
    <row r="5190" spans="9:9" x14ac:dyDescent="0.3">
      <c r="I5190" s="101"/>
    </row>
    <row r="5191" spans="9:9" x14ac:dyDescent="0.3">
      <c r="I5191" s="101"/>
    </row>
    <row r="5192" spans="9:9" x14ac:dyDescent="0.3">
      <c r="I5192" s="101"/>
    </row>
    <row r="5193" spans="9:9" x14ac:dyDescent="0.3">
      <c r="I5193" s="101"/>
    </row>
    <row r="5194" spans="9:9" x14ac:dyDescent="0.3">
      <c r="I5194" s="101"/>
    </row>
    <row r="5195" spans="9:9" x14ac:dyDescent="0.3">
      <c r="I5195" s="101"/>
    </row>
    <row r="5196" spans="9:9" x14ac:dyDescent="0.3">
      <c r="I5196" s="101"/>
    </row>
    <row r="5197" spans="9:9" x14ac:dyDescent="0.3">
      <c r="I5197" s="101"/>
    </row>
    <row r="5198" spans="9:9" x14ac:dyDescent="0.3">
      <c r="I5198" s="101"/>
    </row>
    <row r="5199" spans="9:9" x14ac:dyDescent="0.3">
      <c r="I5199" s="101"/>
    </row>
    <row r="5200" spans="9:9" x14ac:dyDescent="0.3">
      <c r="I5200" s="101"/>
    </row>
    <row r="5201" spans="9:9" x14ac:dyDescent="0.3">
      <c r="I5201" s="101"/>
    </row>
    <row r="5202" spans="9:9" x14ac:dyDescent="0.3">
      <c r="I5202" s="101"/>
    </row>
    <row r="5203" spans="9:9" x14ac:dyDescent="0.3">
      <c r="I5203" s="101"/>
    </row>
    <row r="5204" spans="9:9" x14ac:dyDescent="0.3">
      <c r="I5204" s="101"/>
    </row>
    <row r="5205" spans="9:9" x14ac:dyDescent="0.3">
      <c r="I5205" s="101"/>
    </row>
    <row r="5206" spans="9:9" x14ac:dyDescent="0.3">
      <c r="I5206" s="101"/>
    </row>
    <row r="5207" spans="9:9" x14ac:dyDescent="0.3">
      <c r="I5207" s="101"/>
    </row>
    <row r="5208" spans="9:9" x14ac:dyDescent="0.3">
      <c r="I5208" s="101"/>
    </row>
    <row r="5209" spans="9:9" x14ac:dyDescent="0.3">
      <c r="I5209" s="101"/>
    </row>
    <row r="5210" spans="9:9" x14ac:dyDescent="0.3">
      <c r="I5210" s="101"/>
    </row>
    <row r="5211" spans="9:9" x14ac:dyDescent="0.3">
      <c r="I5211" s="101"/>
    </row>
    <row r="5212" spans="9:9" x14ac:dyDescent="0.3">
      <c r="I5212" s="101"/>
    </row>
    <row r="5213" spans="9:9" x14ac:dyDescent="0.3">
      <c r="I5213" s="101"/>
    </row>
    <row r="5214" spans="9:9" x14ac:dyDescent="0.3">
      <c r="I5214" s="101"/>
    </row>
    <row r="5215" spans="9:9" x14ac:dyDescent="0.3">
      <c r="I5215" s="101"/>
    </row>
    <row r="5216" spans="9:9" x14ac:dyDescent="0.3">
      <c r="I5216" s="101"/>
    </row>
    <row r="5217" spans="9:9" x14ac:dyDescent="0.3">
      <c r="I5217" s="101"/>
    </row>
    <row r="5218" spans="9:9" x14ac:dyDescent="0.3">
      <c r="I5218" s="101"/>
    </row>
    <row r="5219" spans="9:9" x14ac:dyDescent="0.3">
      <c r="I5219" s="101"/>
    </row>
    <row r="5220" spans="9:9" x14ac:dyDescent="0.3">
      <c r="I5220" s="101"/>
    </row>
    <row r="5221" spans="9:9" x14ac:dyDescent="0.3">
      <c r="I5221" s="101"/>
    </row>
    <row r="5222" spans="9:9" x14ac:dyDescent="0.3">
      <c r="I5222" s="101"/>
    </row>
    <row r="5223" spans="9:9" x14ac:dyDescent="0.3">
      <c r="I5223" s="101"/>
    </row>
    <row r="5224" spans="9:9" x14ac:dyDescent="0.3">
      <c r="I5224" s="101"/>
    </row>
    <row r="5225" spans="9:9" x14ac:dyDescent="0.3">
      <c r="I5225" s="101"/>
    </row>
    <row r="5226" spans="9:9" x14ac:dyDescent="0.3">
      <c r="I5226" s="101"/>
    </row>
    <row r="5227" spans="9:9" x14ac:dyDescent="0.3">
      <c r="I5227" s="101"/>
    </row>
    <row r="5228" spans="9:9" x14ac:dyDescent="0.3">
      <c r="I5228" s="101"/>
    </row>
    <row r="5229" spans="9:9" x14ac:dyDescent="0.3">
      <c r="I5229" s="101"/>
    </row>
    <row r="5230" spans="9:9" x14ac:dyDescent="0.3">
      <c r="I5230" s="101"/>
    </row>
    <row r="5231" spans="9:9" x14ac:dyDescent="0.3">
      <c r="I5231" s="101"/>
    </row>
    <row r="5232" spans="9:9" x14ac:dyDescent="0.3">
      <c r="I5232" s="101"/>
    </row>
    <row r="5233" spans="9:9" x14ac:dyDescent="0.3">
      <c r="I5233" s="101"/>
    </row>
    <row r="5234" spans="9:9" x14ac:dyDescent="0.3">
      <c r="I5234" s="101"/>
    </row>
    <row r="5235" spans="9:9" x14ac:dyDescent="0.3">
      <c r="I5235" s="101"/>
    </row>
    <row r="5236" spans="9:9" x14ac:dyDescent="0.3">
      <c r="I5236" s="101"/>
    </row>
    <row r="5237" spans="9:9" x14ac:dyDescent="0.3">
      <c r="I5237" s="101"/>
    </row>
    <row r="5238" spans="9:9" x14ac:dyDescent="0.3">
      <c r="I5238" s="101"/>
    </row>
    <row r="5239" spans="9:9" x14ac:dyDescent="0.3">
      <c r="I5239" s="101"/>
    </row>
    <row r="5240" spans="9:9" x14ac:dyDescent="0.3">
      <c r="I5240" s="101"/>
    </row>
    <row r="5241" spans="9:9" x14ac:dyDescent="0.3">
      <c r="I5241" s="101"/>
    </row>
    <row r="5242" spans="9:9" x14ac:dyDescent="0.3">
      <c r="I5242" s="101"/>
    </row>
    <row r="5243" spans="9:9" x14ac:dyDescent="0.3">
      <c r="I5243" s="101"/>
    </row>
    <row r="5244" spans="9:9" x14ac:dyDescent="0.3">
      <c r="I5244" s="101"/>
    </row>
    <row r="5245" spans="9:9" x14ac:dyDescent="0.3">
      <c r="I5245" s="101"/>
    </row>
    <row r="5246" spans="9:9" x14ac:dyDescent="0.3">
      <c r="I5246" s="101"/>
    </row>
    <row r="5247" spans="9:9" x14ac:dyDescent="0.3">
      <c r="I5247" s="101"/>
    </row>
    <row r="5248" spans="9:9" x14ac:dyDescent="0.3">
      <c r="I5248" s="101"/>
    </row>
    <row r="5249" spans="9:9" x14ac:dyDescent="0.3">
      <c r="I5249" s="101"/>
    </row>
    <row r="5250" spans="9:9" x14ac:dyDescent="0.3">
      <c r="I5250" s="101"/>
    </row>
    <row r="5251" spans="9:9" x14ac:dyDescent="0.3">
      <c r="I5251" s="101"/>
    </row>
    <row r="5252" spans="9:9" x14ac:dyDescent="0.3">
      <c r="I5252" s="101"/>
    </row>
    <row r="5253" spans="9:9" x14ac:dyDescent="0.3">
      <c r="I5253" s="101"/>
    </row>
    <row r="5254" spans="9:9" x14ac:dyDescent="0.3">
      <c r="I5254" s="101"/>
    </row>
    <row r="5255" spans="9:9" x14ac:dyDescent="0.3">
      <c r="I5255" s="101"/>
    </row>
    <row r="5256" spans="9:9" x14ac:dyDescent="0.3">
      <c r="I5256" s="101"/>
    </row>
    <row r="5257" spans="9:9" x14ac:dyDescent="0.3">
      <c r="I5257" s="101"/>
    </row>
    <row r="5258" spans="9:9" x14ac:dyDescent="0.3">
      <c r="I5258" s="101"/>
    </row>
    <row r="5259" spans="9:9" x14ac:dyDescent="0.3">
      <c r="I5259" s="101"/>
    </row>
    <row r="5260" spans="9:9" x14ac:dyDescent="0.3">
      <c r="I5260" s="101"/>
    </row>
    <row r="5261" spans="9:9" x14ac:dyDescent="0.3">
      <c r="I5261" s="101"/>
    </row>
    <row r="5262" spans="9:9" x14ac:dyDescent="0.3">
      <c r="I5262" s="101"/>
    </row>
    <row r="5263" spans="9:9" x14ac:dyDescent="0.3">
      <c r="I5263" s="101"/>
    </row>
    <row r="5264" spans="9:9" x14ac:dyDescent="0.3">
      <c r="I5264" s="101"/>
    </row>
    <row r="5265" spans="9:9" x14ac:dyDescent="0.3">
      <c r="I5265" s="101"/>
    </row>
    <row r="5266" spans="9:9" x14ac:dyDescent="0.3">
      <c r="I5266" s="101"/>
    </row>
    <row r="5267" spans="9:9" x14ac:dyDescent="0.3">
      <c r="I5267" s="101"/>
    </row>
    <row r="5268" spans="9:9" x14ac:dyDescent="0.3">
      <c r="I5268" s="101"/>
    </row>
    <row r="5269" spans="9:9" x14ac:dyDescent="0.3">
      <c r="I5269" s="101"/>
    </row>
    <row r="5270" spans="9:9" x14ac:dyDescent="0.3">
      <c r="I5270" s="101"/>
    </row>
    <row r="5271" spans="9:9" x14ac:dyDescent="0.3">
      <c r="I5271" s="101"/>
    </row>
    <row r="5272" spans="9:9" x14ac:dyDescent="0.3">
      <c r="I5272" s="101"/>
    </row>
    <row r="5273" spans="9:9" x14ac:dyDescent="0.3">
      <c r="I5273" s="101"/>
    </row>
    <row r="5274" spans="9:9" x14ac:dyDescent="0.3">
      <c r="I5274" s="101"/>
    </row>
    <row r="5275" spans="9:9" x14ac:dyDescent="0.3">
      <c r="I5275" s="101"/>
    </row>
    <row r="5276" spans="9:9" x14ac:dyDescent="0.3">
      <c r="I5276" s="101"/>
    </row>
    <row r="5277" spans="9:9" x14ac:dyDescent="0.3">
      <c r="I5277" s="101"/>
    </row>
    <row r="5278" spans="9:9" x14ac:dyDescent="0.3">
      <c r="I5278" s="101"/>
    </row>
    <row r="5279" spans="9:9" x14ac:dyDescent="0.3">
      <c r="I5279" s="101"/>
    </row>
    <row r="5280" spans="9:9" x14ac:dyDescent="0.3">
      <c r="I5280" s="101"/>
    </row>
    <row r="5281" spans="9:9" x14ac:dyDescent="0.3">
      <c r="I5281" s="101"/>
    </row>
    <row r="5282" spans="9:9" x14ac:dyDescent="0.3">
      <c r="I5282" s="101"/>
    </row>
    <row r="5283" spans="9:9" x14ac:dyDescent="0.3">
      <c r="I5283" s="101"/>
    </row>
    <row r="5284" spans="9:9" x14ac:dyDescent="0.3">
      <c r="I5284" s="101"/>
    </row>
    <row r="5285" spans="9:9" x14ac:dyDescent="0.3">
      <c r="I5285" s="101"/>
    </row>
    <row r="5286" spans="9:9" x14ac:dyDescent="0.3">
      <c r="I5286" s="101"/>
    </row>
    <row r="5287" spans="9:9" x14ac:dyDescent="0.3">
      <c r="I5287" s="101"/>
    </row>
    <row r="5288" spans="9:9" x14ac:dyDescent="0.3">
      <c r="I5288" s="101"/>
    </row>
    <row r="5289" spans="9:9" x14ac:dyDescent="0.3">
      <c r="I5289" s="101"/>
    </row>
    <row r="5290" spans="9:9" x14ac:dyDescent="0.3">
      <c r="I5290" s="101"/>
    </row>
    <row r="5291" spans="9:9" x14ac:dyDescent="0.3">
      <c r="I5291" s="101"/>
    </row>
    <row r="5292" spans="9:9" x14ac:dyDescent="0.3">
      <c r="I5292" s="101"/>
    </row>
    <row r="5293" spans="9:9" x14ac:dyDescent="0.3">
      <c r="I5293" s="101"/>
    </row>
    <row r="5294" spans="9:9" x14ac:dyDescent="0.3">
      <c r="I5294" s="101"/>
    </row>
    <row r="5295" spans="9:9" x14ac:dyDescent="0.3">
      <c r="I5295" s="101"/>
    </row>
    <row r="5296" spans="9:9" x14ac:dyDescent="0.3">
      <c r="I5296" s="101"/>
    </row>
    <row r="5297" spans="9:9" x14ac:dyDescent="0.3">
      <c r="I5297" s="101"/>
    </row>
    <row r="5298" spans="9:9" x14ac:dyDescent="0.3">
      <c r="I5298" s="101"/>
    </row>
    <row r="5299" spans="9:9" x14ac:dyDescent="0.3">
      <c r="I5299" s="101"/>
    </row>
    <row r="5300" spans="9:9" x14ac:dyDescent="0.3">
      <c r="I5300" s="101"/>
    </row>
    <row r="5301" spans="9:9" x14ac:dyDescent="0.3">
      <c r="I5301" s="101"/>
    </row>
    <row r="5302" spans="9:9" x14ac:dyDescent="0.3">
      <c r="I5302" s="101"/>
    </row>
    <row r="5303" spans="9:9" x14ac:dyDescent="0.3">
      <c r="I5303" s="101"/>
    </row>
    <row r="5304" spans="9:9" x14ac:dyDescent="0.3">
      <c r="I5304" s="101"/>
    </row>
    <row r="5305" spans="9:9" x14ac:dyDescent="0.3">
      <c r="I5305" s="101"/>
    </row>
    <row r="5306" spans="9:9" x14ac:dyDescent="0.3">
      <c r="I5306" s="101"/>
    </row>
    <row r="5307" spans="9:9" x14ac:dyDescent="0.3">
      <c r="I5307" s="101"/>
    </row>
    <row r="5308" spans="9:9" x14ac:dyDescent="0.3">
      <c r="I5308" s="101"/>
    </row>
    <row r="5309" spans="9:9" x14ac:dyDescent="0.3">
      <c r="I5309" s="101"/>
    </row>
    <row r="5310" spans="9:9" x14ac:dyDescent="0.3">
      <c r="I5310" s="101"/>
    </row>
    <row r="5311" spans="9:9" x14ac:dyDescent="0.3">
      <c r="I5311" s="101"/>
    </row>
    <row r="5312" spans="9:9" x14ac:dyDescent="0.3">
      <c r="I5312" s="101"/>
    </row>
    <row r="5313" spans="9:9" x14ac:dyDescent="0.3">
      <c r="I5313" s="101"/>
    </row>
    <row r="5314" spans="9:9" x14ac:dyDescent="0.3">
      <c r="I5314" s="101"/>
    </row>
    <row r="5315" spans="9:9" x14ac:dyDescent="0.3">
      <c r="I5315" s="101"/>
    </row>
    <row r="5316" spans="9:9" x14ac:dyDescent="0.3">
      <c r="I5316" s="101"/>
    </row>
    <row r="5317" spans="9:9" x14ac:dyDescent="0.3">
      <c r="I5317" s="101"/>
    </row>
    <row r="5318" spans="9:9" x14ac:dyDescent="0.3">
      <c r="I5318" s="101"/>
    </row>
    <row r="5319" spans="9:9" x14ac:dyDescent="0.3">
      <c r="I5319" s="101"/>
    </row>
    <row r="5320" spans="9:9" x14ac:dyDescent="0.3">
      <c r="I5320" s="101"/>
    </row>
    <row r="5321" spans="9:9" x14ac:dyDescent="0.3">
      <c r="I5321" s="101"/>
    </row>
    <row r="5322" spans="9:9" x14ac:dyDescent="0.3">
      <c r="I5322" s="101"/>
    </row>
    <row r="5323" spans="9:9" x14ac:dyDescent="0.3">
      <c r="I5323" s="101"/>
    </row>
    <row r="5324" spans="9:9" x14ac:dyDescent="0.3">
      <c r="I5324" s="101"/>
    </row>
    <row r="5325" spans="9:9" x14ac:dyDescent="0.3">
      <c r="I5325" s="101"/>
    </row>
    <row r="5326" spans="9:9" x14ac:dyDescent="0.3">
      <c r="I5326" s="101"/>
    </row>
    <row r="5327" spans="9:9" x14ac:dyDescent="0.3">
      <c r="I5327" s="101"/>
    </row>
    <row r="5328" spans="9:9" x14ac:dyDescent="0.3">
      <c r="I5328" s="101"/>
    </row>
    <row r="5329" spans="9:9" x14ac:dyDescent="0.3">
      <c r="I5329" s="101"/>
    </row>
    <row r="5330" spans="9:9" x14ac:dyDescent="0.3">
      <c r="I5330" s="101"/>
    </row>
    <row r="5331" spans="9:9" x14ac:dyDescent="0.3">
      <c r="I5331" s="101"/>
    </row>
    <row r="5332" spans="9:9" x14ac:dyDescent="0.3">
      <c r="I5332" s="101"/>
    </row>
    <row r="5333" spans="9:9" x14ac:dyDescent="0.3">
      <c r="I5333" s="101"/>
    </row>
    <row r="5334" spans="9:9" x14ac:dyDescent="0.3">
      <c r="I5334" s="101"/>
    </row>
    <row r="5335" spans="9:9" x14ac:dyDescent="0.3">
      <c r="I5335" s="101"/>
    </row>
    <row r="5336" spans="9:9" x14ac:dyDescent="0.3">
      <c r="I5336" s="101"/>
    </row>
    <row r="5337" spans="9:9" x14ac:dyDescent="0.3">
      <c r="I5337" s="101"/>
    </row>
    <row r="5338" spans="9:9" x14ac:dyDescent="0.3">
      <c r="I5338" s="101"/>
    </row>
    <row r="5339" spans="9:9" x14ac:dyDescent="0.3">
      <c r="I5339" s="101"/>
    </row>
    <row r="5340" spans="9:9" x14ac:dyDescent="0.3">
      <c r="I5340" s="101"/>
    </row>
    <row r="5341" spans="9:9" x14ac:dyDescent="0.3">
      <c r="I5341" s="101"/>
    </row>
    <row r="5342" spans="9:9" x14ac:dyDescent="0.3">
      <c r="I5342" s="101"/>
    </row>
    <row r="5343" spans="9:9" x14ac:dyDescent="0.3">
      <c r="I5343" s="101"/>
    </row>
    <row r="5344" spans="9:9" x14ac:dyDescent="0.3">
      <c r="I5344" s="101"/>
    </row>
    <row r="5345" spans="9:9" x14ac:dyDescent="0.3">
      <c r="I5345" s="101"/>
    </row>
    <row r="5346" spans="9:9" x14ac:dyDescent="0.3">
      <c r="I5346" s="101"/>
    </row>
    <row r="5347" spans="9:9" x14ac:dyDescent="0.3">
      <c r="I5347" s="101"/>
    </row>
    <row r="5348" spans="9:9" x14ac:dyDescent="0.3">
      <c r="I5348" s="101"/>
    </row>
    <row r="5349" spans="9:9" x14ac:dyDescent="0.3">
      <c r="I5349" s="101"/>
    </row>
    <row r="5350" spans="9:9" x14ac:dyDescent="0.3">
      <c r="I5350" s="101"/>
    </row>
    <row r="5351" spans="9:9" x14ac:dyDescent="0.3">
      <c r="I5351" s="101"/>
    </row>
    <row r="5352" spans="9:9" x14ac:dyDescent="0.3">
      <c r="I5352" s="101"/>
    </row>
    <row r="5353" spans="9:9" x14ac:dyDescent="0.3">
      <c r="I5353" s="101"/>
    </row>
    <row r="5354" spans="9:9" x14ac:dyDescent="0.3">
      <c r="I5354" s="101"/>
    </row>
    <row r="5355" spans="9:9" x14ac:dyDescent="0.3">
      <c r="I5355" s="101"/>
    </row>
    <row r="5356" spans="9:9" x14ac:dyDescent="0.3">
      <c r="I5356" s="101"/>
    </row>
    <row r="5357" spans="9:9" x14ac:dyDescent="0.3">
      <c r="I5357" s="101"/>
    </row>
    <row r="5358" spans="9:9" x14ac:dyDescent="0.3">
      <c r="I5358" s="101"/>
    </row>
    <row r="5359" spans="9:9" x14ac:dyDescent="0.3">
      <c r="I5359" s="101"/>
    </row>
    <row r="5360" spans="9:9" x14ac:dyDescent="0.3">
      <c r="I5360" s="101"/>
    </row>
    <row r="5361" spans="9:9" x14ac:dyDescent="0.3">
      <c r="I5361" s="101"/>
    </row>
    <row r="5362" spans="9:9" x14ac:dyDescent="0.3">
      <c r="I5362" s="101"/>
    </row>
    <row r="5363" spans="9:9" x14ac:dyDescent="0.3">
      <c r="I5363" s="101"/>
    </row>
    <row r="5364" spans="9:9" x14ac:dyDescent="0.3">
      <c r="I5364" s="101"/>
    </row>
    <row r="5365" spans="9:9" x14ac:dyDescent="0.3">
      <c r="I5365" s="101"/>
    </row>
    <row r="5366" spans="9:9" x14ac:dyDescent="0.3">
      <c r="I5366" s="101"/>
    </row>
    <row r="5367" spans="9:9" x14ac:dyDescent="0.3">
      <c r="I5367" s="101"/>
    </row>
    <row r="5368" spans="9:9" x14ac:dyDescent="0.3">
      <c r="I5368" s="101"/>
    </row>
    <row r="5369" spans="9:9" x14ac:dyDescent="0.3">
      <c r="I5369" s="101"/>
    </row>
    <row r="5370" spans="9:9" x14ac:dyDescent="0.3">
      <c r="I5370" s="101"/>
    </row>
    <row r="5371" spans="9:9" x14ac:dyDescent="0.3">
      <c r="I5371" s="101"/>
    </row>
    <row r="5372" spans="9:9" x14ac:dyDescent="0.3">
      <c r="I5372" s="101"/>
    </row>
    <row r="5373" spans="9:9" x14ac:dyDescent="0.3">
      <c r="I5373" s="101"/>
    </row>
    <row r="5374" spans="9:9" x14ac:dyDescent="0.3">
      <c r="I5374" s="101"/>
    </row>
    <row r="5375" spans="9:9" x14ac:dyDescent="0.3">
      <c r="I5375" s="101"/>
    </row>
    <row r="5376" spans="9:9" x14ac:dyDescent="0.3">
      <c r="I5376" s="101"/>
    </row>
    <row r="5377" spans="9:9" x14ac:dyDescent="0.3">
      <c r="I5377" s="101"/>
    </row>
    <row r="5378" spans="9:9" x14ac:dyDescent="0.3">
      <c r="I5378" s="101"/>
    </row>
    <row r="5379" spans="9:9" x14ac:dyDescent="0.3">
      <c r="I5379" s="101"/>
    </row>
    <row r="5380" spans="9:9" x14ac:dyDescent="0.3">
      <c r="I5380" s="101"/>
    </row>
    <row r="5381" spans="9:9" x14ac:dyDescent="0.3">
      <c r="I5381" s="101"/>
    </row>
    <row r="5382" spans="9:9" x14ac:dyDescent="0.3">
      <c r="I5382" s="101"/>
    </row>
    <row r="5383" spans="9:9" x14ac:dyDescent="0.3">
      <c r="I5383" s="101"/>
    </row>
    <row r="5384" spans="9:9" x14ac:dyDescent="0.3">
      <c r="I5384" s="101"/>
    </row>
    <row r="5385" spans="9:9" x14ac:dyDescent="0.3">
      <c r="I5385" s="101"/>
    </row>
    <row r="5386" spans="9:9" x14ac:dyDescent="0.3">
      <c r="I5386" s="101"/>
    </row>
    <row r="5387" spans="9:9" x14ac:dyDescent="0.3">
      <c r="I5387" s="101"/>
    </row>
    <row r="5388" spans="9:9" x14ac:dyDescent="0.3">
      <c r="I5388" s="101"/>
    </row>
    <row r="5389" spans="9:9" x14ac:dyDescent="0.3">
      <c r="I5389" s="101"/>
    </row>
    <row r="5390" spans="9:9" x14ac:dyDescent="0.3">
      <c r="I5390" s="101"/>
    </row>
    <row r="5391" spans="9:9" x14ac:dyDescent="0.3">
      <c r="I5391" s="101"/>
    </row>
    <row r="5392" spans="9:9" x14ac:dyDescent="0.3">
      <c r="I5392" s="101"/>
    </row>
    <row r="5393" spans="9:9" x14ac:dyDescent="0.3">
      <c r="I5393" s="101"/>
    </row>
    <row r="5394" spans="9:9" x14ac:dyDescent="0.3">
      <c r="I5394" s="101"/>
    </row>
    <row r="5395" spans="9:9" x14ac:dyDescent="0.3">
      <c r="I5395" s="101"/>
    </row>
    <row r="5396" spans="9:9" x14ac:dyDescent="0.3">
      <c r="I5396" s="101"/>
    </row>
    <row r="5397" spans="9:9" x14ac:dyDescent="0.3">
      <c r="I5397" s="101"/>
    </row>
    <row r="5398" spans="9:9" x14ac:dyDescent="0.3">
      <c r="I5398" s="101"/>
    </row>
    <row r="5399" spans="9:9" x14ac:dyDescent="0.3">
      <c r="I5399" s="101"/>
    </row>
    <row r="5400" spans="9:9" x14ac:dyDescent="0.3">
      <c r="I5400" s="101"/>
    </row>
    <row r="5401" spans="9:9" x14ac:dyDescent="0.3">
      <c r="I5401" s="101"/>
    </row>
    <row r="5402" spans="9:9" x14ac:dyDescent="0.3">
      <c r="I5402" s="101"/>
    </row>
    <row r="5403" spans="9:9" x14ac:dyDescent="0.3">
      <c r="I5403" s="101"/>
    </row>
    <row r="5404" spans="9:9" x14ac:dyDescent="0.3">
      <c r="I5404" s="101"/>
    </row>
    <row r="5405" spans="9:9" x14ac:dyDescent="0.3">
      <c r="I5405" s="101"/>
    </row>
    <row r="5406" spans="9:9" x14ac:dyDescent="0.3">
      <c r="I5406" s="101"/>
    </row>
    <row r="5407" spans="9:9" x14ac:dyDescent="0.3">
      <c r="I5407" s="101"/>
    </row>
    <row r="5408" spans="9:9" x14ac:dyDescent="0.3">
      <c r="I5408" s="101"/>
    </row>
    <row r="5409" spans="9:9" x14ac:dyDescent="0.3">
      <c r="I5409" s="101"/>
    </row>
    <row r="5410" spans="9:9" x14ac:dyDescent="0.3">
      <c r="I5410" s="101"/>
    </row>
    <row r="5411" spans="9:9" x14ac:dyDescent="0.3">
      <c r="I5411" s="101"/>
    </row>
    <row r="5412" spans="9:9" x14ac:dyDescent="0.3">
      <c r="I5412" s="101"/>
    </row>
    <row r="5413" spans="9:9" x14ac:dyDescent="0.3">
      <c r="I5413" s="101"/>
    </row>
    <row r="5414" spans="9:9" x14ac:dyDescent="0.3">
      <c r="I5414" s="101"/>
    </row>
    <row r="5415" spans="9:9" x14ac:dyDescent="0.3">
      <c r="I5415" s="101"/>
    </row>
    <row r="5416" spans="9:9" x14ac:dyDescent="0.3">
      <c r="I5416" s="101"/>
    </row>
    <row r="5417" spans="9:9" x14ac:dyDescent="0.3">
      <c r="I5417" s="101"/>
    </row>
    <row r="5418" spans="9:9" x14ac:dyDescent="0.3">
      <c r="I5418" s="101"/>
    </row>
    <row r="5419" spans="9:9" x14ac:dyDescent="0.3">
      <c r="I5419" s="101"/>
    </row>
    <row r="5420" spans="9:9" x14ac:dyDescent="0.3">
      <c r="I5420" s="101"/>
    </row>
    <row r="5421" spans="9:9" x14ac:dyDescent="0.3">
      <c r="I5421" s="101"/>
    </row>
    <row r="5422" spans="9:9" x14ac:dyDescent="0.3">
      <c r="I5422" s="101"/>
    </row>
    <row r="5423" spans="9:9" x14ac:dyDescent="0.3">
      <c r="I5423" s="101"/>
    </row>
    <row r="5424" spans="9:9" x14ac:dyDescent="0.3">
      <c r="I5424" s="101"/>
    </row>
    <row r="5425" spans="9:9" x14ac:dyDescent="0.3">
      <c r="I5425" s="101"/>
    </row>
    <row r="5426" spans="9:9" x14ac:dyDescent="0.3">
      <c r="I5426" s="101"/>
    </row>
    <row r="5427" spans="9:9" x14ac:dyDescent="0.3">
      <c r="I5427" s="101"/>
    </row>
    <row r="5428" spans="9:9" x14ac:dyDescent="0.3">
      <c r="I5428" s="101"/>
    </row>
    <row r="5429" spans="9:9" x14ac:dyDescent="0.3">
      <c r="I5429" s="101"/>
    </row>
    <row r="5430" spans="9:9" x14ac:dyDescent="0.3">
      <c r="I5430" s="101"/>
    </row>
    <row r="5431" spans="9:9" x14ac:dyDescent="0.3">
      <c r="I5431" s="101"/>
    </row>
    <row r="5432" spans="9:9" x14ac:dyDescent="0.3">
      <c r="I5432" s="101"/>
    </row>
    <row r="5433" spans="9:9" x14ac:dyDescent="0.3">
      <c r="I5433" s="101"/>
    </row>
    <row r="5434" spans="9:9" x14ac:dyDescent="0.3">
      <c r="I5434" s="101"/>
    </row>
    <row r="5435" spans="9:9" x14ac:dyDescent="0.3">
      <c r="I5435" s="101"/>
    </row>
    <row r="5436" spans="9:9" x14ac:dyDescent="0.3">
      <c r="I5436" s="101"/>
    </row>
    <row r="5437" spans="9:9" x14ac:dyDescent="0.3">
      <c r="I5437" s="101"/>
    </row>
    <row r="5438" spans="9:9" x14ac:dyDescent="0.3">
      <c r="I5438" s="101"/>
    </row>
    <row r="5439" spans="9:9" x14ac:dyDescent="0.3">
      <c r="I5439" s="101"/>
    </row>
    <row r="5440" spans="9:9" x14ac:dyDescent="0.3">
      <c r="I5440" s="101"/>
    </row>
    <row r="5441" spans="9:9" x14ac:dyDescent="0.3">
      <c r="I5441" s="101"/>
    </row>
    <row r="5442" spans="9:9" x14ac:dyDescent="0.3">
      <c r="I5442" s="101"/>
    </row>
    <row r="5443" spans="9:9" x14ac:dyDescent="0.3">
      <c r="I5443" s="101"/>
    </row>
    <row r="5444" spans="9:9" x14ac:dyDescent="0.3">
      <c r="I5444" s="101"/>
    </row>
    <row r="5445" spans="9:9" x14ac:dyDescent="0.3">
      <c r="I5445" s="101"/>
    </row>
    <row r="5446" spans="9:9" x14ac:dyDescent="0.3">
      <c r="I5446" s="101"/>
    </row>
    <row r="5447" spans="9:9" x14ac:dyDescent="0.3">
      <c r="I5447" s="101"/>
    </row>
    <row r="5448" spans="9:9" x14ac:dyDescent="0.3">
      <c r="I5448" s="101"/>
    </row>
    <row r="5449" spans="9:9" x14ac:dyDescent="0.3">
      <c r="I5449" s="101"/>
    </row>
    <row r="5450" spans="9:9" x14ac:dyDescent="0.3">
      <c r="I5450" s="101"/>
    </row>
    <row r="5451" spans="9:9" x14ac:dyDescent="0.3">
      <c r="I5451" s="101"/>
    </row>
    <row r="5452" spans="9:9" x14ac:dyDescent="0.3">
      <c r="I5452" s="101"/>
    </row>
    <row r="5453" spans="9:9" x14ac:dyDescent="0.3">
      <c r="I5453" s="101"/>
    </row>
    <row r="5454" spans="9:9" x14ac:dyDescent="0.3">
      <c r="I5454" s="101"/>
    </row>
    <row r="5455" spans="9:9" x14ac:dyDescent="0.3">
      <c r="I5455" s="101"/>
    </row>
    <row r="5456" spans="9:9" x14ac:dyDescent="0.3">
      <c r="I5456" s="101"/>
    </row>
    <row r="5457" spans="9:9" x14ac:dyDescent="0.3">
      <c r="I5457" s="101"/>
    </row>
    <row r="5458" spans="9:9" x14ac:dyDescent="0.3">
      <c r="I5458" s="101"/>
    </row>
    <row r="5459" spans="9:9" x14ac:dyDescent="0.3">
      <c r="I5459" s="101"/>
    </row>
    <row r="5460" spans="9:9" x14ac:dyDescent="0.3">
      <c r="I5460" s="101"/>
    </row>
    <row r="5461" spans="9:9" x14ac:dyDescent="0.3">
      <c r="I5461" s="101"/>
    </row>
    <row r="5462" spans="9:9" x14ac:dyDescent="0.3">
      <c r="I5462" s="101"/>
    </row>
    <row r="5463" spans="9:9" x14ac:dyDescent="0.3">
      <c r="I5463" s="101"/>
    </row>
    <row r="5464" spans="9:9" x14ac:dyDescent="0.3">
      <c r="I5464" s="101"/>
    </row>
    <row r="5465" spans="9:9" x14ac:dyDescent="0.3">
      <c r="I5465" s="101"/>
    </row>
    <row r="5466" spans="9:9" x14ac:dyDescent="0.3">
      <c r="I5466" s="101"/>
    </row>
    <row r="5467" spans="9:9" x14ac:dyDescent="0.3">
      <c r="I5467" s="101"/>
    </row>
    <row r="5468" spans="9:9" x14ac:dyDescent="0.3">
      <c r="I5468" s="101"/>
    </row>
    <row r="5469" spans="9:9" x14ac:dyDescent="0.3">
      <c r="I5469" s="101"/>
    </row>
    <row r="5470" spans="9:9" x14ac:dyDescent="0.3">
      <c r="I5470" s="101"/>
    </row>
    <row r="5471" spans="9:9" x14ac:dyDescent="0.3">
      <c r="I5471" s="101"/>
    </row>
    <row r="5472" spans="9:9" x14ac:dyDescent="0.3">
      <c r="I5472" s="101"/>
    </row>
    <row r="5473" spans="9:9" x14ac:dyDescent="0.3">
      <c r="I5473" s="101"/>
    </row>
    <row r="5474" spans="9:9" x14ac:dyDescent="0.3">
      <c r="I5474" s="101"/>
    </row>
    <row r="5475" spans="9:9" x14ac:dyDescent="0.3">
      <c r="I5475" s="101"/>
    </row>
    <row r="5476" spans="9:9" x14ac:dyDescent="0.3">
      <c r="I5476" s="101"/>
    </row>
    <row r="5477" spans="9:9" x14ac:dyDescent="0.3">
      <c r="I5477" s="101"/>
    </row>
    <row r="5478" spans="9:9" x14ac:dyDescent="0.3">
      <c r="I5478" s="101"/>
    </row>
    <row r="5479" spans="9:9" x14ac:dyDescent="0.3">
      <c r="I5479" s="101"/>
    </row>
    <row r="5480" spans="9:9" x14ac:dyDescent="0.3">
      <c r="I5480" s="101"/>
    </row>
    <row r="5481" spans="9:9" x14ac:dyDescent="0.3">
      <c r="I5481" s="101"/>
    </row>
    <row r="5482" spans="9:9" x14ac:dyDescent="0.3">
      <c r="I5482" s="101"/>
    </row>
    <row r="5483" spans="9:9" x14ac:dyDescent="0.3">
      <c r="I5483" s="101"/>
    </row>
    <row r="5484" spans="9:9" x14ac:dyDescent="0.3">
      <c r="I5484" s="101"/>
    </row>
    <row r="5485" spans="9:9" x14ac:dyDescent="0.3">
      <c r="I5485" s="101"/>
    </row>
    <row r="5486" spans="9:9" x14ac:dyDescent="0.3">
      <c r="I5486" s="101"/>
    </row>
    <row r="5487" spans="9:9" x14ac:dyDescent="0.3">
      <c r="I5487" s="101"/>
    </row>
    <row r="5488" spans="9:9" x14ac:dyDescent="0.3">
      <c r="I5488" s="101"/>
    </row>
    <row r="5489" spans="9:9" x14ac:dyDescent="0.3">
      <c r="I5489" s="101"/>
    </row>
    <row r="5490" spans="9:9" x14ac:dyDescent="0.3">
      <c r="I5490" s="101"/>
    </row>
    <row r="5491" spans="9:9" x14ac:dyDescent="0.3">
      <c r="I5491" s="101"/>
    </row>
    <row r="5492" spans="9:9" x14ac:dyDescent="0.3">
      <c r="I5492" s="101"/>
    </row>
    <row r="5493" spans="9:9" x14ac:dyDescent="0.3">
      <c r="I5493" s="101"/>
    </row>
    <row r="5494" spans="9:9" x14ac:dyDescent="0.3">
      <c r="I5494" s="101"/>
    </row>
    <row r="5495" spans="9:9" x14ac:dyDescent="0.3">
      <c r="I5495" s="101"/>
    </row>
    <row r="5496" spans="9:9" x14ac:dyDescent="0.3">
      <c r="I5496" s="101"/>
    </row>
    <row r="5497" spans="9:9" x14ac:dyDescent="0.3">
      <c r="I5497" s="101"/>
    </row>
    <row r="5498" spans="9:9" x14ac:dyDescent="0.3">
      <c r="I5498" s="101"/>
    </row>
    <row r="5499" spans="9:9" x14ac:dyDescent="0.3">
      <c r="I5499" s="101"/>
    </row>
    <row r="5500" spans="9:9" x14ac:dyDescent="0.3">
      <c r="I5500" s="101"/>
    </row>
    <row r="5501" spans="9:9" x14ac:dyDescent="0.3">
      <c r="I5501" s="101"/>
    </row>
    <row r="5502" spans="9:9" x14ac:dyDescent="0.3">
      <c r="I5502" s="101"/>
    </row>
    <row r="5503" spans="9:9" x14ac:dyDescent="0.3">
      <c r="I5503" s="101"/>
    </row>
    <row r="5504" spans="9:9" x14ac:dyDescent="0.3">
      <c r="I5504" s="101"/>
    </row>
    <row r="5505" spans="9:9" x14ac:dyDescent="0.3">
      <c r="I5505" s="101"/>
    </row>
    <row r="5506" spans="9:9" x14ac:dyDescent="0.3">
      <c r="I5506" s="101"/>
    </row>
    <row r="5507" spans="9:9" x14ac:dyDescent="0.3">
      <c r="I5507" s="101"/>
    </row>
    <row r="5508" spans="9:9" x14ac:dyDescent="0.3">
      <c r="I5508" s="101"/>
    </row>
    <row r="5509" spans="9:9" x14ac:dyDescent="0.3">
      <c r="I5509" s="101"/>
    </row>
    <row r="5510" spans="9:9" x14ac:dyDescent="0.3">
      <c r="I5510" s="101"/>
    </row>
    <row r="5511" spans="9:9" x14ac:dyDescent="0.3">
      <c r="I5511" s="101"/>
    </row>
    <row r="5512" spans="9:9" x14ac:dyDescent="0.3">
      <c r="I5512" s="101"/>
    </row>
    <row r="5513" spans="9:9" x14ac:dyDescent="0.3">
      <c r="I5513" s="101"/>
    </row>
    <row r="5514" spans="9:9" x14ac:dyDescent="0.3">
      <c r="I5514" s="101"/>
    </row>
    <row r="5515" spans="9:9" x14ac:dyDescent="0.3">
      <c r="I5515" s="101"/>
    </row>
    <row r="5516" spans="9:9" x14ac:dyDescent="0.3">
      <c r="I5516" s="101"/>
    </row>
    <row r="5517" spans="9:9" x14ac:dyDescent="0.3">
      <c r="I5517" s="101"/>
    </row>
    <row r="5518" spans="9:9" x14ac:dyDescent="0.3">
      <c r="I5518" s="101"/>
    </row>
    <row r="5519" spans="9:9" x14ac:dyDescent="0.3">
      <c r="I5519" s="101"/>
    </row>
    <row r="5520" spans="9:9" x14ac:dyDescent="0.3">
      <c r="I5520" s="101"/>
    </row>
    <row r="5521" spans="9:9" x14ac:dyDescent="0.3">
      <c r="I5521" s="101"/>
    </row>
    <row r="5522" spans="9:9" x14ac:dyDescent="0.3">
      <c r="I5522" s="101"/>
    </row>
    <row r="5523" spans="9:9" x14ac:dyDescent="0.3">
      <c r="I5523" s="101"/>
    </row>
    <row r="5524" spans="9:9" x14ac:dyDescent="0.3">
      <c r="I5524" s="101"/>
    </row>
    <row r="5525" spans="9:9" x14ac:dyDescent="0.3">
      <c r="I5525" s="101"/>
    </row>
    <row r="5526" spans="9:9" x14ac:dyDescent="0.3">
      <c r="I5526" s="101"/>
    </row>
    <row r="5527" spans="9:9" x14ac:dyDescent="0.3">
      <c r="I5527" s="101"/>
    </row>
    <row r="5528" spans="9:9" x14ac:dyDescent="0.3">
      <c r="I5528" s="101"/>
    </row>
    <row r="5529" spans="9:9" x14ac:dyDescent="0.3">
      <c r="I5529" s="101"/>
    </row>
    <row r="5530" spans="9:9" x14ac:dyDescent="0.3">
      <c r="I5530" s="101"/>
    </row>
    <row r="5531" spans="9:9" x14ac:dyDescent="0.3">
      <c r="I5531" s="101"/>
    </row>
    <row r="5532" spans="9:9" x14ac:dyDescent="0.3">
      <c r="I5532" s="101"/>
    </row>
    <row r="5533" spans="9:9" x14ac:dyDescent="0.3">
      <c r="I5533" s="101"/>
    </row>
    <row r="5534" spans="9:9" x14ac:dyDescent="0.3">
      <c r="I5534" s="101"/>
    </row>
    <row r="5535" spans="9:9" x14ac:dyDescent="0.3">
      <c r="I5535" s="101"/>
    </row>
    <row r="5536" spans="9:9" x14ac:dyDescent="0.3">
      <c r="I5536" s="101"/>
    </row>
    <row r="5537" spans="9:9" x14ac:dyDescent="0.3">
      <c r="I5537" s="101"/>
    </row>
    <row r="5538" spans="9:9" x14ac:dyDescent="0.3">
      <c r="I5538" s="101"/>
    </row>
    <row r="5539" spans="9:9" x14ac:dyDescent="0.3">
      <c r="I5539" s="101"/>
    </row>
    <row r="5540" spans="9:9" x14ac:dyDescent="0.3">
      <c r="I5540" s="101"/>
    </row>
    <row r="5541" spans="9:9" x14ac:dyDescent="0.3">
      <c r="I5541" s="101"/>
    </row>
    <row r="5542" spans="9:9" x14ac:dyDescent="0.3">
      <c r="I5542" s="101"/>
    </row>
    <row r="5543" spans="9:9" x14ac:dyDescent="0.3">
      <c r="I5543" s="101"/>
    </row>
    <row r="5544" spans="9:9" x14ac:dyDescent="0.3">
      <c r="I5544" s="101"/>
    </row>
    <row r="5545" spans="9:9" x14ac:dyDescent="0.3">
      <c r="I5545" s="101"/>
    </row>
    <row r="5546" spans="9:9" x14ac:dyDescent="0.3">
      <c r="I5546" s="101"/>
    </row>
    <row r="5547" spans="9:9" x14ac:dyDescent="0.3">
      <c r="I5547" s="101"/>
    </row>
    <row r="5548" spans="9:9" x14ac:dyDescent="0.3">
      <c r="I5548" s="101"/>
    </row>
    <row r="5549" spans="9:9" x14ac:dyDescent="0.3">
      <c r="I5549" s="101"/>
    </row>
    <row r="5550" spans="9:9" x14ac:dyDescent="0.3">
      <c r="I5550" s="101"/>
    </row>
    <row r="5551" spans="9:9" x14ac:dyDescent="0.3">
      <c r="I5551" s="101"/>
    </row>
    <row r="5552" spans="9:9" x14ac:dyDescent="0.3">
      <c r="I5552" s="101"/>
    </row>
    <row r="5553" spans="9:9" x14ac:dyDescent="0.3">
      <c r="I5553" s="101"/>
    </row>
    <row r="5554" spans="9:9" x14ac:dyDescent="0.3">
      <c r="I5554" s="101"/>
    </row>
    <row r="5555" spans="9:9" x14ac:dyDescent="0.3">
      <c r="I5555" s="101"/>
    </row>
    <row r="5556" spans="9:9" x14ac:dyDescent="0.3">
      <c r="I5556" s="101"/>
    </row>
    <row r="5557" spans="9:9" x14ac:dyDescent="0.3">
      <c r="I5557" s="101"/>
    </row>
    <row r="5558" spans="9:9" x14ac:dyDescent="0.3">
      <c r="I5558" s="101"/>
    </row>
    <row r="5559" spans="9:9" x14ac:dyDescent="0.3">
      <c r="I5559" s="101"/>
    </row>
    <row r="5560" spans="9:9" x14ac:dyDescent="0.3">
      <c r="I5560" s="101"/>
    </row>
    <row r="5561" spans="9:9" x14ac:dyDescent="0.3">
      <c r="I5561" s="101"/>
    </row>
    <row r="5562" spans="9:9" x14ac:dyDescent="0.3">
      <c r="I5562" s="101"/>
    </row>
    <row r="5563" spans="9:9" x14ac:dyDescent="0.3">
      <c r="I5563" s="101"/>
    </row>
    <row r="5564" spans="9:9" x14ac:dyDescent="0.3">
      <c r="I5564" s="101"/>
    </row>
    <row r="5565" spans="9:9" x14ac:dyDescent="0.3">
      <c r="I5565" s="101"/>
    </row>
    <row r="5566" spans="9:9" x14ac:dyDescent="0.3">
      <c r="I5566" s="101"/>
    </row>
    <row r="5567" spans="9:9" x14ac:dyDescent="0.3">
      <c r="I5567" s="101"/>
    </row>
    <row r="5568" spans="9:9" x14ac:dyDescent="0.3">
      <c r="I5568" s="101"/>
    </row>
    <row r="5569" spans="9:9" x14ac:dyDescent="0.3">
      <c r="I5569" s="101"/>
    </row>
    <row r="5570" spans="9:9" x14ac:dyDescent="0.3">
      <c r="I5570" s="101"/>
    </row>
    <row r="5571" spans="9:9" x14ac:dyDescent="0.3">
      <c r="I5571" s="101"/>
    </row>
    <row r="5572" spans="9:9" x14ac:dyDescent="0.3">
      <c r="I5572" s="101"/>
    </row>
    <row r="5573" spans="9:9" x14ac:dyDescent="0.3">
      <c r="I5573" s="101"/>
    </row>
    <row r="5574" spans="9:9" x14ac:dyDescent="0.3">
      <c r="I5574" s="101"/>
    </row>
    <row r="5575" spans="9:9" x14ac:dyDescent="0.3">
      <c r="I5575" s="101"/>
    </row>
    <row r="5576" spans="9:9" x14ac:dyDescent="0.3">
      <c r="I5576" s="101"/>
    </row>
    <row r="5577" spans="9:9" x14ac:dyDescent="0.3">
      <c r="I5577" s="101"/>
    </row>
    <row r="5578" spans="9:9" x14ac:dyDescent="0.3">
      <c r="I5578" s="101"/>
    </row>
    <row r="5579" spans="9:9" x14ac:dyDescent="0.3">
      <c r="I5579" s="101"/>
    </row>
    <row r="5580" spans="9:9" x14ac:dyDescent="0.3">
      <c r="I5580" s="101"/>
    </row>
    <row r="5581" spans="9:9" x14ac:dyDescent="0.3">
      <c r="I5581" s="101"/>
    </row>
    <row r="5582" spans="9:9" x14ac:dyDescent="0.3">
      <c r="I5582" s="101"/>
    </row>
    <row r="5583" spans="9:9" x14ac:dyDescent="0.3">
      <c r="I5583" s="101"/>
    </row>
    <row r="5584" spans="9:9" x14ac:dyDescent="0.3">
      <c r="I5584" s="101"/>
    </row>
    <row r="5585" spans="9:9" x14ac:dyDescent="0.3">
      <c r="I5585" s="101"/>
    </row>
    <row r="5586" spans="9:9" x14ac:dyDescent="0.3">
      <c r="I5586" s="101"/>
    </row>
    <row r="5587" spans="9:9" x14ac:dyDescent="0.3">
      <c r="I5587" s="101"/>
    </row>
    <row r="5588" spans="9:9" x14ac:dyDescent="0.3">
      <c r="I5588" s="101"/>
    </row>
    <row r="5589" spans="9:9" x14ac:dyDescent="0.3">
      <c r="I5589" s="101"/>
    </row>
    <row r="5590" spans="9:9" x14ac:dyDescent="0.3">
      <c r="I5590" s="101"/>
    </row>
    <row r="5591" spans="9:9" x14ac:dyDescent="0.3">
      <c r="I5591" s="101"/>
    </row>
    <row r="5592" spans="9:9" x14ac:dyDescent="0.3">
      <c r="I5592" s="101"/>
    </row>
    <row r="5593" spans="9:9" x14ac:dyDescent="0.3">
      <c r="I5593" s="101"/>
    </row>
    <row r="5594" spans="9:9" x14ac:dyDescent="0.3">
      <c r="I5594" s="101"/>
    </row>
    <row r="5595" spans="9:9" x14ac:dyDescent="0.3">
      <c r="I5595" s="101"/>
    </row>
    <row r="5596" spans="9:9" x14ac:dyDescent="0.3">
      <c r="I5596" s="101"/>
    </row>
    <row r="5597" spans="9:9" x14ac:dyDescent="0.3">
      <c r="I5597" s="101"/>
    </row>
    <row r="5598" spans="9:9" x14ac:dyDescent="0.3">
      <c r="I5598" s="101"/>
    </row>
    <row r="5599" spans="9:9" x14ac:dyDescent="0.3">
      <c r="I5599" s="101"/>
    </row>
    <row r="5600" spans="9:9" x14ac:dyDescent="0.3">
      <c r="I5600" s="101"/>
    </row>
    <row r="5601" spans="9:9" x14ac:dyDescent="0.3">
      <c r="I5601" s="101"/>
    </row>
    <row r="5602" spans="9:9" x14ac:dyDescent="0.3">
      <c r="I5602" s="101"/>
    </row>
    <row r="5603" spans="9:9" x14ac:dyDescent="0.3">
      <c r="I5603" s="101"/>
    </row>
    <row r="5604" spans="9:9" x14ac:dyDescent="0.3">
      <c r="I5604" s="101"/>
    </row>
    <row r="5605" spans="9:9" x14ac:dyDescent="0.3">
      <c r="I5605" s="101"/>
    </row>
    <row r="5606" spans="9:9" x14ac:dyDescent="0.3">
      <c r="I5606" s="101"/>
    </row>
    <row r="5607" spans="9:9" x14ac:dyDescent="0.3">
      <c r="I5607" s="101"/>
    </row>
    <row r="5608" spans="9:9" x14ac:dyDescent="0.3">
      <c r="I5608" s="101"/>
    </row>
    <row r="5609" spans="9:9" x14ac:dyDescent="0.3">
      <c r="I5609" s="101"/>
    </row>
    <row r="5610" spans="9:9" x14ac:dyDescent="0.3">
      <c r="I5610" s="101"/>
    </row>
    <row r="5611" spans="9:9" x14ac:dyDescent="0.3">
      <c r="I5611" s="101"/>
    </row>
    <row r="5612" spans="9:9" x14ac:dyDescent="0.3">
      <c r="I5612" s="101"/>
    </row>
    <row r="5613" spans="9:9" x14ac:dyDescent="0.3">
      <c r="I5613" s="101"/>
    </row>
    <row r="5614" spans="9:9" x14ac:dyDescent="0.3">
      <c r="I5614" s="101"/>
    </row>
    <row r="5615" spans="9:9" x14ac:dyDescent="0.3">
      <c r="I5615" s="101"/>
    </row>
    <row r="5616" spans="9:9" x14ac:dyDescent="0.3">
      <c r="I5616" s="101"/>
    </row>
    <row r="5617" spans="9:9" x14ac:dyDescent="0.3">
      <c r="I5617" s="101"/>
    </row>
    <row r="5618" spans="9:9" x14ac:dyDescent="0.3">
      <c r="I5618" s="101"/>
    </row>
    <row r="5619" spans="9:9" x14ac:dyDescent="0.3">
      <c r="I5619" s="101"/>
    </row>
    <row r="5620" spans="9:9" x14ac:dyDescent="0.3">
      <c r="I5620" s="101"/>
    </row>
    <row r="5621" spans="9:9" x14ac:dyDescent="0.3">
      <c r="I5621" s="101"/>
    </row>
    <row r="5622" spans="9:9" x14ac:dyDescent="0.3">
      <c r="I5622" s="101"/>
    </row>
    <row r="5623" spans="9:9" x14ac:dyDescent="0.3">
      <c r="I5623" s="101"/>
    </row>
    <row r="5624" spans="9:9" x14ac:dyDescent="0.3">
      <c r="I5624" s="101"/>
    </row>
    <row r="5625" spans="9:9" x14ac:dyDescent="0.3">
      <c r="I5625" s="101"/>
    </row>
    <row r="5626" spans="9:9" x14ac:dyDescent="0.3">
      <c r="I5626" s="101"/>
    </row>
    <row r="5627" spans="9:9" x14ac:dyDescent="0.3">
      <c r="I5627" s="101"/>
    </row>
    <row r="5628" spans="9:9" x14ac:dyDescent="0.3">
      <c r="I5628" s="101"/>
    </row>
    <row r="5629" spans="9:9" x14ac:dyDescent="0.3">
      <c r="I5629" s="101"/>
    </row>
    <row r="5630" spans="9:9" x14ac:dyDescent="0.3">
      <c r="I5630" s="101"/>
    </row>
    <row r="5631" spans="9:9" x14ac:dyDescent="0.3">
      <c r="I5631" s="101"/>
    </row>
    <row r="5632" spans="9:9" x14ac:dyDescent="0.3">
      <c r="I5632" s="101"/>
    </row>
    <row r="5633" spans="9:9" x14ac:dyDescent="0.3">
      <c r="I5633" s="101"/>
    </row>
    <row r="5634" spans="9:9" x14ac:dyDescent="0.3">
      <c r="I5634" s="101"/>
    </row>
    <row r="5635" spans="9:9" x14ac:dyDescent="0.3">
      <c r="I5635" s="101"/>
    </row>
    <row r="5636" spans="9:9" x14ac:dyDescent="0.3">
      <c r="I5636" s="101"/>
    </row>
    <row r="5637" spans="9:9" x14ac:dyDescent="0.3">
      <c r="I5637" s="101"/>
    </row>
    <row r="5638" spans="9:9" x14ac:dyDescent="0.3">
      <c r="I5638" s="101"/>
    </row>
    <row r="5639" spans="9:9" x14ac:dyDescent="0.3">
      <c r="I5639" s="101"/>
    </row>
    <row r="5640" spans="9:9" x14ac:dyDescent="0.3">
      <c r="I5640" s="101"/>
    </row>
    <row r="5641" spans="9:9" x14ac:dyDescent="0.3">
      <c r="I5641" s="101"/>
    </row>
    <row r="5642" spans="9:9" x14ac:dyDescent="0.3">
      <c r="I5642" s="101"/>
    </row>
    <row r="5643" spans="9:9" x14ac:dyDescent="0.3">
      <c r="I5643" s="101"/>
    </row>
    <row r="5644" spans="9:9" x14ac:dyDescent="0.3">
      <c r="I5644" s="101"/>
    </row>
    <row r="5645" spans="9:9" x14ac:dyDescent="0.3">
      <c r="I5645" s="101"/>
    </row>
    <row r="5646" spans="9:9" x14ac:dyDescent="0.3">
      <c r="I5646" s="101"/>
    </row>
    <row r="5647" spans="9:9" x14ac:dyDescent="0.3">
      <c r="I5647" s="101"/>
    </row>
    <row r="5648" spans="9:9" x14ac:dyDescent="0.3">
      <c r="I5648" s="101"/>
    </row>
    <row r="5649" spans="9:9" x14ac:dyDescent="0.3">
      <c r="I5649" s="101"/>
    </row>
    <row r="5650" spans="9:9" x14ac:dyDescent="0.3">
      <c r="I5650" s="101"/>
    </row>
    <row r="5651" spans="9:9" x14ac:dyDescent="0.3">
      <c r="I5651" s="101"/>
    </row>
    <row r="5652" spans="9:9" x14ac:dyDescent="0.3">
      <c r="I5652" s="101"/>
    </row>
    <row r="5653" spans="9:9" x14ac:dyDescent="0.3">
      <c r="I5653" s="101"/>
    </row>
    <row r="5654" spans="9:9" x14ac:dyDescent="0.3">
      <c r="I5654" s="101"/>
    </row>
    <row r="5655" spans="9:9" x14ac:dyDescent="0.3">
      <c r="I5655" s="101"/>
    </row>
    <row r="5656" spans="9:9" x14ac:dyDescent="0.3">
      <c r="I5656" s="101"/>
    </row>
    <row r="5657" spans="9:9" x14ac:dyDescent="0.3">
      <c r="I5657" s="101"/>
    </row>
    <row r="5658" spans="9:9" x14ac:dyDescent="0.3">
      <c r="I5658" s="101"/>
    </row>
    <row r="5659" spans="9:9" x14ac:dyDescent="0.3">
      <c r="I5659" s="101"/>
    </row>
    <row r="5660" spans="9:9" x14ac:dyDescent="0.3">
      <c r="I5660" s="101"/>
    </row>
    <row r="5661" spans="9:9" x14ac:dyDescent="0.3">
      <c r="I5661" s="101"/>
    </row>
    <row r="5662" spans="9:9" x14ac:dyDescent="0.3">
      <c r="I5662" s="101"/>
    </row>
    <row r="5663" spans="9:9" x14ac:dyDescent="0.3">
      <c r="I5663" s="101"/>
    </row>
    <row r="5664" spans="9:9" x14ac:dyDescent="0.3">
      <c r="I5664" s="101"/>
    </row>
    <row r="5665" spans="9:9" x14ac:dyDescent="0.3">
      <c r="I5665" s="101"/>
    </row>
    <row r="5666" spans="9:9" x14ac:dyDescent="0.3">
      <c r="I5666" s="101"/>
    </row>
    <row r="5667" spans="9:9" x14ac:dyDescent="0.3">
      <c r="I5667" s="101"/>
    </row>
    <row r="5668" spans="9:9" x14ac:dyDescent="0.3">
      <c r="I5668" s="101"/>
    </row>
    <row r="5669" spans="9:9" x14ac:dyDescent="0.3">
      <c r="I5669" s="101"/>
    </row>
    <row r="5670" spans="9:9" x14ac:dyDescent="0.3">
      <c r="I5670" s="101"/>
    </row>
    <row r="5671" spans="9:9" x14ac:dyDescent="0.3">
      <c r="I5671" s="101"/>
    </row>
    <row r="5672" spans="9:9" x14ac:dyDescent="0.3">
      <c r="I5672" s="101"/>
    </row>
    <row r="5673" spans="9:9" x14ac:dyDescent="0.3">
      <c r="I5673" s="101"/>
    </row>
    <row r="5674" spans="9:9" x14ac:dyDescent="0.3">
      <c r="I5674" s="101"/>
    </row>
    <row r="5675" spans="9:9" x14ac:dyDescent="0.3">
      <c r="I5675" s="101"/>
    </row>
    <row r="5676" spans="9:9" x14ac:dyDescent="0.3">
      <c r="I5676" s="101"/>
    </row>
    <row r="5677" spans="9:9" x14ac:dyDescent="0.3">
      <c r="I5677" s="101"/>
    </row>
    <row r="5678" spans="9:9" x14ac:dyDescent="0.3">
      <c r="I5678" s="101"/>
    </row>
    <row r="5679" spans="9:9" x14ac:dyDescent="0.3">
      <c r="I5679" s="101"/>
    </row>
    <row r="5680" spans="9:9" x14ac:dyDescent="0.3">
      <c r="I5680" s="101"/>
    </row>
    <row r="5681" spans="9:9" x14ac:dyDescent="0.3">
      <c r="I5681" s="101"/>
    </row>
    <row r="5682" spans="9:9" x14ac:dyDescent="0.3">
      <c r="I5682" s="101"/>
    </row>
    <row r="5683" spans="9:9" x14ac:dyDescent="0.3">
      <c r="I5683" s="101"/>
    </row>
    <row r="5684" spans="9:9" x14ac:dyDescent="0.3">
      <c r="I5684" s="101"/>
    </row>
    <row r="5685" spans="9:9" x14ac:dyDescent="0.3">
      <c r="I5685" s="101"/>
    </row>
    <row r="5686" spans="9:9" x14ac:dyDescent="0.3">
      <c r="I5686" s="101"/>
    </row>
    <row r="5687" spans="9:9" x14ac:dyDescent="0.3">
      <c r="I5687" s="101"/>
    </row>
    <row r="5688" spans="9:9" x14ac:dyDescent="0.3">
      <c r="I5688" s="101"/>
    </row>
    <row r="5689" spans="9:9" x14ac:dyDescent="0.3">
      <c r="I5689" s="101"/>
    </row>
    <row r="5690" spans="9:9" x14ac:dyDescent="0.3">
      <c r="I5690" s="101"/>
    </row>
    <row r="5691" spans="9:9" x14ac:dyDescent="0.3">
      <c r="I5691" s="101"/>
    </row>
    <row r="5692" spans="9:9" x14ac:dyDescent="0.3">
      <c r="I5692" s="101"/>
    </row>
    <row r="5693" spans="9:9" x14ac:dyDescent="0.3">
      <c r="I5693" s="101"/>
    </row>
    <row r="5694" spans="9:9" x14ac:dyDescent="0.3">
      <c r="I5694" s="101"/>
    </row>
    <row r="5695" spans="9:9" x14ac:dyDescent="0.3">
      <c r="I5695" s="101"/>
    </row>
    <row r="5696" spans="9:9" x14ac:dyDescent="0.3">
      <c r="I5696" s="101"/>
    </row>
    <row r="5697" spans="9:9" x14ac:dyDescent="0.3">
      <c r="I5697" s="101"/>
    </row>
    <row r="5698" spans="9:9" x14ac:dyDescent="0.3">
      <c r="I5698" s="101"/>
    </row>
    <row r="5699" spans="9:9" x14ac:dyDescent="0.3">
      <c r="I5699" s="101"/>
    </row>
    <row r="5700" spans="9:9" x14ac:dyDescent="0.3">
      <c r="I5700" s="101"/>
    </row>
    <row r="5701" spans="9:9" x14ac:dyDescent="0.3">
      <c r="I5701" s="101"/>
    </row>
    <row r="5702" spans="9:9" x14ac:dyDescent="0.3">
      <c r="I5702" s="101"/>
    </row>
    <row r="5703" spans="9:9" x14ac:dyDescent="0.3">
      <c r="I5703" s="101"/>
    </row>
    <row r="5704" spans="9:9" x14ac:dyDescent="0.3">
      <c r="I5704" s="101"/>
    </row>
    <row r="5705" spans="9:9" x14ac:dyDescent="0.3">
      <c r="I5705" s="101"/>
    </row>
    <row r="5706" spans="9:9" x14ac:dyDescent="0.3">
      <c r="I5706" s="101"/>
    </row>
    <row r="5707" spans="9:9" x14ac:dyDescent="0.3">
      <c r="I5707" s="101"/>
    </row>
    <row r="5708" spans="9:9" x14ac:dyDescent="0.3">
      <c r="I5708" s="101"/>
    </row>
    <row r="5709" spans="9:9" x14ac:dyDescent="0.3">
      <c r="I5709" s="101"/>
    </row>
    <row r="5710" spans="9:9" x14ac:dyDescent="0.3">
      <c r="I5710" s="101"/>
    </row>
    <row r="5711" spans="9:9" x14ac:dyDescent="0.3">
      <c r="I5711" s="101"/>
    </row>
    <row r="5712" spans="9:9" x14ac:dyDescent="0.3">
      <c r="I5712" s="101"/>
    </row>
    <row r="5713" spans="9:9" x14ac:dyDescent="0.3">
      <c r="I5713" s="101"/>
    </row>
    <row r="5714" spans="9:9" x14ac:dyDescent="0.3">
      <c r="I5714" s="101"/>
    </row>
    <row r="5715" spans="9:9" x14ac:dyDescent="0.3">
      <c r="I5715" s="101"/>
    </row>
    <row r="5716" spans="9:9" x14ac:dyDescent="0.3">
      <c r="I5716" s="101"/>
    </row>
    <row r="5717" spans="9:9" x14ac:dyDescent="0.3">
      <c r="I5717" s="101"/>
    </row>
    <row r="5718" spans="9:9" x14ac:dyDescent="0.3">
      <c r="I5718" s="101"/>
    </row>
    <row r="5719" spans="9:9" x14ac:dyDescent="0.3">
      <c r="I5719" s="101"/>
    </row>
    <row r="5720" spans="9:9" x14ac:dyDescent="0.3">
      <c r="I5720" s="101"/>
    </row>
    <row r="5721" spans="9:9" x14ac:dyDescent="0.3">
      <c r="I5721" s="101"/>
    </row>
    <row r="5722" spans="9:9" x14ac:dyDescent="0.3">
      <c r="I5722" s="101"/>
    </row>
    <row r="5723" spans="9:9" x14ac:dyDescent="0.3">
      <c r="I5723" s="101"/>
    </row>
    <row r="5724" spans="9:9" x14ac:dyDescent="0.3">
      <c r="I5724" s="101"/>
    </row>
    <row r="5725" spans="9:9" x14ac:dyDescent="0.3">
      <c r="I5725" s="101"/>
    </row>
    <row r="5726" spans="9:9" x14ac:dyDescent="0.3">
      <c r="I5726" s="101"/>
    </row>
    <row r="5727" spans="9:9" x14ac:dyDescent="0.3">
      <c r="I5727" s="101"/>
    </row>
    <row r="5728" spans="9:9" x14ac:dyDescent="0.3">
      <c r="I5728" s="101"/>
    </row>
    <row r="5729" spans="9:9" x14ac:dyDescent="0.3">
      <c r="I5729" s="101"/>
    </row>
    <row r="5730" spans="9:9" x14ac:dyDescent="0.3">
      <c r="I5730" s="101"/>
    </row>
    <row r="5731" spans="9:9" x14ac:dyDescent="0.3">
      <c r="I5731" s="101"/>
    </row>
    <row r="5732" spans="9:9" x14ac:dyDescent="0.3">
      <c r="I5732" s="101"/>
    </row>
    <row r="5733" spans="9:9" x14ac:dyDescent="0.3">
      <c r="I5733" s="101"/>
    </row>
    <row r="5734" spans="9:9" x14ac:dyDescent="0.3">
      <c r="I5734" s="101"/>
    </row>
    <row r="5735" spans="9:9" x14ac:dyDescent="0.3">
      <c r="I5735" s="101"/>
    </row>
    <row r="5736" spans="9:9" x14ac:dyDescent="0.3">
      <c r="I5736" s="101"/>
    </row>
    <row r="5737" spans="9:9" x14ac:dyDescent="0.3">
      <c r="I5737" s="101"/>
    </row>
    <row r="5738" spans="9:9" x14ac:dyDescent="0.3">
      <c r="I5738" s="101"/>
    </row>
    <row r="5739" spans="9:9" x14ac:dyDescent="0.3">
      <c r="I5739" s="101"/>
    </row>
    <row r="5740" spans="9:9" x14ac:dyDescent="0.3">
      <c r="I5740" s="101"/>
    </row>
    <row r="5741" spans="9:9" x14ac:dyDescent="0.3">
      <c r="I5741" s="101"/>
    </row>
    <row r="5742" spans="9:9" x14ac:dyDescent="0.3">
      <c r="I5742" s="101"/>
    </row>
    <row r="5743" spans="9:9" x14ac:dyDescent="0.3">
      <c r="I5743" s="101"/>
    </row>
    <row r="5744" spans="9:9" x14ac:dyDescent="0.3">
      <c r="I5744" s="101"/>
    </row>
    <row r="5745" spans="9:9" x14ac:dyDescent="0.3">
      <c r="I5745" s="101"/>
    </row>
    <row r="5746" spans="9:9" x14ac:dyDescent="0.3">
      <c r="I5746" s="101"/>
    </row>
    <row r="5747" spans="9:9" x14ac:dyDescent="0.3">
      <c r="I5747" s="101"/>
    </row>
    <row r="5748" spans="9:9" x14ac:dyDescent="0.3">
      <c r="I5748" s="101"/>
    </row>
    <row r="5749" spans="9:9" x14ac:dyDescent="0.3">
      <c r="I5749" s="101"/>
    </row>
    <row r="5750" spans="9:9" x14ac:dyDescent="0.3">
      <c r="I5750" s="101"/>
    </row>
    <row r="5751" spans="9:9" x14ac:dyDescent="0.3">
      <c r="I5751" s="101"/>
    </row>
    <row r="5752" spans="9:9" x14ac:dyDescent="0.3">
      <c r="I5752" s="101"/>
    </row>
    <row r="5753" spans="9:9" x14ac:dyDescent="0.3">
      <c r="I5753" s="101"/>
    </row>
    <row r="5754" spans="9:9" x14ac:dyDescent="0.3">
      <c r="I5754" s="101"/>
    </row>
    <row r="5755" spans="9:9" x14ac:dyDescent="0.3">
      <c r="I5755" s="101"/>
    </row>
    <row r="5756" spans="9:9" x14ac:dyDescent="0.3">
      <c r="I5756" s="101"/>
    </row>
    <row r="5757" spans="9:9" x14ac:dyDescent="0.3">
      <c r="I5757" s="101"/>
    </row>
    <row r="5758" spans="9:9" x14ac:dyDescent="0.3">
      <c r="I5758" s="101"/>
    </row>
    <row r="5759" spans="9:9" x14ac:dyDescent="0.3">
      <c r="I5759" s="101"/>
    </row>
    <row r="5760" spans="9:9" x14ac:dyDescent="0.3">
      <c r="I5760" s="101"/>
    </row>
    <row r="5761" spans="9:9" x14ac:dyDescent="0.3">
      <c r="I5761" s="101"/>
    </row>
    <row r="5762" spans="9:9" x14ac:dyDescent="0.3">
      <c r="I5762" s="101"/>
    </row>
    <row r="5763" spans="9:9" x14ac:dyDescent="0.3">
      <c r="I5763" s="101"/>
    </row>
    <row r="5764" spans="9:9" x14ac:dyDescent="0.3">
      <c r="I5764" s="101"/>
    </row>
    <row r="5765" spans="9:9" x14ac:dyDescent="0.3">
      <c r="I5765" s="101"/>
    </row>
    <row r="5766" spans="9:9" x14ac:dyDescent="0.3">
      <c r="I5766" s="101"/>
    </row>
    <row r="5767" spans="9:9" x14ac:dyDescent="0.3">
      <c r="I5767" s="101"/>
    </row>
    <row r="5768" spans="9:9" x14ac:dyDescent="0.3">
      <c r="I5768" s="101"/>
    </row>
    <row r="5769" spans="9:9" x14ac:dyDescent="0.3">
      <c r="I5769" s="101"/>
    </row>
    <row r="5770" spans="9:9" x14ac:dyDescent="0.3">
      <c r="I5770" s="101"/>
    </row>
    <row r="5771" spans="9:9" x14ac:dyDescent="0.3">
      <c r="I5771" s="101"/>
    </row>
    <row r="5772" spans="9:9" x14ac:dyDescent="0.3">
      <c r="I5772" s="101"/>
    </row>
    <row r="5773" spans="9:9" x14ac:dyDescent="0.3">
      <c r="I5773" s="101"/>
    </row>
    <row r="5774" spans="9:9" x14ac:dyDescent="0.3">
      <c r="I5774" s="101"/>
    </row>
    <row r="5775" spans="9:9" x14ac:dyDescent="0.3">
      <c r="I5775" s="101"/>
    </row>
    <row r="5776" spans="9:9" x14ac:dyDescent="0.3">
      <c r="I5776" s="101"/>
    </row>
    <row r="5777" spans="9:9" x14ac:dyDescent="0.3">
      <c r="I5777" s="101"/>
    </row>
    <row r="5778" spans="9:9" x14ac:dyDescent="0.3">
      <c r="I5778" s="101"/>
    </row>
    <row r="5779" spans="9:9" x14ac:dyDescent="0.3">
      <c r="I5779" s="101"/>
    </row>
    <row r="5780" spans="9:9" x14ac:dyDescent="0.3">
      <c r="I5780" s="101"/>
    </row>
    <row r="5781" spans="9:9" x14ac:dyDescent="0.3">
      <c r="I5781" s="101"/>
    </row>
    <row r="5782" spans="9:9" x14ac:dyDescent="0.3">
      <c r="I5782" s="101"/>
    </row>
    <row r="5783" spans="9:9" x14ac:dyDescent="0.3">
      <c r="I5783" s="101"/>
    </row>
    <row r="5784" spans="9:9" x14ac:dyDescent="0.3">
      <c r="I5784" s="101"/>
    </row>
    <row r="5785" spans="9:9" x14ac:dyDescent="0.3">
      <c r="I5785" s="101"/>
    </row>
    <row r="5786" spans="9:9" x14ac:dyDescent="0.3">
      <c r="I5786" s="101"/>
    </row>
    <row r="5787" spans="9:9" x14ac:dyDescent="0.3">
      <c r="I5787" s="101"/>
    </row>
    <row r="5788" spans="9:9" x14ac:dyDescent="0.3">
      <c r="I5788" s="101"/>
    </row>
    <row r="5789" spans="9:9" x14ac:dyDescent="0.3">
      <c r="I5789" s="101"/>
    </row>
    <row r="5790" spans="9:9" x14ac:dyDescent="0.3">
      <c r="I5790" s="101"/>
    </row>
    <row r="5791" spans="9:9" x14ac:dyDescent="0.3">
      <c r="I5791" s="101"/>
    </row>
    <row r="5792" spans="9:9" x14ac:dyDescent="0.3">
      <c r="I5792" s="101"/>
    </row>
    <row r="5793" spans="9:9" x14ac:dyDescent="0.3">
      <c r="I5793" s="101"/>
    </row>
    <row r="5794" spans="9:9" x14ac:dyDescent="0.3">
      <c r="I5794" s="101"/>
    </row>
    <row r="5795" spans="9:9" x14ac:dyDescent="0.3">
      <c r="I5795" s="101"/>
    </row>
    <row r="5796" spans="9:9" x14ac:dyDescent="0.3">
      <c r="I5796" s="101"/>
    </row>
    <row r="5797" spans="9:9" x14ac:dyDescent="0.3">
      <c r="I5797" s="101"/>
    </row>
    <row r="5798" spans="9:9" x14ac:dyDescent="0.3">
      <c r="I5798" s="101"/>
    </row>
    <row r="5799" spans="9:9" x14ac:dyDescent="0.3">
      <c r="I5799" s="101"/>
    </row>
    <row r="5800" spans="9:9" x14ac:dyDescent="0.3">
      <c r="I5800" s="101"/>
    </row>
    <row r="5801" spans="9:9" x14ac:dyDescent="0.3">
      <c r="I5801" s="101"/>
    </row>
    <row r="5802" spans="9:9" x14ac:dyDescent="0.3">
      <c r="I5802" s="101"/>
    </row>
    <row r="5803" spans="9:9" x14ac:dyDescent="0.3">
      <c r="I5803" s="101"/>
    </row>
    <row r="5804" spans="9:9" x14ac:dyDescent="0.3">
      <c r="I5804" s="101"/>
    </row>
    <row r="5805" spans="9:9" x14ac:dyDescent="0.3">
      <c r="I5805" s="101"/>
    </row>
    <row r="5806" spans="9:9" x14ac:dyDescent="0.3">
      <c r="I5806" s="101"/>
    </row>
    <row r="5807" spans="9:9" x14ac:dyDescent="0.3">
      <c r="I5807" s="101"/>
    </row>
    <row r="5808" spans="9:9" x14ac:dyDescent="0.3">
      <c r="I5808" s="101"/>
    </row>
    <row r="5809" spans="9:9" x14ac:dyDescent="0.3">
      <c r="I5809" s="101"/>
    </row>
    <row r="5810" spans="9:9" x14ac:dyDescent="0.3">
      <c r="I5810" s="101"/>
    </row>
    <row r="5811" spans="9:9" x14ac:dyDescent="0.3">
      <c r="I5811" s="101"/>
    </row>
    <row r="5812" spans="9:9" x14ac:dyDescent="0.3">
      <c r="I5812" s="101"/>
    </row>
    <row r="5813" spans="9:9" x14ac:dyDescent="0.3">
      <c r="I5813" s="101"/>
    </row>
    <row r="5814" spans="9:9" x14ac:dyDescent="0.3">
      <c r="I5814" s="101"/>
    </row>
    <row r="5815" spans="9:9" x14ac:dyDescent="0.3">
      <c r="I5815" s="101"/>
    </row>
    <row r="5816" spans="9:9" x14ac:dyDescent="0.3">
      <c r="I5816" s="101"/>
    </row>
    <row r="5817" spans="9:9" x14ac:dyDescent="0.3">
      <c r="I5817" s="101"/>
    </row>
    <row r="5818" spans="9:9" x14ac:dyDescent="0.3">
      <c r="I5818" s="101"/>
    </row>
    <row r="5819" spans="9:9" x14ac:dyDescent="0.3">
      <c r="I5819" s="101"/>
    </row>
    <row r="5820" spans="9:9" x14ac:dyDescent="0.3">
      <c r="I5820" s="101"/>
    </row>
    <row r="5821" spans="9:9" x14ac:dyDescent="0.3">
      <c r="I5821" s="101"/>
    </row>
    <row r="5822" spans="9:9" x14ac:dyDescent="0.3">
      <c r="I5822" s="101"/>
    </row>
    <row r="5823" spans="9:9" x14ac:dyDescent="0.3">
      <c r="I5823" s="101"/>
    </row>
    <row r="5824" spans="9:9" x14ac:dyDescent="0.3">
      <c r="I5824" s="101"/>
    </row>
    <row r="5825" spans="9:9" x14ac:dyDescent="0.3">
      <c r="I5825" s="101"/>
    </row>
    <row r="5826" spans="9:9" x14ac:dyDescent="0.3">
      <c r="I5826" s="101"/>
    </row>
    <row r="5827" spans="9:9" x14ac:dyDescent="0.3">
      <c r="I5827" s="101"/>
    </row>
    <row r="5828" spans="9:9" x14ac:dyDescent="0.3">
      <c r="I5828" s="101"/>
    </row>
    <row r="5829" spans="9:9" x14ac:dyDescent="0.3">
      <c r="I5829" s="101"/>
    </row>
    <row r="5830" spans="9:9" x14ac:dyDescent="0.3">
      <c r="I5830" s="101"/>
    </row>
    <row r="5831" spans="9:9" x14ac:dyDescent="0.3">
      <c r="I5831" s="101"/>
    </row>
    <row r="5832" spans="9:9" x14ac:dyDescent="0.3">
      <c r="I5832" s="101"/>
    </row>
    <row r="5833" spans="9:9" x14ac:dyDescent="0.3">
      <c r="I5833" s="101"/>
    </row>
    <row r="5834" spans="9:9" x14ac:dyDescent="0.3">
      <c r="I5834" s="101"/>
    </row>
    <row r="5835" spans="9:9" x14ac:dyDescent="0.3">
      <c r="I5835" s="101"/>
    </row>
    <row r="5836" spans="9:9" x14ac:dyDescent="0.3">
      <c r="I5836" s="101"/>
    </row>
    <row r="5837" spans="9:9" x14ac:dyDescent="0.3">
      <c r="I5837" s="101"/>
    </row>
    <row r="5838" spans="9:9" x14ac:dyDescent="0.3">
      <c r="I5838" s="101"/>
    </row>
    <row r="5839" spans="9:9" x14ac:dyDescent="0.3">
      <c r="I5839" s="101"/>
    </row>
    <row r="5840" spans="9:9" x14ac:dyDescent="0.3">
      <c r="I5840" s="101"/>
    </row>
    <row r="5841" spans="9:9" x14ac:dyDescent="0.3">
      <c r="I5841" s="101"/>
    </row>
    <row r="5842" spans="9:9" x14ac:dyDescent="0.3">
      <c r="I5842" s="101"/>
    </row>
    <row r="5843" spans="9:9" x14ac:dyDescent="0.3">
      <c r="I5843" s="101"/>
    </row>
    <row r="5844" spans="9:9" x14ac:dyDescent="0.3">
      <c r="I5844" s="101"/>
    </row>
    <row r="5845" spans="9:9" x14ac:dyDescent="0.3">
      <c r="I5845" s="101"/>
    </row>
    <row r="5846" spans="9:9" x14ac:dyDescent="0.3">
      <c r="I5846" s="101"/>
    </row>
    <row r="5847" spans="9:9" x14ac:dyDescent="0.3">
      <c r="I5847" s="101"/>
    </row>
    <row r="5848" spans="9:9" x14ac:dyDescent="0.3">
      <c r="I5848" s="101"/>
    </row>
    <row r="5849" spans="9:9" x14ac:dyDescent="0.3">
      <c r="I5849" s="101"/>
    </row>
    <row r="5850" spans="9:9" x14ac:dyDescent="0.3">
      <c r="I5850" s="101"/>
    </row>
    <row r="5851" spans="9:9" x14ac:dyDescent="0.3">
      <c r="I5851" s="101"/>
    </row>
    <row r="5852" spans="9:9" x14ac:dyDescent="0.3">
      <c r="I5852" s="101"/>
    </row>
    <row r="5853" spans="9:9" x14ac:dyDescent="0.3">
      <c r="I5853" s="101"/>
    </row>
    <row r="5854" spans="9:9" x14ac:dyDescent="0.3">
      <c r="I5854" s="101"/>
    </row>
    <row r="5855" spans="9:9" x14ac:dyDescent="0.3">
      <c r="I5855" s="101"/>
    </row>
    <row r="5856" spans="9:9" x14ac:dyDescent="0.3">
      <c r="I5856" s="101"/>
    </row>
    <row r="5857" spans="9:9" x14ac:dyDescent="0.3">
      <c r="I5857" s="101"/>
    </row>
    <row r="5858" spans="9:9" x14ac:dyDescent="0.3">
      <c r="I5858" s="101"/>
    </row>
    <row r="5859" spans="9:9" x14ac:dyDescent="0.3">
      <c r="I5859" s="101"/>
    </row>
    <row r="5860" spans="9:9" x14ac:dyDescent="0.3">
      <c r="I5860" s="101"/>
    </row>
    <row r="5861" spans="9:9" x14ac:dyDescent="0.3">
      <c r="I5861" s="101"/>
    </row>
    <row r="5862" spans="9:9" x14ac:dyDescent="0.3">
      <c r="I5862" s="101"/>
    </row>
    <row r="5863" spans="9:9" x14ac:dyDescent="0.3">
      <c r="I5863" s="101"/>
    </row>
    <row r="5864" spans="9:9" x14ac:dyDescent="0.3">
      <c r="I5864" s="101"/>
    </row>
    <row r="5865" spans="9:9" x14ac:dyDescent="0.3">
      <c r="I5865" s="101"/>
    </row>
    <row r="5866" spans="9:9" x14ac:dyDescent="0.3">
      <c r="I5866" s="101"/>
    </row>
    <row r="5867" spans="9:9" x14ac:dyDescent="0.3">
      <c r="I5867" s="101"/>
    </row>
    <row r="5868" spans="9:9" x14ac:dyDescent="0.3">
      <c r="I5868" s="101"/>
    </row>
    <row r="5869" spans="9:9" x14ac:dyDescent="0.3">
      <c r="I5869" s="101"/>
    </row>
    <row r="5870" spans="9:9" x14ac:dyDescent="0.3">
      <c r="I5870" s="101"/>
    </row>
    <row r="5871" spans="9:9" x14ac:dyDescent="0.3">
      <c r="I5871" s="101"/>
    </row>
    <row r="5872" spans="9:9" x14ac:dyDescent="0.3">
      <c r="I5872" s="101"/>
    </row>
    <row r="5873" spans="9:9" x14ac:dyDescent="0.3">
      <c r="I5873" s="101"/>
    </row>
    <row r="5874" spans="9:9" x14ac:dyDescent="0.3">
      <c r="I5874" s="101"/>
    </row>
    <row r="5875" spans="9:9" x14ac:dyDescent="0.3">
      <c r="I5875" s="101"/>
    </row>
    <row r="5876" spans="9:9" x14ac:dyDescent="0.3">
      <c r="I5876" s="101"/>
    </row>
    <row r="5877" spans="9:9" x14ac:dyDescent="0.3">
      <c r="I5877" s="101"/>
    </row>
    <row r="5878" spans="9:9" x14ac:dyDescent="0.3">
      <c r="I5878" s="101"/>
    </row>
    <row r="5879" spans="9:9" x14ac:dyDescent="0.3">
      <c r="I5879" s="101"/>
    </row>
    <row r="5880" spans="9:9" x14ac:dyDescent="0.3">
      <c r="I5880" s="101"/>
    </row>
    <row r="5881" spans="9:9" x14ac:dyDescent="0.3">
      <c r="I5881" s="101"/>
    </row>
    <row r="5882" spans="9:9" x14ac:dyDescent="0.3">
      <c r="I5882" s="101"/>
    </row>
    <row r="5883" spans="9:9" x14ac:dyDescent="0.3">
      <c r="I5883" s="101"/>
    </row>
    <row r="5884" spans="9:9" x14ac:dyDescent="0.3">
      <c r="I5884" s="101"/>
    </row>
    <row r="5885" spans="9:9" x14ac:dyDescent="0.3">
      <c r="I5885" s="101"/>
    </row>
    <row r="5886" spans="9:9" x14ac:dyDescent="0.3">
      <c r="I5886" s="101"/>
    </row>
    <row r="5887" spans="9:9" x14ac:dyDescent="0.3">
      <c r="I5887" s="101"/>
    </row>
    <row r="5888" spans="9:9" x14ac:dyDescent="0.3">
      <c r="I5888" s="101"/>
    </row>
    <row r="5889" spans="9:9" x14ac:dyDescent="0.3">
      <c r="I5889" s="101"/>
    </row>
    <row r="5890" spans="9:9" x14ac:dyDescent="0.3">
      <c r="I5890" s="101"/>
    </row>
    <row r="5891" spans="9:9" x14ac:dyDescent="0.3">
      <c r="I5891" s="101"/>
    </row>
    <row r="5892" spans="9:9" x14ac:dyDescent="0.3">
      <c r="I5892" s="101"/>
    </row>
    <row r="5893" spans="9:9" x14ac:dyDescent="0.3">
      <c r="I5893" s="101"/>
    </row>
    <row r="5894" spans="9:9" x14ac:dyDescent="0.3">
      <c r="I5894" s="101"/>
    </row>
    <row r="5895" spans="9:9" x14ac:dyDescent="0.3">
      <c r="I5895" s="101"/>
    </row>
    <row r="5896" spans="9:9" x14ac:dyDescent="0.3">
      <c r="I5896" s="101"/>
    </row>
    <row r="5897" spans="9:9" x14ac:dyDescent="0.3">
      <c r="I5897" s="101"/>
    </row>
    <row r="5898" spans="9:9" x14ac:dyDescent="0.3">
      <c r="I5898" s="101"/>
    </row>
    <row r="5899" spans="9:9" x14ac:dyDescent="0.3">
      <c r="I5899" s="101"/>
    </row>
    <row r="5900" spans="9:9" x14ac:dyDescent="0.3">
      <c r="I5900" s="101"/>
    </row>
    <row r="5901" spans="9:9" x14ac:dyDescent="0.3">
      <c r="I5901" s="101"/>
    </row>
    <row r="5902" spans="9:9" x14ac:dyDescent="0.3">
      <c r="I5902" s="101"/>
    </row>
    <row r="5903" spans="9:9" x14ac:dyDescent="0.3">
      <c r="I5903" s="101"/>
    </row>
    <row r="5904" spans="9:9" x14ac:dyDescent="0.3">
      <c r="I5904" s="101"/>
    </row>
    <row r="5905" spans="9:9" x14ac:dyDescent="0.3">
      <c r="I5905" s="101"/>
    </row>
    <row r="5906" spans="9:9" x14ac:dyDescent="0.3">
      <c r="I5906" s="101"/>
    </row>
    <row r="5907" spans="9:9" x14ac:dyDescent="0.3">
      <c r="I5907" s="101"/>
    </row>
    <row r="5908" spans="9:9" x14ac:dyDescent="0.3">
      <c r="I5908" s="101"/>
    </row>
    <row r="5909" spans="9:9" x14ac:dyDescent="0.3">
      <c r="I5909" s="101"/>
    </row>
    <row r="5910" spans="9:9" x14ac:dyDescent="0.3">
      <c r="I5910" s="101"/>
    </row>
    <row r="5911" spans="9:9" x14ac:dyDescent="0.3">
      <c r="I5911" s="101"/>
    </row>
    <row r="5912" spans="9:9" x14ac:dyDescent="0.3">
      <c r="I5912" s="101"/>
    </row>
    <row r="5913" spans="9:9" x14ac:dyDescent="0.3">
      <c r="I5913" s="101"/>
    </row>
    <row r="5914" spans="9:9" x14ac:dyDescent="0.3">
      <c r="I5914" s="101"/>
    </row>
    <row r="5915" spans="9:9" x14ac:dyDescent="0.3">
      <c r="I5915" s="101"/>
    </row>
    <row r="5916" spans="9:9" x14ac:dyDescent="0.3">
      <c r="I5916" s="101"/>
    </row>
    <row r="5917" spans="9:9" x14ac:dyDescent="0.3">
      <c r="I5917" s="101"/>
    </row>
    <row r="5918" spans="9:9" x14ac:dyDescent="0.3">
      <c r="I5918" s="101"/>
    </row>
    <row r="5919" spans="9:9" x14ac:dyDescent="0.3">
      <c r="I5919" s="101"/>
    </row>
    <row r="5920" spans="9:9" x14ac:dyDescent="0.3">
      <c r="I5920" s="101"/>
    </row>
    <row r="5921" spans="9:9" x14ac:dyDescent="0.3">
      <c r="I5921" s="101"/>
    </row>
    <row r="5922" spans="9:9" x14ac:dyDescent="0.3">
      <c r="I5922" s="101"/>
    </row>
    <row r="5923" spans="9:9" x14ac:dyDescent="0.3">
      <c r="I5923" s="101"/>
    </row>
    <row r="5924" spans="9:9" x14ac:dyDescent="0.3">
      <c r="I5924" s="101"/>
    </row>
    <row r="5925" spans="9:9" x14ac:dyDescent="0.3">
      <c r="I5925" s="101"/>
    </row>
    <row r="5926" spans="9:9" x14ac:dyDescent="0.3">
      <c r="I5926" s="101"/>
    </row>
    <row r="5927" spans="9:9" x14ac:dyDescent="0.3">
      <c r="I5927" s="101"/>
    </row>
    <row r="5928" spans="9:9" x14ac:dyDescent="0.3">
      <c r="I5928" s="101"/>
    </row>
    <row r="5929" spans="9:9" x14ac:dyDescent="0.3">
      <c r="I5929" s="101"/>
    </row>
    <row r="5930" spans="9:9" x14ac:dyDescent="0.3">
      <c r="I5930" s="101"/>
    </row>
    <row r="5931" spans="9:9" x14ac:dyDescent="0.3">
      <c r="I5931" s="101"/>
    </row>
    <row r="5932" spans="9:9" x14ac:dyDescent="0.3">
      <c r="I5932" s="101"/>
    </row>
    <row r="5933" spans="9:9" x14ac:dyDescent="0.3">
      <c r="I5933" s="101"/>
    </row>
    <row r="5934" spans="9:9" x14ac:dyDescent="0.3">
      <c r="I5934" s="101"/>
    </row>
    <row r="5935" spans="9:9" x14ac:dyDescent="0.3">
      <c r="I5935" s="101"/>
    </row>
    <row r="5936" spans="9:9" x14ac:dyDescent="0.3">
      <c r="I5936" s="101"/>
    </row>
    <row r="5937" spans="9:9" x14ac:dyDescent="0.3">
      <c r="I5937" s="101"/>
    </row>
    <row r="5938" spans="9:9" x14ac:dyDescent="0.3">
      <c r="I5938" s="101"/>
    </row>
    <row r="5939" spans="9:9" x14ac:dyDescent="0.3">
      <c r="I5939" s="101"/>
    </row>
    <row r="5940" spans="9:9" x14ac:dyDescent="0.3">
      <c r="I5940" s="101"/>
    </row>
    <row r="5941" spans="9:9" x14ac:dyDescent="0.3">
      <c r="I5941" s="101"/>
    </row>
    <row r="5942" spans="9:9" x14ac:dyDescent="0.3">
      <c r="I5942" s="101"/>
    </row>
    <row r="5943" spans="9:9" x14ac:dyDescent="0.3">
      <c r="I5943" s="101"/>
    </row>
    <row r="5944" spans="9:9" x14ac:dyDescent="0.3">
      <c r="I5944" s="101"/>
    </row>
    <row r="5945" spans="9:9" x14ac:dyDescent="0.3">
      <c r="I5945" s="101"/>
    </row>
    <row r="5946" spans="9:9" x14ac:dyDescent="0.3">
      <c r="I5946" s="101"/>
    </row>
    <row r="5947" spans="9:9" x14ac:dyDescent="0.3">
      <c r="I5947" s="101"/>
    </row>
    <row r="5948" spans="9:9" x14ac:dyDescent="0.3">
      <c r="I5948" s="101"/>
    </row>
    <row r="5949" spans="9:9" x14ac:dyDescent="0.3">
      <c r="I5949" s="101"/>
    </row>
    <row r="5950" spans="9:9" x14ac:dyDescent="0.3">
      <c r="I5950" s="101"/>
    </row>
    <row r="5951" spans="9:9" x14ac:dyDescent="0.3">
      <c r="I5951" s="101"/>
    </row>
    <row r="5952" spans="9:9" x14ac:dyDescent="0.3">
      <c r="I5952" s="101"/>
    </row>
    <row r="5953" spans="9:9" x14ac:dyDescent="0.3">
      <c r="I5953" s="101"/>
    </row>
    <row r="5954" spans="9:9" x14ac:dyDescent="0.3">
      <c r="I5954" s="101"/>
    </row>
    <row r="5955" spans="9:9" x14ac:dyDescent="0.3">
      <c r="I5955" s="101"/>
    </row>
    <row r="5956" spans="9:9" x14ac:dyDescent="0.3">
      <c r="I5956" s="101"/>
    </row>
    <row r="5957" spans="9:9" x14ac:dyDescent="0.3">
      <c r="I5957" s="101"/>
    </row>
    <row r="5958" spans="9:9" x14ac:dyDescent="0.3">
      <c r="I5958" s="101"/>
    </row>
    <row r="5959" spans="9:9" x14ac:dyDescent="0.3">
      <c r="I5959" s="101"/>
    </row>
    <row r="5960" spans="9:9" x14ac:dyDescent="0.3">
      <c r="I5960" s="101"/>
    </row>
    <row r="5961" spans="9:9" x14ac:dyDescent="0.3">
      <c r="I5961" s="101"/>
    </row>
    <row r="5962" spans="9:9" x14ac:dyDescent="0.3">
      <c r="I5962" s="101"/>
    </row>
    <row r="5963" spans="9:9" x14ac:dyDescent="0.3">
      <c r="I5963" s="101"/>
    </row>
    <row r="5964" spans="9:9" x14ac:dyDescent="0.3">
      <c r="I5964" s="101"/>
    </row>
    <row r="5965" spans="9:9" x14ac:dyDescent="0.3">
      <c r="I5965" s="101"/>
    </row>
    <row r="5966" spans="9:9" x14ac:dyDescent="0.3">
      <c r="I5966" s="101"/>
    </row>
    <row r="5967" spans="9:9" x14ac:dyDescent="0.3">
      <c r="I5967" s="101"/>
    </row>
    <row r="5968" spans="9:9" x14ac:dyDescent="0.3">
      <c r="I5968" s="101"/>
    </row>
    <row r="5969" spans="9:9" x14ac:dyDescent="0.3">
      <c r="I5969" s="101"/>
    </row>
    <row r="5970" spans="9:9" x14ac:dyDescent="0.3">
      <c r="I5970" s="101"/>
    </row>
    <row r="5971" spans="9:9" x14ac:dyDescent="0.3">
      <c r="I5971" s="101"/>
    </row>
    <row r="5972" spans="9:9" x14ac:dyDescent="0.3">
      <c r="I5972" s="101"/>
    </row>
    <row r="5973" spans="9:9" x14ac:dyDescent="0.3">
      <c r="I5973" s="101"/>
    </row>
    <row r="5974" spans="9:9" x14ac:dyDescent="0.3">
      <c r="I5974" s="101"/>
    </row>
    <row r="5975" spans="9:9" x14ac:dyDescent="0.3">
      <c r="I5975" s="101"/>
    </row>
    <row r="5976" spans="9:9" x14ac:dyDescent="0.3">
      <c r="I5976" s="101"/>
    </row>
    <row r="5977" spans="9:9" x14ac:dyDescent="0.3">
      <c r="I5977" s="101"/>
    </row>
    <row r="5978" spans="9:9" x14ac:dyDescent="0.3">
      <c r="I5978" s="101"/>
    </row>
    <row r="5979" spans="9:9" x14ac:dyDescent="0.3">
      <c r="I5979" s="101"/>
    </row>
    <row r="5980" spans="9:9" x14ac:dyDescent="0.3">
      <c r="I5980" s="101"/>
    </row>
    <row r="5981" spans="9:9" x14ac:dyDescent="0.3">
      <c r="I5981" s="101"/>
    </row>
    <row r="5982" spans="9:9" x14ac:dyDescent="0.3">
      <c r="I5982" s="101"/>
    </row>
    <row r="5983" spans="9:9" x14ac:dyDescent="0.3">
      <c r="I5983" s="101"/>
    </row>
    <row r="5984" spans="9:9" x14ac:dyDescent="0.3">
      <c r="I5984" s="101"/>
    </row>
    <row r="5985" spans="9:9" x14ac:dyDescent="0.3">
      <c r="I5985" s="101"/>
    </row>
    <row r="5986" spans="9:9" x14ac:dyDescent="0.3">
      <c r="I5986" s="101"/>
    </row>
    <row r="5987" spans="9:9" x14ac:dyDescent="0.3">
      <c r="I5987" s="101"/>
    </row>
    <row r="5988" spans="9:9" x14ac:dyDescent="0.3">
      <c r="I5988" s="101"/>
    </row>
    <row r="5989" spans="9:9" x14ac:dyDescent="0.3">
      <c r="I5989" s="101"/>
    </row>
    <row r="5990" spans="9:9" x14ac:dyDescent="0.3">
      <c r="I5990" s="101"/>
    </row>
    <row r="5991" spans="9:9" x14ac:dyDescent="0.3">
      <c r="I5991" s="101"/>
    </row>
    <row r="5992" spans="9:9" x14ac:dyDescent="0.3">
      <c r="I5992" s="101"/>
    </row>
    <row r="5993" spans="9:9" x14ac:dyDescent="0.3">
      <c r="I5993" s="101"/>
    </row>
    <row r="5994" spans="9:9" x14ac:dyDescent="0.3">
      <c r="I5994" s="101"/>
    </row>
    <row r="5995" spans="9:9" x14ac:dyDescent="0.3">
      <c r="I5995" s="101"/>
    </row>
    <row r="5996" spans="9:9" x14ac:dyDescent="0.3">
      <c r="I5996" s="101"/>
    </row>
    <row r="5997" spans="9:9" x14ac:dyDescent="0.3">
      <c r="I5997" s="101"/>
    </row>
    <row r="5998" spans="9:9" x14ac:dyDescent="0.3">
      <c r="I5998" s="101"/>
    </row>
    <row r="5999" spans="9:9" x14ac:dyDescent="0.3">
      <c r="I5999" s="101"/>
    </row>
    <row r="6000" spans="9:9" x14ac:dyDescent="0.3">
      <c r="I6000" s="101"/>
    </row>
    <row r="6001" spans="9:9" x14ac:dyDescent="0.3">
      <c r="I6001" s="101"/>
    </row>
    <row r="6002" spans="9:9" x14ac:dyDescent="0.3">
      <c r="I6002" s="101"/>
    </row>
    <row r="6003" spans="9:9" x14ac:dyDescent="0.3">
      <c r="I6003" s="101"/>
    </row>
    <row r="6004" spans="9:9" x14ac:dyDescent="0.3">
      <c r="I6004" s="101"/>
    </row>
    <row r="6005" spans="9:9" x14ac:dyDescent="0.3">
      <c r="I6005" s="101"/>
    </row>
    <row r="6006" spans="9:9" x14ac:dyDescent="0.3">
      <c r="I6006" s="101"/>
    </row>
    <row r="6007" spans="9:9" x14ac:dyDescent="0.3">
      <c r="I6007" s="101"/>
    </row>
    <row r="6008" spans="9:9" x14ac:dyDescent="0.3">
      <c r="I6008" s="101"/>
    </row>
    <row r="6009" spans="9:9" x14ac:dyDescent="0.3">
      <c r="I6009" s="101"/>
    </row>
    <row r="6010" spans="9:9" x14ac:dyDescent="0.3">
      <c r="I6010" s="101"/>
    </row>
    <row r="6011" spans="9:9" x14ac:dyDescent="0.3">
      <c r="I6011" s="101"/>
    </row>
    <row r="6012" spans="9:9" x14ac:dyDescent="0.3">
      <c r="I6012" s="101"/>
    </row>
    <row r="6013" spans="9:9" x14ac:dyDescent="0.3">
      <c r="I6013" s="101"/>
    </row>
    <row r="6014" spans="9:9" x14ac:dyDescent="0.3">
      <c r="I6014" s="101"/>
    </row>
    <row r="6015" spans="9:9" x14ac:dyDescent="0.3">
      <c r="I6015" s="101"/>
    </row>
    <row r="6016" spans="9:9" x14ac:dyDescent="0.3">
      <c r="I6016" s="101"/>
    </row>
    <row r="6017" spans="9:9" x14ac:dyDescent="0.3">
      <c r="I6017" s="101"/>
    </row>
    <row r="6018" spans="9:9" x14ac:dyDescent="0.3">
      <c r="I6018" s="101"/>
    </row>
    <row r="6019" spans="9:9" x14ac:dyDescent="0.3">
      <c r="I6019" s="101"/>
    </row>
    <row r="6020" spans="9:9" x14ac:dyDescent="0.3">
      <c r="I6020" s="101"/>
    </row>
    <row r="6021" spans="9:9" x14ac:dyDescent="0.3">
      <c r="I6021" s="101"/>
    </row>
    <row r="6022" spans="9:9" x14ac:dyDescent="0.3">
      <c r="I6022" s="101"/>
    </row>
    <row r="6023" spans="9:9" x14ac:dyDescent="0.3">
      <c r="I6023" s="101"/>
    </row>
    <row r="6024" spans="9:9" x14ac:dyDescent="0.3">
      <c r="I6024" s="101"/>
    </row>
    <row r="6025" spans="9:9" x14ac:dyDescent="0.3">
      <c r="I6025" s="101"/>
    </row>
    <row r="6026" spans="9:9" x14ac:dyDescent="0.3">
      <c r="I6026" s="101"/>
    </row>
    <row r="6027" spans="9:9" x14ac:dyDescent="0.3">
      <c r="I6027" s="101"/>
    </row>
    <row r="6028" spans="9:9" x14ac:dyDescent="0.3">
      <c r="I6028" s="101"/>
    </row>
    <row r="6029" spans="9:9" x14ac:dyDescent="0.3">
      <c r="I6029" s="101"/>
    </row>
    <row r="6030" spans="9:9" x14ac:dyDescent="0.3">
      <c r="I6030" s="101"/>
    </row>
    <row r="6031" spans="9:9" x14ac:dyDescent="0.3">
      <c r="I6031" s="101"/>
    </row>
    <row r="6032" spans="9:9" x14ac:dyDescent="0.3">
      <c r="I6032" s="101"/>
    </row>
    <row r="6033" spans="9:9" x14ac:dyDescent="0.3">
      <c r="I6033" s="101"/>
    </row>
    <row r="6034" spans="9:9" x14ac:dyDescent="0.3">
      <c r="I6034" s="101"/>
    </row>
    <row r="6035" spans="9:9" x14ac:dyDescent="0.3">
      <c r="I6035" s="101"/>
    </row>
    <row r="6036" spans="9:9" x14ac:dyDescent="0.3">
      <c r="I6036" s="101"/>
    </row>
    <row r="6037" spans="9:9" x14ac:dyDescent="0.3">
      <c r="I6037" s="101"/>
    </row>
    <row r="6038" spans="9:9" x14ac:dyDescent="0.3">
      <c r="I6038" s="101"/>
    </row>
    <row r="6039" spans="9:9" x14ac:dyDescent="0.3">
      <c r="I6039" s="101"/>
    </row>
    <row r="6040" spans="9:9" x14ac:dyDescent="0.3">
      <c r="I6040" s="101"/>
    </row>
    <row r="6041" spans="9:9" x14ac:dyDescent="0.3">
      <c r="I6041" s="101"/>
    </row>
    <row r="6042" spans="9:9" x14ac:dyDescent="0.3">
      <c r="I6042" s="101"/>
    </row>
    <row r="6043" spans="9:9" x14ac:dyDescent="0.3">
      <c r="I6043" s="101"/>
    </row>
    <row r="6044" spans="9:9" x14ac:dyDescent="0.3">
      <c r="I6044" s="101"/>
    </row>
    <row r="6045" spans="9:9" x14ac:dyDescent="0.3">
      <c r="I6045" s="101"/>
    </row>
    <row r="6046" spans="9:9" x14ac:dyDescent="0.3">
      <c r="I6046" s="101"/>
    </row>
    <row r="6047" spans="9:9" x14ac:dyDescent="0.3">
      <c r="I6047" s="101"/>
    </row>
    <row r="6048" spans="9:9" x14ac:dyDescent="0.3">
      <c r="I6048" s="101"/>
    </row>
    <row r="6049" spans="9:9" x14ac:dyDescent="0.3">
      <c r="I6049" s="101"/>
    </row>
    <row r="6050" spans="9:9" x14ac:dyDescent="0.3">
      <c r="I6050" s="101"/>
    </row>
    <row r="6051" spans="9:9" x14ac:dyDescent="0.3">
      <c r="I6051" s="101"/>
    </row>
    <row r="6052" spans="9:9" x14ac:dyDescent="0.3">
      <c r="I6052" s="101"/>
    </row>
    <row r="6053" spans="9:9" x14ac:dyDescent="0.3">
      <c r="I6053" s="101"/>
    </row>
    <row r="6054" spans="9:9" x14ac:dyDescent="0.3">
      <c r="I6054" s="101"/>
    </row>
    <row r="6055" spans="9:9" x14ac:dyDescent="0.3">
      <c r="I6055" s="101"/>
    </row>
    <row r="6056" spans="9:9" x14ac:dyDescent="0.3">
      <c r="I6056" s="101"/>
    </row>
    <row r="6057" spans="9:9" x14ac:dyDescent="0.3">
      <c r="I6057" s="101"/>
    </row>
    <row r="6058" spans="9:9" x14ac:dyDescent="0.3">
      <c r="I6058" s="101"/>
    </row>
    <row r="6059" spans="9:9" x14ac:dyDescent="0.3">
      <c r="I6059" s="101"/>
    </row>
    <row r="6060" spans="9:9" x14ac:dyDescent="0.3">
      <c r="I6060" s="101"/>
    </row>
    <row r="6061" spans="9:9" x14ac:dyDescent="0.3">
      <c r="I6061" s="101"/>
    </row>
    <row r="6062" spans="9:9" x14ac:dyDescent="0.3">
      <c r="I6062" s="101"/>
    </row>
    <row r="6063" spans="9:9" x14ac:dyDescent="0.3">
      <c r="I6063" s="101"/>
    </row>
    <row r="6064" spans="9:9" x14ac:dyDescent="0.3">
      <c r="I6064" s="101"/>
    </row>
    <row r="6065" spans="9:9" x14ac:dyDescent="0.3">
      <c r="I6065" s="101"/>
    </row>
    <row r="6066" spans="9:9" x14ac:dyDescent="0.3">
      <c r="I6066" s="101"/>
    </row>
    <row r="6067" spans="9:9" x14ac:dyDescent="0.3">
      <c r="I6067" s="101"/>
    </row>
    <row r="6068" spans="9:9" x14ac:dyDescent="0.3">
      <c r="I6068" s="101"/>
    </row>
    <row r="6069" spans="9:9" x14ac:dyDescent="0.3">
      <c r="I6069" s="101"/>
    </row>
    <row r="6070" spans="9:9" x14ac:dyDescent="0.3">
      <c r="I6070" s="101"/>
    </row>
    <row r="6071" spans="9:9" x14ac:dyDescent="0.3">
      <c r="I6071" s="101"/>
    </row>
    <row r="6072" spans="9:9" x14ac:dyDescent="0.3">
      <c r="I6072" s="101"/>
    </row>
    <row r="6073" spans="9:9" x14ac:dyDescent="0.3">
      <c r="I6073" s="101"/>
    </row>
    <row r="6074" spans="9:9" x14ac:dyDescent="0.3">
      <c r="I6074" s="101"/>
    </row>
    <row r="6075" spans="9:9" x14ac:dyDescent="0.3">
      <c r="I6075" s="101"/>
    </row>
    <row r="6076" spans="9:9" x14ac:dyDescent="0.3">
      <c r="I6076" s="101"/>
    </row>
    <row r="6077" spans="9:9" x14ac:dyDescent="0.3">
      <c r="I6077" s="101"/>
    </row>
    <row r="6078" spans="9:9" x14ac:dyDescent="0.3">
      <c r="I6078" s="101"/>
    </row>
    <row r="6079" spans="9:9" x14ac:dyDescent="0.3">
      <c r="I6079" s="101"/>
    </row>
    <row r="6080" spans="9:9" x14ac:dyDescent="0.3">
      <c r="I6080" s="101"/>
    </row>
    <row r="6081" spans="9:9" x14ac:dyDescent="0.3">
      <c r="I6081" s="101"/>
    </row>
    <row r="6082" spans="9:9" x14ac:dyDescent="0.3">
      <c r="I6082" s="101"/>
    </row>
    <row r="6083" spans="9:9" x14ac:dyDescent="0.3">
      <c r="I6083" s="101"/>
    </row>
    <row r="6084" spans="9:9" x14ac:dyDescent="0.3">
      <c r="I6084" s="101"/>
    </row>
    <row r="6085" spans="9:9" x14ac:dyDescent="0.3">
      <c r="I6085" s="101"/>
    </row>
    <row r="6086" spans="9:9" x14ac:dyDescent="0.3">
      <c r="I6086" s="101"/>
    </row>
    <row r="6087" spans="9:9" x14ac:dyDescent="0.3">
      <c r="I6087" s="101"/>
    </row>
    <row r="6088" spans="9:9" x14ac:dyDescent="0.3">
      <c r="I6088" s="101"/>
    </row>
    <row r="6089" spans="9:9" x14ac:dyDescent="0.3">
      <c r="I6089" s="101"/>
    </row>
    <row r="6090" spans="9:9" x14ac:dyDescent="0.3">
      <c r="I6090" s="101"/>
    </row>
    <row r="6091" spans="9:9" x14ac:dyDescent="0.3">
      <c r="I6091" s="101"/>
    </row>
    <row r="6092" spans="9:9" x14ac:dyDescent="0.3">
      <c r="I6092" s="101"/>
    </row>
    <row r="6093" spans="9:9" x14ac:dyDescent="0.3">
      <c r="I6093" s="101"/>
    </row>
    <row r="6094" spans="9:9" x14ac:dyDescent="0.3">
      <c r="I6094" s="101"/>
    </row>
    <row r="6095" spans="9:9" x14ac:dyDescent="0.3">
      <c r="I6095" s="101"/>
    </row>
    <row r="6096" spans="9:9" x14ac:dyDescent="0.3">
      <c r="I6096" s="101"/>
    </row>
    <row r="6097" spans="9:9" x14ac:dyDescent="0.3">
      <c r="I6097" s="101"/>
    </row>
    <row r="6098" spans="9:9" x14ac:dyDescent="0.3">
      <c r="I6098" s="101"/>
    </row>
    <row r="6099" spans="9:9" x14ac:dyDescent="0.3">
      <c r="I6099" s="101"/>
    </row>
    <row r="6100" spans="9:9" x14ac:dyDescent="0.3">
      <c r="I6100" s="101"/>
    </row>
    <row r="6101" spans="9:9" x14ac:dyDescent="0.3">
      <c r="I6101" s="101"/>
    </row>
    <row r="6102" spans="9:9" x14ac:dyDescent="0.3">
      <c r="I6102" s="101"/>
    </row>
    <row r="6103" spans="9:9" x14ac:dyDescent="0.3">
      <c r="I6103" s="101"/>
    </row>
    <row r="6104" spans="9:9" x14ac:dyDescent="0.3">
      <c r="I6104" s="101"/>
    </row>
    <row r="6105" spans="9:9" x14ac:dyDescent="0.3">
      <c r="I6105" s="101"/>
    </row>
    <row r="6106" spans="9:9" x14ac:dyDescent="0.3">
      <c r="I6106" s="101"/>
    </row>
    <row r="6107" spans="9:9" x14ac:dyDescent="0.3">
      <c r="I6107" s="101"/>
    </row>
    <row r="6108" spans="9:9" x14ac:dyDescent="0.3">
      <c r="I6108" s="101"/>
    </row>
    <row r="6109" spans="9:9" x14ac:dyDescent="0.3">
      <c r="I6109" s="101"/>
    </row>
    <row r="6110" spans="9:9" x14ac:dyDescent="0.3">
      <c r="I6110" s="101"/>
    </row>
    <row r="6111" spans="9:9" x14ac:dyDescent="0.3">
      <c r="I6111" s="101"/>
    </row>
    <row r="6112" spans="9:9" x14ac:dyDescent="0.3">
      <c r="I6112" s="101"/>
    </row>
    <row r="6113" spans="9:9" x14ac:dyDescent="0.3">
      <c r="I6113" s="101"/>
    </row>
    <row r="6114" spans="9:9" x14ac:dyDescent="0.3">
      <c r="I6114" s="101"/>
    </row>
    <row r="6115" spans="9:9" x14ac:dyDescent="0.3">
      <c r="I6115" s="101"/>
    </row>
    <row r="6116" spans="9:9" x14ac:dyDescent="0.3">
      <c r="I6116" s="101"/>
    </row>
    <row r="6117" spans="9:9" x14ac:dyDescent="0.3">
      <c r="I6117" s="101"/>
    </row>
    <row r="6118" spans="9:9" x14ac:dyDescent="0.3">
      <c r="I6118" s="101"/>
    </row>
    <row r="6119" spans="9:9" x14ac:dyDescent="0.3">
      <c r="I6119" s="101"/>
    </row>
    <row r="6120" spans="9:9" x14ac:dyDescent="0.3">
      <c r="I6120" s="101"/>
    </row>
    <row r="6121" spans="9:9" x14ac:dyDescent="0.3">
      <c r="I6121" s="101"/>
    </row>
    <row r="6122" spans="9:9" x14ac:dyDescent="0.3">
      <c r="I6122" s="101"/>
    </row>
    <row r="6123" spans="9:9" x14ac:dyDescent="0.3">
      <c r="I6123" s="101"/>
    </row>
    <row r="6124" spans="9:9" x14ac:dyDescent="0.3">
      <c r="I6124" s="101"/>
    </row>
    <row r="6125" spans="9:9" x14ac:dyDescent="0.3">
      <c r="I6125" s="101"/>
    </row>
    <row r="6126" spans="9:9" x14ac:dyDescent="0.3">
      <c r="I6126" s="101"/>
    </row>
    <row r="6127" spans="9:9" x14ac:dyDescent="0.3">
      <c r="I6127" s="101"/>
    </row>
    <row r="6128" spans="9:9" x14ac:dyDescent="0.3">
      <c r="I6128" s="101"/>
    </row>
    <row r="6129" spans="9:9" x14ac:dyDescent="0.3">
      <c r="I6129" s="101"/>
    </row>
    <row r="6130" spans="9:9" x14ac:dyDescent="0.3">
      <c r="I6130" s="101"/>
    </row>
    <row r="6131" spans="9:9" x14ac:dyDescent="0.3">
      <c r="I6131" s="101"/>
    </row>
    <row r="6132" spans="9:9" x14ac:dyDescent="0.3">
      <c r="I6132" s="101"/>
    </row>
    <row r="6133" spans="9:9" x14ac:dyDescent="0.3">
      <c r="I6133" s="101"/>
    </row>
    <row r="6134" spans="9:9" x14ac:dyDescent="0.3">
      <c r="I6134" s="101"/>
    </row>
    <row r="6135" spans="9:9" x14ac:dyDescent="0.3">
      <c r="I6135" s="101"/>
    </row>
    <row r="6136" spans="9:9" x14ac:dyDescent="0.3">
      <c r="I6136" s="101"/>
    </row>
    <row r="6137" spans="9:9" x14ac:dyDescent="0.3">
      <c r="I6137" s="101"/>
    </row>
    <row r="6138" spans="9:9" x14ac:dyDescent="0.3">
      <c r="I6138" s="101"/>
    </row>
    <row r="6139" spans="9:9" x14ac:dyDescent="0.3">
      <c r="I6139" s="101"/>
    </row>
    <row r="6140" spans="9:9" x14ac:dyDescent="0.3">
      <c r="I6140" s="101"/>
    </row>
    <row r="6141" spans="9:9" x14ac:dyDescent="0.3">
      <c r="I6141" s="101"/>
    </row>
    <row r="6142" spans="9:9" x14ac:dyDescent="0.3">
      <c r="I6142" s="101"/>
    </row>
    <row r="6143" spans="9:9" x14ac:dyDescent="0.3">
      <c r="I6143" s="101"/>
    </row>
    <row r="6144" spans="9:9" x14ac:dyDescent="0.3">
      <c r="I6144" s="101"/>
    </row>
    <row r="6145" spans="9:9" x14ac:dyDescent="0.3">
      <c r="I6145" s="101"/>
    </row>
    <row r="6146" spans="9:9" x14ac:dyDescent="0.3">
      <c r="I6146" s="101"/>
    </row>
    <row r="6147" spans="9:9" x14ac:dyDescent="0.3">
      <c r="I6147" s="101"/>
    </row>
    <row r="6148" spans="9:9" x14ac:dyDescent="0.3">
      <c r="I6148" s="101"/>
    </row>
    <row r="6149" spans="9:9" x14ac:dyDescent="0.3">
      <c r="I6149" s="101"/>
    </row>
    <row r="6150" spans="9:9" x14ac:dyDescent="0.3">
      <c r="I6150" s="101"/>
    </row>
    <row r="6151" spans="9:9" x14ac:dyDescent="0.3">
      <c r="I6151" s="101"/>
    </row>
    <row r="6152" spans="9:9" x14ac:dyDescent="0.3">
      <c r="I6152" s="101"/>
    </row>
    <row r="6153" spans="9:9" x14ac:dyDescent="0.3">
      <c r="I6153" s="101"/>
    </row>
    <row r="6154" spans="9:9" x14ac:dyDescent="0.3">
      <c r="I6154" s="101"/>
    </row>
    <row r="6155" spans="9:9" x14ac:dyDescent="0.3">
      <c r="I6155" s="101"/>
    </row>
    <row r="6156" spans="9:9" x14ac:dyDescent="0.3">
      <c r="I6156" s="101"/>
    </row>
    <row r="6157" spans="9:9" x14ac:dyDescent="0.3">
      <c r="I6157" s="101"/>
    </row>
    <row r="6158" spans="9:9" x14ac:dyDescent="0.3">
      <c r="I6158" s="101"/>
    </row>
    <row r="6159" spans="9:9" x14ac:dyDescent="0.3">
      <c r="I6159" s="101"/>
    </row>
    <row r="6160" spans="9:9" x14ac:dyDescent="0.3">
      <c r="I6160" s="101"/>
    </row>
    <row r="6161" spans="9:9" x14ac:dyDescent="0.3">
      <c r="I6161" s="101"/>
    </row>
    <row r="6162" spans="9:9" x14ac:dyDescent="0.3">
      <c r="I6162" s="101"/>
    </row>
    <row r="6163" spans="9:9" x14ac:dyDescent="0.3">
      <c r="I6163" s="101"/>
    </row>
    <row r="6164" spans="9:9" x14ac:dyDescent="0.3">
      <c r="I6164" s="101"/>
    </row>
    <row r="6165" spans="9:9" x14ac:dyDescent="0.3">
      <c r="I6165" s="101"/>
    </row>
    <row r="6166" spans="9:9" x14ac:dyDescent="0.3">
      <c r="I6166" s="101"/>
    </row>
    <row r="6167" spans="9:9" x14ac:dyDescent="0.3">
      <c r="I6167" s="101"/>
    </row>
    <row r="6168" spans="9:9" x14ac:dyDescent="0.3">
      <c r="I6168" s="101"/>
    </row>
    <row r="6169" spans="9:9" x14ac:dyDescent="0.3">
      <c r="I6169" s="101"/>
    </row>
    <row r="6170" spans="9:9" x14ac:dyDescent="0.3">
      <c r="I6170" s="101"/>
    </row>
    <row r="6171" spans="9:9" x14ac:dyDescent="0.3">
      <c r="I6171" s="101"/>
    </row>
    <row r="6172" spans="9:9" x14ac:dyDescent="0.3">
      <c r="I6172" s="101"/>
    </row>
    <row r="6173" spans="9:9" x14ac:dyDescent="0.3">
      <c r="I6173" s="101"/>
    </row>
    <row r="6174" spans="9:9" x14ac:dyDescent="0.3">
      <c r="I6174" s="101"/>
    </row>
    <row r="6175" spans="9:9" x14ac:dyDescent="0.3">
      <c r="I6175" s="101"/>
    </row>
    <row r="6176" spans="9:9" x14ac:dyDescent="0.3">
      <c r="I6176" s="101"/>
    </row>
    <row r="6177" spans="9:9" x14ac:dyDescent="0.3">
      <c r="I6177" s="101"/>
    </row>
    <row r="6178" spans="9:9" x14ac:dyDescent="0.3">
      <c r="I6178" s="101"/>
    </row>
    <row r="6179" spans="9:9" x14ac:dyDescent="0.3">
      <c r="I6179" s="101"/>
    </row>
    <row r="6180" spans="9:9" x14ac:dyDescent="0.3">
      <c r="I6180" s="101"/>
    </row>
    <row r="6181" spans="9:9" x14ac:dyDescent="0.3">
      <c r="I6181" s="101"/>
    </row>
    <row r="6182" spans="9:9" x14ac:dyDescent="0.3">
      <c r="I6182" s="101"/>
    </row>
    <row r="6183" spans="9:9" x14ac:dyDescent="0.3">
      <c r="I6183" s="101"/>
    </row>
    <row r="6184" spans="9:9" x14ac:dyDescent="0.3">
      <c r="I6184" s="101"/>
    </row>
    <row r="6185" spans="9:9" x14ac:dyDescent="0.3">
      <c r="I6185" s="101"/>
    </row>
    <row r="6186" spans="9:9" x14ac:dyDescent="0.3">
      <c r="I6186" s="101"/>
    </row>
    <row r="6187" spans="9:9" x14ac:dyDescent="0.3">
      <c r="I6187" s="101"/>
    </row>
    <row r="6188" spans="9:9" x14ac:dyDescent="0.3">
      <c r="I6188" s="101"/>
    </row>
    <row r="6189" spans="9:9" x14ac:dyDescent="0.3">
      <c r="I6189" s="101"/>
    </row>
    <row r="6190" spans="9:9" x14ac:dyDescent="0.3">
      <c r="I6190" s="101"/>
    </row>
    <row r="6191" spans="9:9" x14ac:dyDescent="0.3">
      <c r="I6191" s="101"/>
    </row>
    <row r="6192" spans="9:9" x14ac:dyDescent="0.3">
      <c r="I6192" s="101"/>
    </row>
    <row r="6193" spans="9:9" x14ac:dyDescent="0.3">
      <c r="I6193" s="101"/>
    </row>
    <row r="6194" spans="9:9" x14ac:dyDescent="0.3">
      <c r="I6194" s="101"/>
    </row>
    <row r="6195" spans="9:9" x14ac:dyDescent="0.3">
      <c r="I6195" s="101"/>
    </row>
    <row r="6196" spans="9:9" x14ac:dyDescent="0.3">
      <c r="I6196" s="101"/>
    </row>
    <row r="6197" spans="9:9" x14ac:dyDescent="0.3">
      <c r="I6197" s="101"/>
    </row>
    <row r="6198" spans="9:9" x14ac:dyDescent="0.3">
      <c r="I6198" s="101"/>
    </row>
    <row r="6199" spans="9:9" x14ac:dyDescent="0.3">
      <c r="I6199" s="101"/>
    </row>
    <row r="6200" spans="9:9" x14ac:dyDescent="0.3">
      <c r="I6200" s="101"/>
    </row>
    <row r="6201" spans="9:9" x14ac:dyDescent="0.3">
      <c r="I6201" s="101"/>
    </row>
    <row r="6202" spans="9:9" x14ac:dyDescent="0.3">
      <c r="I6202" s="101"/>
    </row>
    <row r="6203" spans="9:9" x14ac:dyDescent="0.3">
      <c r="I6203" s="101"/>
    </row>
    <row r="6204" spans="9:9" x14ac:dyDescent="0.3">
      <c r="I6204" s="101"/>
    </row>
    <row r="6205" spans="9:9" x14ac:dyDescent="0.3">
      <c r="I6205" s="101"/>
    </row>
    <row r="6206" spans="9:9" x14ac:dyDescent="0.3">
      <c r="I6206" s="101"/>
    </row>
    <row r="6207" spans="9:9" x14ac:dyDescent="0.3">
      <c r="I6207" s="101"/>
    </row>
    <row r="6208" spans="9:9" x14ac:dyDescent="0.3">
      <c r="I6208" s="101"/>
    </row>
    <row r="6209" spans="9:9" x14ac:dyDescent="0.3">
      <c r="I6209" s="101"/>
    </row>
    <row r="6210" spans="9:9" x14ac:dyDescent="0.3">
      <c r="I6210" s="101"/>
    </row>
    <row r="6211" spans="9:9" x14ac:dyDescent="0.3">
      <c r="I6211" s="101"/>
    </row>
    <row r="6212" spans="9:9" x14ac:dyDescent="0.3">
      <c r="I6212" s="101"/>
    </row>
    <row r="6213" spans="9:9" x14ac:dyDescent="0.3">
      <c r="I6213" s="101"/>
    </row>
    <row r="6214" spans="9:9" x14ac:dyDescent="0.3">
      <c r="I6214" s="101"/>
    </row>
    <row r="6215" spans="9:9" x14ac:dyDescent="0.3">
      <c r="I6215" s="101"/>
    </row>
    <row r="6216" spans="9:9" x14ac:dyDescent="0.3">
      <c r="I6216" s="101"/>
    </row>
    <row r="6217" spans="9:9" x14ac:dyDescent="0.3">
      <c r="I6217" s="101"/>
    </row>
    <row r="6218" spans="9:9" x14ac:dyDescent="0.3">
      <c r="I6218" s="101"/>
    </row>
    <row r="6219" spans="9:9" x14ac:dyDescent="0.3">
      <c r="I6219" s="101"/>
    </row>
    <row r="6220" spans="9:9" x14ac:dyDescent="0.3">
      <c r="I6220" s="101"/>
    </row>
    <row r="6221" spans="9:9" x14ac:dyDescent="0.3">
      <c r="I6221" s="101"/>
    </row>
    <row r="6222" spans="9:9" x14ac:dyDescent="0.3">
      <c r="I6222" s="101"/>
    </row>
    <row r="6223" spans="9:9" x14ac:dyDescent="0.3">
      <c r="I6223" s="101"/>
    </row>
    <row r="6224" spans="9:9" x14ac:dyDescent="0.3">
      <c r="I6224" s="101"/>
    </row>
    <row r="6225" spans="9:9" x14ac:dyDescent="0.3">
      <c r="I6225" s="101"/>
    </row>
    <row r="6226" spans="9:9" x14ac:dyDescent="0.3">
      <c r="I6226" s="101"/>
    </row>
    <row r="6227" spans="9:9" x14ac:dyDescent="0.3">
      <c r="I6227" s="101"/>
    </row>
    <row r="6228" spans="9:9" x14ac:dyDescent="0.3">
      <c r="I6228" s="101"/>
    </row>
    <row r="6229" spans="9:9" x14ac:dyDescent="0.3">
      <c r="I6229" s="101"/>
    </row>
    <row r="6230" spans="9:9" x14ac:dyDescent="0.3">
      <c r="I6230" s="101"/>
    </row>
    <row r="6231" spans="9:9" x14ac:dyDescent="0.3">
      <c r="I6231" s="101"/>
    </row>
    <row r="6232" spans="9:9" x14ac:dyDescent="0.3">
      <c r="I6232" s="101"/>
    </row>
    <row r="6233" spans="9:9" x14ac:dyDescent="0.3">
      <c r="I6233" s="101"/>
    </row>
    <row r="6234" spans="9:9" x14ac:dyDescent="0.3">
      <c r="I6234" s="101"/>
    </row>
    <row r="6235" spans="9:9" x14ac:dyDescent="0.3">
      <c r="I6235" s="101"/>
    </row>
    <row r="6236" spans="9:9" x14ac:dyDescent="0.3">
      <c r="I6236" s="101"/>
    </row>
    <row r="6237" spans="9:9" x14ac:dyDescent="0.3">
      <c r="I6237" s="101"/>
    </row>
    <row r="6238" spans="9:9" x14ac:dyDescent="0.3">
      <c r="I6238" s="101"/>
    </row>
    <row r="6239" spans="9:9" x14ac:dyDescent="0.3">
      <c r="I6239" s="101"/>
    </row>
    <row r="6240" spans="9:9" x14ac:dyDescent="0.3">
      <c r="I6240" s="101"/>
    </row>
    <row r="6241" spans="9:9" x14ac:dyDescent="0.3">
      <c r="I6241" s="101"/>
    </row>
    <row r="6242" spans="9:9" x14ac:dyDescent="0.3">
      <c r="I6242" s="101"/>
    </row>
    <row r="6243" spans="9:9" x14ac:dyDescent="0.3">
      <c r="I6243" s="101"/>
    </row>
    <row r="6244" spans="9:9" x14ac:dyDescent="0.3">
      <c r="I6244" s="101"/>
    </row>
    <row r="6245" spans="9:9" x14ac:dyDescent="0.3">
      <c r="I6245" s="101"/>
    </row>
    <row r="6246" spans="9:9" x14ac:dyDescent="0.3">
      <c r="I6246" s="101"/>
    </row>
    <row r="6247" spans="9:9" x14ac:dyDescent="0.3">
      <c r="I6247" s="101"/>
    </row>
    <row r="6248" spans="9:9" x14ac:dyDescent="0.3">
      <c r="I6248" s="101"/>
    </row>
    <row r="6249" spans="9:9" x14ac:dyDescent="0.3">
      <c r="I6249" s="101"/>
    </row>
    <row r="6250" spans="9:9" x14ac:dyDescent="0.3">
      <c r="I6250" s="101"/>
    </row>
    <row r="6251" spans="9:9" x14ac:dyDescent="0.3">
      <c r="I6251" s="101"/>
    </row>
    <row r="6252" spans="9:9" x14ac:dyDescent="0.3">
      <c r="I6252" s="101"/>
    </row>
    <row r="6253" spans="9:9" x14ac:dyDescent="0.3">
      <c r="I6253" s="101"/>
    </row>
    <row r="6254" spans="9:9" x14ac:dyDescent="0.3">
      <c r="I6254" s="101"/>
    </row>
    <row r="6255" spans="9:9" x14ac:dyDescent="0.3">
      <c r="I6255" s="101"/>
    </row>
    <row r="6256" spans="9:9" x14ac:dyDescent="0.3">
      <c r="I6256" s="101"/>
    </row>
    <row r="6257" spans="9:9" x14ac:dyDescent="0.3">
      <c r="I6257" s="101"/>
    </row>
    <row r="6258" spans="9:9" x14ac:dyDescent="0.3">
      <c r="I6258" s="101"/>
    </row>
    <row r="6259" spans="9:9" x14ac:dyDescent="0.3">
      <c r="I6259" s="101"/>
    </row>
    <row r="6260" spans="9:9" x14ac:dyDescent="0.3">
      <c r="I6260" s="101"/>
    </row>
    <row r="6261" spans="9:9" x14ac:dyDescent="0.3">
      <c r="I6261" s="101"/>
    </row>
    <row r="6262" spans="9:9" x14ac:dyDescent="0.3">
      <c r="I6262" s="101"/>
    </row>
    <row r="6263" spans="9:9" x14ac:dyDescent="0.3">
      <c r="I6263" s="101"/>
    </row>
    <row r="6264" spans="9:9" x14ac:dyDescent="0.3">
      <c r="I6264" s="101"/>
    </row>
    <row r="6265" spans="9:9" x14ac:dyDescent="0.3">
      <c r="I6265" s="101"/>
    </row>
    <row r="6266" spans="9:9" x14ac:dyDescent="0.3">
      <c r="I6266" s="101"/>
    </row>
    <row r="6267" spans="9:9" x14ac:dyDescent="0.3">
      <c r="I6267" s="101"/>
    </row>
    <row r="6268" spans="9:9" x14ac:dyDescent="0.3">
      <c r="I6268" s="101"/>
    </row>
    <row r="6269" spans="9:9" x14ac:dyDescent="0.3">
      <c r="I6269" s="101"/>
    </row>
    <row r="6270" spans="9:9" x14ac:dyDescent="0.3">
      <c r="I6270" s="101"/>
    </row>
    <row r="6271" spans="9:9" x14ac:dyDescent="0.3">
      <c r="I6271" s="101"/>
    </row>
    <row r="6272" spans="9:9" x14ac:dyDescent="0.3">
      <c r="I6272" s="101"/>
    </row>
    <row r="6273" spans="9:9" x14ac:dyDescent="0.3">
      <c r="I6273" s="101"/>
    </row>
    <row r="6274" spans="9:9" x14ac:dyDescent="0.3">
      <c r="I6274" s="101"/>
    </row>
    <row r="6275" spans="9:9" x14ac:dyDescent="0.3">
      <c r="I6275" s="101"/>
    </row>
    <row r="6276" spans="9:9" x14ac:dyDescent="0.3">
      <c r="I6276" s="101"/>
    </row>
    <row r="6277" spans="9:9" x14ac:dyDescent="0.3">
      <c r="I6277" s="101"/>
    </row>
    <row r="6278" spans="9:9" x14ac:dyDescent="0.3">
      <c r="I6278" s="101"/>
    </row>
    <row r="6279" spans="9:9" x14ac:dyDescent="0.3">
      <c r="I6279" s="101"/>
    </row>
    <row r="6280" spans="9:9" x14ac:dyDescent="0.3">
      <c r="I6280" s="101"/>
    </row>
    <row r="6281" spans="9:9" x14ac:dyDescent="0.3">
      <c r="I6281" s="101"/>
    </row>
    <row r="6282" spans="9:9" x14ac:dyDescent="0.3">
      <c r="I6282" s="101"/>
    </row>
    <row r="6283" spans="9:9" x14ac:dyDescent="0.3">
      <c r="I6283" s="101"/>
    </row>
    <row r="6284" spans="9:9" x14ac:dyDescent="0.3">
      <c r="I6284" s="101"/>
    </row>
    <row r="6285" spans="9:9" x14ac:dyDescent="0.3">
      <c r="I6285" s="101"/>
    </row>
    <row r="6286" spans="9:9" x14ac:dyDescent="0.3">
      <c r="I6286" s="101"/>
    </row>
    <row r="6287" spans="9:9" x14ac:dyDescent="0.3">
      <c r="I6287" s="101"/>
    </row>
    <row r="6288" spans="9:9" x14ac:dyDescent="0.3">
      <c r="I6288" s="101"/>
    </row>
    <row r="6289" spans="9:9" x14ac:dyDescent="0.3">
      <c r="I6289" s="101"/>
    </row>
    <row r="6290" spans="9:9" x14ac:dyDescent="0.3">
      <c r="I6290" s="101"/>
    </row>
    <row r="6291" spans="9:9" x14ac:dyDescent="0.3">
      <c r="I6291" s="101"/>
    </row>
    <row r="6292" spans="9:9" x14ac:dyDescent="0.3">
      <c r="I6292" s="101"/>
    </row>
    <row r="6293" spans="9:9" x14ac:dyDescent="0.3">
      <c r="I6293" s="101"/>
    </row>
    <row r="6294" spans="9:9" x14ac:dyDescent="0.3">
      <c r="I6294" s="101"/>
    </row>
    <row r="6295" spans="9:9" x14ac:dyDescent="0.3">
      <c r="I6295" s="101"/>
    </row>
    <row r="6296" spans="9:9" x14ac:dyDescent="0.3">
      <c r="I6296" s="101"/>
    </row>
    <row r="6297" spans="9:9" x14ac:dyDescent="0.3">
      <c r="I6297" s="101"/>
    </row>
    <row r="6298" spans="9:9" x14ac:dyDescent="0.3">
      <c r="I6298" s="101"/>
    </row>
    <row r="6299" spans="9:9" x14ac:dyDescent="0.3">
      <c r="I6299" s="101"/>
    </row>
    <row r="6300" spans="9:9" x14ac:dyDescent="0.3">
      <c r="I6300" s="101"/>
    </row>
    <row r="6301" spans="9:9" x14ac:dyDescent="0.3">
      <c r="I6301" s="101"/>
    </row>
    <row r="6302" spans="9:9" x14ac:dyDescent="0.3">
      <c r="I6302" s="101"/>
    </row>
    <row r="6303" spans="9:9" x14ac:dyDescent="0.3">
      <c r="I6303" s="101"/>
    </row>
    <row r="6304" spans="9:9" x14ac:dyDescent="0.3">
      <c r="I6304" s="101"/>
    </row>
    <row r="6305" spans="9:9" x14ac:dyDescent="0.3">
      <c r="I6305" s="101"/>
    </row>
    <row r="6306" spans="9:9" x14ac:dyDescent="0.3">
      <c r="I6306" s="101"/>
    </row>
    <row r="6307" spans="9:9" x14ac:dyDescent="0.3">
      <c r="I6307" s="101"/>
    </row>
    <row r="6308" spans="9:9" x14ac:dyDescent="0.3">
      <c r="I6308" s="101"/>
    </row>
    <row r="6309" spans="9:9" x14ac:dyDescent="0.3">
      <c r="I6309" s="101"/>
    </row>
    <row r="6310" spans="9:9" x14ac:dyDescent="0.3">
      <c r="I6310" s="101"/>
    </row>
    <row r="6311" spans="9:9" x14ac:dyDescent="0.3">
      <c r="I6311" s="101"/>
    </row>
    <row r="6312" spans="9:9" x14ac:dyDescent="0.3">
      <c r="I6312" s="101"/>
    </row>
    <row r="6313" spans="9:9" x14ac:dyDescent="0.3">
      <c r="I6313" s="101"/>
    </row>
    <row r="6314" spans="9:9" x14ac:dyDescent="0.3">
      <c r="I6314" s="101"/>
    </row>
    <row r="6315" spans="9:9" x14ac:dyDescent="0.3">
      <c r="I6315" s="101"/>
    </row>
    <row r="6316" spans="9:9" x14ac:dyDescent="0.3">
      <c r="I6316" s="101"/>
    </row>
    <row r="6317" spans="9:9" x14ac:dyDescent="0.3">
      <c r="I6317" s="101"/>
    </row>
    <row r="6318" spans="9:9" x14ac:dyDescent="0.3">
      <c r="I6318" s="101"/>
    </row>
    <row r="6319" spans="9:9" x14ac:dyDescent="0.3">
      <c r="I6319" s="101"/>
    </row>
    <row r="6320" spans="9:9" x14ac:dyDescent="0.3">
      <c r="I6320" s="101"/>
    </row>
    <row r="6321" spans="9:9" x14ac:dyDescent="0.3">
      <c r="I6321" s="101"/>
    </row>
    <row r="6322" spans="9:9" x14ac:dyDescent="0.3">
      <c r="I6322" s="101"/>
    </row>
    <row r="6323" spans="9:9" x14ac:dyDescent="0.3">
      <c r="I6323" s="101"/>
    </row>
    <row r="6324" spans="9:9" x14ac:dyDescent="0.3">
      <c r="I6324" s="101"/>
    </row>
    <row r="6325" spans="9:9" x14ac:dyDescent="0.3">
      <c r="I6325" s="101"/>
    </row>
    <row r="6326" spans="9:9" x14ac:dyDescent="0.3">
      <c r="I6326" s="101"/>
    </row>
    <row r="6327" spans="9:9" x14ac:dyDescent="0.3">
      <c r="I6327" s="101"/>
    </row>
    <row r="6328" spans="9:9" x14ac:dyDescent="0.3">
      <c r="I6328" s="101"/>
    </row>
    <row r="6329" spans="9:9" x14ac:dyDescent="0.3">
      <c r="I6329" s="101"/>
    </row>
    <row r="6330" spans="9:9" x14ac:dyDescent="0.3">
      <c r="I6330" s="101"/>
    </row>
    <row r="6331" spans="9:9" x14ac:dyDescent="0.3">
      <c r="I6331" s="101"/>
    </row>
    <row r="6332" spans="9:9" x14ac:dyDescent="0.3">
      <c r="I6332" s="101"/>
    </row>
    <row r="6333" spans="9:9" x14ac:dyDescent="0.3">
      <c r="I6333" s="101"/>
    </row>
    <row r="6334" spans="9:9" x14ac:dyDescent="0.3">
      <c r="I6334" s="101"/>
    </row>
    <row r="6335" spans="9:9" x14ac:dyDescent="0.3">
      <c r="I6335" s="101"/>
    </row>
    <row r="6336" spans="9:9" x14ac:dyDescent="0.3">
      <c r="I6336" s="101"/>
    </row>
    <row r="6337" spans="9:9" x14ac:dyDescent="0.3">
      <c r="I6337" s="101"/>
    </row>
    <row r="6338" spans="9:9" x14ac:dyDescent="0.3">
      <c r="I6338" s="101"/>
    </row>
    <row r="6339" spans="9:9" x14ac:dyDescent="0.3">
      <c r="I6339" s="101"/>
    </row>
    <row r="6340" spans="9:9" x14ac:dyDescent="0.3">
      <c r="I6340" s="101"/>
    </row>
    <row r="6341" spans="9:9" x14ac:dyDescent="0.3">
      <c r="I6341" s="101"/>
    </row>
    <row r="6342" spans="9:9" x14ac:dyDescent="0.3">
      <c r="I6342" s="101"/>
    </row>
    <row r="6343" spans="9:9" x14ac:dyDescent="0.3">
      <c r="I6343" s="101"/>
    </row>
    <row r="6344" spans="9:9" x14ac:dyDescent="0.3">
      <c r="I6344" s="101"/>
    </row>
    <row r="6345" spans="9:9" x14ac:dyDescent="0.3">
      <c r="I6345" s="101"/>
    </row>
    <row r="6346" spans="9:9" x14ac:dyDescent="0.3">
      <c r="I6346" s="101"/>
    </row>
    <row r="6347" spans="9:9" x14ac:dyDescent="0.3">
      <c r="I6347" s="101"/>
    </row>
    <row r="6348" spans="9:9" x14ac:dyDescent="0.3">
      <c r="I6348" s="101"/>
    </row>
    <row r="6349" spans="9:9" x14ac:dyDescent="0.3">
      <c r="I6349" s="101"/>
    </row>
    <row r="6350" spans="9:9" x14ac:dyDescent="0.3">
      <c r="I6350" s="101"/>
    </row>
    <row r="6351" spans="9:9" x14ac:dyDescent="0.3">
      <c r="I6351" s="101"/>
    </row>
    <row r="6352" spans="9:9" x14ac:dyDescent="0.3">
      <c r="I6352" s="101"/>
    </row>
    <row r="6353" spans="9:9" x14ac:dyDescent="0.3">
      <c r="I6353" s="101"/>
    </row>
    <row r="6354" spans="9:9" x14ac:dyDescent="0.3">
      <c r="I6354" s="101"/>
    </row>
    <row r="6355" spans="9:9" x14ac:dyDescent="0.3">
      <c r="I6355" s="101"/>
    </row>
    <row r="6356" spans="9:9" x14ac:dyDescent="0.3">
      <c r="I6356" s="101"/>
    </row>
    <row r="6357" spans="9:9" x14ac:dyDescent="0.3">
      <c r="I6357" s="101"/>
    </row>
    <row r="6358" spans="9:9" x14ac:dyDescent="0.3">
      <c r="I6358" s="101"/>
    </row>
    <row r="6359" spans="9:9" x14ac:dyDescent="0.3">
      <c r="I6359" s="101"/>
    </row>
    <row r="6360" spans="9:9" x14ac:dyDescent="0.3">
      <c r="I6360" s="101"/>
    </row>
    <row r="6361" spans="9:9" x14ac:dyDescent="0.3">
      <c r="I6361" s="101"/>
    </row>
    <row r="6362" spans="9:9" x14ac:dyDescent="0.3">
      <c r="I6362" s="101"/>
    </row>
    <row r="6363" spans="9:9" x14ac:dyDescent="0.3">
      <c r="I6363" s="101"/>
    </row>
    <row r="6364" spans="9:9" x14ac:dyDescent="0.3">
      <c r="I6364" s="101"/>
    </row>
    <row r="6365" spans="9:9" x14ac:dyDescent="0.3">
      <c r="I6365" s="101"/>
    </row>
    <row r="6366" spans="9:9" x14ac:dyDescent="0.3">
      <c r="I6366" s="101"/>
    </row>
    <row r="6367" spans="9:9" x14ac:dyDescent="0.3">
      <c r="I6367" s="101"/>
    </row>
    <row r="6368" spans="9:9" x14ac:dyDescent="0.3">
      <c r="I6368" s="101"/>
    </row>
    <row r="6369" spans="9:9" x14ac:dyDescent="0.3">
      <c r="I6369" s="101"/>
    </row>
    <row r="6370" spans="9:9" x14ac:dyDescent="0.3">
      <c r="I6370" s="101"/>
    </row>
    <row r="6371" spans="9:9" x14ac:dyDescent="0.3">
      <c r="I6371" s="101"/>
    </row>
    <row r="6372" spans="9:9" x14ac:dyDescent="0.3">
      <c r="I6372" s="101"/>
    </row>
    <row r="6373" spans="9:9" x14ac:dyDescent="0.3">
      <c r="I6373" s="101"/>
    </row>
    <row r="6374" spans="9:9" x14ac:dyDescent="0.3">
      <c r="I6374" s="101"/>
    </row>
    <row r="6375" spans="9:9" x14ac:dyDescent="0.3">
      <c r="I6375" s="101"/>
    </row>
    <row r="6376" spans="9:9" x14ac:dyDescent="0.3">
      <c r="I6376" s="101"/>
    </row>
    <row r="6377" spans="9:9" x14ac:dyDescent="0.3">
      <c r="I6377" s="101"/>
    </row>
    <row r="6378" spans="9:9" x14ac:dyDescent="0.3">
      <c r="I6378" s="101"/>
    </row>
    <row r="6379" spans="9:9" x14ac:dyDescent="0.3">
      <c r="I6379" s="101"/>
    </row>
    <row r="6380" spans="9:9" x14ac:dyDescent="0.3">
      <c r="I6380" s="101"/>
    </row>
    <row r="6381" spans="9:9" x14ac:dyDescent="0.3">
      <c r="I6381" s="101"/>
    </row>
    <row r="6382" spans="9:9" x14ac:dyDescent="0.3">
      <c r="I6382" s="101"/>
    </row>
    <row r="6383" spans="9:9" x14ac:dyDescent="0.3">
      <c r="I6383" s="101"/>
    </row>
    <row r="6384" spans="9:9" x14ac:dyDescent="0.3">
      <c r="I6384" s="101"/>
    </row>
    <row r="6385" spans="9:9" x14ac:dyDescent="0.3">
      <c r="I6385" s="101"/>
    </row>
    <row r="6386" spans="9:9" x14ac:dyDescent="0.3">
      <c r="I6386" s="101"/>
    </row>
    <row r="6387" spans="9:9" x14ac:dyDescent="0.3">
      <c r="I6387" s="101"/>
    </row>
    <row r="6388" spans="9:9" x14ac:dyDescent="0.3">
      <c r="I6388" s="101"/>
    </row>
    <row r="6389" spans="9:9" x14ac:dyDescent="0.3">
      <c r="I6389" s="101"/>
    </row>
    <row r="6390" spans="9:9" x14ac:dyDescent="0.3">
      <c r="I6390" s="101"/>
    </row>
    <row r="6391" spans="9:9" x14ac:dyDescent="0.3">
      <c r="I6391" s="101"/>
    </row>
    <row r="6392" spans="9:9" x14ac:dyDescent="0.3">
      <c r="I6392" s="101"/>
    </row>
    <row r="6393" spans="9:9" x14ac:dyDescent="0.3">
      <c r="I6393" s="101"/>
    </row>
    <row r="6394" spans="9:9" x14ac:dyDescent="0.3">
      <c r="I6394" s="101"/>
    </row>
    <row r="6395" spans="9:9" x14ac:dyDescent="0.3">
      <c r="I6395" s="101"/>
    </row>
    <row r="6396" spans="9:9" x14ac:dyDescent="0.3">
      <c r="I6396" s="101"/>
    </row>
    <row r="6397" spans="9:9" x14ac:dyDescent="0.3">
      <c r="I6397" s="101"/>
    </row>
    <row r="6398" spans="9:9" x14ac:dyDescent="0.3">
      <c r="I6398" s="101"/>
    </row>
    <row r="6399" spans="9:9" x14ac:dyDescent="0.3">
      <c r="I6399" s="101"/>
    </row>
    <row r="6400" spans="9:9" x14ac:dyDescent="0.3">
      <c r="I6400" s="101"/>
    </row>
    <row r="6401" spans="9:9" x14ac:dyDescent="0.3">
      <c r="I6401" s="101"/>
    </row>
    <row r="6402" spans="9:9" x14ac:dyDescent="0.3">
      <c r="I6402" s="101"/>
    </row>
    <row r="6403" spans="9:9" x14ac:dyDescent="0.3">
      <c r="I6403" s="101"/>
    </row>
    <row r="6404" spans="9:9" x14ac:dyDescent="0.3">
      <c r="I6404" s="101"/>
    </row>
    <row r="6405" spans="9:9" x14ac:dyDescent="0.3">
      <c r="I6405" s="101"/>
    </row>
    <row r="6406" spans="9:9" x14ac:dyDescent="0.3">
      <c r="I6406" s="101"/>
    </row>
    <row r="6407" spans="9:9" x14ac:dyDescent="0.3">
      <c r="I6407" s="101"/>
    </row>
    <row r="6408" spans="9:9" x14ac:dyDescent="0.3">
      <c r="I6408" s="101"/>
    </row>
    <row r="6409" spans="9:9" x14ac:dyDescent="0.3">
      <c r="I6409" s="101"/>
    </row>
    <row r="6410" spans="9:9" x14ac:dyDescent="0.3">
      <c r="I6410" s="101"/>
    </row>
    <row r="6411" spans="9:9" x14ac:dyDescent="0.3">
      <c r="I6411" s="101"/>
    </row>
    <row r="6412" spans="9:9" x14ac:dyDescent="0.3">
      <c r="I6412" s="101"/>
    </row>
    <row r="6413" spans="9:9" x14ac:dyDescent="0.3">
      <c r="I6413" s="101"/>
    </row>
    <row r="6414" spans="9:9" x14ac:dyDescent="0.3">
      <c r="I6414" s="101"/>
    </row>
    <row r="6415" spans="9:9" x14ac:dyDescent="0.3">
      <c r="I6415" s="101"/>
    </row>
    <row r="6416" spans="9:9" x14ac:dyDescent="0.3">
      <c r="I6416" s="101"/>
    </row>
    <row r="6417" spans="9:9" x14ac:dyDescent="0.3">
      <c r="I6417" s="101"/>
    </row>
    <row r="6418" spans="9:9" x14ac:dyDescent="0.3">
      <c r="I6418" s="101"/>
    </row>
    <row r="6419" spans="9:9" x14ac:dyDescent="0.3">
      <c r="I6419" s="101"/>
    </row>
    <row r="6420" spans="9:9" x14ac:dyDescent="0.3">
      <c r="I6420" s="101"/>
    </row>
    <row r="6421" spans="9:9" x14ac:dyDescent="0.3">
      <c r="I6421" s="101"/>
    </row>
    <row r="6422" spans="9:9" x14ac:dyDescent="0.3">
      <c r="I6422" s="101"/>
    </row>
    <row r="6423" spans="9:9" x14ac:dyDescent="0.3">
      <c r="I6423" s="101"/>
    </row>
    <row r="6424" spans="9:9" x14ac:dyDescent="0.3">
      <c r="I6424" s="101"/>
    </row>
    <row r="6425" spans="9:9" x14ac:dyDescent="0.3">
      <c r="I6425" s="101"/>
    </row>
    <row r="6426" spans="9:9" x14ac:dyDescent="0.3">
      <c r="I6426" s="101"/>
    </row>
    <row r="6427" spans="9:9" x14ac:dyDescent="0.3">
      <c r="I6427" s="101"/>
    </row>
    <row r="6428" spans="9:9" x14ac:dyDescent="0.3">
      <c r="I6428" s="101"/>
    </row>
    <row r="6429" spans="9:9" x14ac:dyDescent="0.3">
      <c r="I6429" s="101"/>
    </row>
    <row r="6430" spans="9:9" x14ac:dyDescent="0.3">
      <c r="I6430" s="101"/>
    </row>
    <row r="6431" spans="9:9" x14ac:dyDescent="0.3">
      <c r="I6431" s="101"/>
    </row>
    <row r="6432" spans="9:9" x14ac:dyDescent="0.3">
      <c r="I6432" s="101"/>
    </row>
    <row r="6433" spans="9:9" x14ac:dyDescent="0.3">
      <c r="I6433" s="101"/>
    </row>
    <row r="6434" spans="9:9" x14ac:dyDescent="0.3">
      <c r="I6434" s="101"/>
    </row>
    <row r="6435" spans="9:9" x14ac:dyDescent="0.3">
      <c r="I6435" s="101"/>
    </row>
    <row r="6436" spans="9:9" x14ac:dyDescent="0.3">
      <c r="I6436" s="101"/>
    </row>
    <row r="6437" spans="9:9" x14ac:dyDescent="0.3">
      <c r="I6437" s="101"/>
    </row>
    <row r="6438" spans="9:9" x14ac:dyDescent="0.3">
      <c r="I6438" s="101"/>
    </row>
    <row r="6439" spans="9:9" x14ac:dyDescent="0.3">
      <c r="I6439" s="101"/>
    </row>
    <row r="6440" spans="9:9" x14ac:dyDescent="0.3">
      <c r="I6440" s="101"/>
    </row>
    <row r="6441" spans="9:9" x14ac:dyDescent="0.3">
      <c r="I6441" s="101"/>
    </row>
    <row r="6442" spans="9:9" x14ac:dyDescent="0.3">
      <c r="I6442" s="101"/>
    </row>
    <row r="6443" spans="9:9" x14ac:dyDescent="0.3">
      <c r="I6443" s="101"/>
    </row>
    <row r="6444" spans="9:9" x14ac:dyDescent="0.3">
      <c r="I6444" s="101"/>
    </row>
    <row r="6445" spans="9:9" x14ac:dyDescent="0.3">
      <c r="I6445" s="101"/>
    </row>
    <row r="6446" spans="9:9" x14ac:dyDescent="0.3">
      <c r="I6446" s="101"/>
    </row>
    <row r="6447" spans="9:9" x14ac:dyDescent="0.3">
      <c r="I6447" s="101"/>
    </row>
    <row r="6448" spans="9:9" x14ac:dyDescent="0.3">
      <c r="I6448" s="101"/>
    </row>
    <row r="6449" spans="9:9" x14ac:dyDescent="0.3">
      <c r="I6449" s="101"/>
    </row>
    <row r="6450" spans="9:9" x14ac:dyDescent="0.3">
      <c r="I6450" s="101"/>
    </row>
    <row r="6451" spans="9:9" x14ac:dyDescent="0.3">
      <c r="I6451" s="101"/>
    </row>
    <row r="6452" spans="9:9" x14ac:dyDescent="0.3">
      <c r="I6452" s="101"/>
    </row>
    <row r="6453" spans="9:9" x14ac:dyDescent="0.3">
      <c r="I6453" s="101"/>
    </row>
    <row r="6454" spans="9:9" x14ac:dyDescent="0.3">
      <c r="I6454" s="101"/>
    </row>
    <row r="6455" spans="9:9" x14ac:dyDescent="0.3">
      <c r="I6455" s="101"/>
    </row>
    <row r="6456" spans="9:9" x14ac:dyDescent="0.3">
      <c r="I6456" s="101"/>
    </row>
    <row r="6457" spans="9:9" x14ac:dyDescent="0.3">
      <c r="I6457" s="101"/>
    </row>
    <row r="6458" spans="9:9" x14ac:dyDescent="0.3">
      <c r="I6458" s="101"/>
    </row>
    <row r="6459" spans="9:9" x14ac:dyDescent="0.3">
      <c r="I6459" s="101"/>
    </row>
    <row r="6460" spans="9:9" x14ac:dyDescent="0.3">
      <c r="I6460" s="101"/>
    </row>
    <row r="6461" spans="9:9" x14ac:dyDescent="0.3">
      <c r="I6461" s="101"/>
    </row>
    <row r="6462" spans="9:9" x14ac:dyDescent="0.3">
      <c r="I6462" s="101"/>
    </row>
    <row r="6463" spans="9:9" x14ac:dyDescent="0.3">
      <c r="I6463" s="101"/>
    </row>
    <row r="6464" spans="9:9" x14ac:dyDescent="0.3">
      <c r="I6464" s="101"/>
    </row>
    <row r="6465" spans="9:9" x14ac:dyDescent="0.3">
      <c r="I6465" s="101"/>
    </row>
    <row r="6466" spans="9:9" x14ac:dyDescent="0.3">
      <c r="I6466" s="101"/>
    </row>
    <row r="6467" spans="9:9" x14ac:dyDescent="0.3">
      <c r="I6467" s="101"/>
    </row>
    <row r="6468" spans="9:9" x14ac:dyDescent="0.3">
      <c r="I6468" s="101"/>
    </row>
    <row r="6469" spans="9:9" x14ac:dyDescent="0.3">
      <c r="I6469" s="101"/>
    </row>
    <row r="6470" spans="9:9" x14ac:dyDescent="0.3">
      <c r="I6470" s="101"/>
    </row>
    <row r="6471" spans="9:9" x14ac:dyDescent="0.3">
      <c r="I6471" s="101"/>
    </row>
    <row r="6472" spans="9:9" x14ac:dyDescent="0.3">
      <c r="I6472" s="101"/>
    </row>
    <row r="6473" spans="9:9" x14ac:dyDescent="0.3">
      <c r="I6473" s="101"/>
    </row>
    <row r="6474" spans="9:9" x14ac:dyDescent="0.3">
      <c r="I6474" s="101"/>
    </row>
    <row r="6475" spans="9:9" x14ac:dyDescent="0.3">
      <c r="I6475" s="101"/>
    </row>
    <row r="6476" spans="9:9" x14ac:dyDescent="0.3">
      <c r="I6476" s="101"/>
    </row>
    <row r="6477" spans="9:9" x14ac:dyDescent="0.3">
      <c r="I6477" s="101"/>
    </row>
    <row r="6478" spans="9:9" x14ac:dyDescent="0.3">
      <c r="I6478" s="101"/>
    </row>
    <row r="6479" spans="9:9" x14ac:dyDescent="0.3">
      <c r="I6479" s="101"/>
    </row>
    <row r="6480" spans="9:9" x14ac:dyDescent="0.3">
      <c r="I6480" s="101"/>
    </row>
    <row r="6481" spans="9:9" x14ac:dyDescent="0.3">
      <c r="I6481" s="101"/>
    </row>
    <row r="6482" spans="9:9" x14ac:dyDescent="0.3">
      <c r="I6482" s="101"/>
    </row>
    <row r="6483" spans="9:9" x14ac:dyDescent="0.3">
      <c r="I6483" s="101"/>
    </row>
    <row r="6484" spans="9:9" x14ac:dyDescent="0.3">
      <c r="I6484" s="101"/>
    </row>
    <row r="6485" spans="9:9" x14ac:dyDescent="0.3">
      <c r="I6485" s="101"/>
    </row>
    <row r="6486" spans="9:9" x14ac:dyDescent="0.3">
      <c r="I6486" s="101"/>
    </row>
    <row r="6487" spans="9:9" x14ac:dyDescent="0.3">
      <c r="I6487" s="101"/>
    </row>
    <row r="6488" spans="9:9" x14ac:dyDescent="0.3">
      <c r="I6488" s="101"/>
    </row>
    <row r="6489" spans="9:9" x14ac:dyDescent="0.3">
      <c r="I6489" s="101"/>
    </row>
    <row r="6490" spans="9:9" x14ac:dyDescent="0.3">
      <c r="I6490" s="101"/>
    </row>
    <row r="6491" spans="9:9" x14ac:dyDescent="0.3">
      <c r="I6491" s="101"/>
    </row>
    <row r="6492" spans="9:9" x14ac:dyDescent="0.3">
      <c r="I6492" s="101"/>
    </row>
    <row r="6493" spans="9:9" x14ac:dyDescent="0.3">
      <c r="I6493" s="101"/>
    </row>
    <row r="6494" spans="9:9" x14ac:dyDescent="0.3">
      <c r="I6494" s="101"/>
    </row>
    <row r="6495" spans="9:9" x14ac:dyDescent="0.3">
      <c r="I6495" s="101"/>
    </row>
    <row r="6496" spans="9:9" x14ac:dyDescent="0.3">
      <c r="I6496" s="101"/>
    </row>
    <row r="6497" spans="9:9" x14ac:dyDescent="0.3">
      <c r="I6497" s="101"/>
    </row>
    <row r="6498" spans="9:9" x14ac:dyDescent="0.3">
      <c r="I6498" s="101"/>
    </row>
    <row r="6499" spans="9:9" x14ac:dyDescent="0.3">
      <c r="I6499" s="101"/>
    </row>
    <row r="6500" spans="9:9" x14ac:dyDescent="0.3">
      <c r="I6500" s="101"/>
    </row>
    <row r="6501" spans="9:9" x14ac:dyDescent="0.3">
      <c r="I6501" s="101"/>
    </row>
    <row r="6502" spans="9:9" x14ac:dyDescent="0.3">
      <c r="I6502" s="101"/>
    </row>
    <row r="6503" spans="9:9" x14ac:dyDescent="0.3">
      <c r="I6503" s="101"/>
    </row>
    <row r="6504" spans="9:9" x14ac:dyDescent="0.3">
      <c r="I6504" s="101"/>
    </row>
    <row r="6505" spans="9:9" x14ac:dyDescent="0.3">
      <c r="I6505" s="101"/>
    </row>
    <row r="6506" spans="9:9" x14ac:dyDescent="0.3">
      <c r="I6506" s="101"/>
    </row>
    <row r="6507" spans="9:9" x14ac:dyDescent="0.3">
      <c r="I6507" s="101"/>
    </row>
    <row r="6508" spans="9:9" x14ac:dyDescent="0.3">
      <c r="I6508" s="101"/>
    </row>
    <row r="6509" spans="9:9" x14ac:dyDescent="0.3">
      <c r="I6509" s="101"/>
    </row>
    <row r="6510" spans="9:9" x14ac:dyDescent="0.3">
      <c r="I6510" s="101"/>
    </row>
    <row r="6511" spans="9:9" x14ac:dyDescent="0.3">
      <c r="I6511" s="101"/>
    </row>
    <row r="6512" spans="9:9" x14ac:dyDescent="0.3">
      <c r="I6512" s="101"/>
    </row>
    <row r="6513" spans="9:9" x14ac:dyDescent="0.3">
      <c r="I6513" s="101"/>
    </row>
    <row r="6514" spans="9:9" x14ac:dyDescent="0.3">
      <c r="I6514" s="101"/>
    </row>
    <row r="6515" spans="9:9" x14ac:dyDescent="0.3">
      <c r="I6515" s="101"/>
    </row>
    <row r="6516" spans="9:9" x14ac:dyDescent="0.3">
      <c r="I6516" s="101"/>
    </row>
    <row r="6517" spans="9:9" x14ac:dyDescent="0.3">
      <c r="I6517" s="101"/>
    </row>
    <row r="6518" spans="9:9" x14ac:dyDescent="0.3">
      <c r="I6518" s="101"/>
    </row>
    <row r="6519" spans="9:9" x14ac:dyDescent="0.3">
      <c r="I6519" s="101"/>
    </row>
    <row r="6520" spans="9:9" x14ac:dyDescent="0.3">
      <c r="I6520" s="101"/>
    </row>
    <row r="6521" spans="9:9" x14ac:dyDescent="0.3">
      <c r="I6521" s="101"/>
    </row>
    <row r="6522" spans="9:9" x14ac:dyDescent="0.3">
      <c r="I6522" s="101"/>
    </row>
    <row r="6523" spans="9:9" x14ac:dyDescent="0.3">
      <c r="I6523" s="101"/>
    </row>
    <row r="6524" spans="9:9" x14ac:dyDescent="0.3">
      <c r="I6524" s="101"/>
    </row>
    <row r="6525" spans="9:9" x14ac:dyDescent="0.3">
      <c r="I6525" s="101"/>
    </row>
    <row r="6526" spans="9:9" x14ac:dyDescent="0.3">
      <c r="I6526" s="101"/>
    </row>
    <row r="6527" spans="9:9" x14ac:dyDescent="0.3">
      <c r="I6527" s="101"/>
    </row>
    <row r="6528" spans="9:9" x14ac:dyDescent="0.3">
      <c r="I6528" s="101"/>
    </row>
    <row r="6529" spans="9:9" x14ac:dyDescent="0.3">
      <c r="I6529" s="101"/>
    </row>
    <row r="6530" spans="9:9" x14ac:dyDescent="0.3">
      <c r="I6530" s="101"/>
    </row>
    <row r="6531" spans="9:9" x14ac:dyDescent="0.3">
      <c r="I6531" s="101"/>
    </row>
    <row r="6532" spans="9:9" x14ac:dyDescent="0.3">
      <c r="I6532" s="101"/>
    </row>
    <row r="6533" spans="9:9" x14ac:dyDescent="0.3">
      <c r="I6533" s="101"/>
    </row>
    <row r="6534" spans="9:9" x14ac:dyDescent="0.3">
      <c r="I6534" s="101"/>
    </row>
    <row r="6535" spans="9:9" x14ac:dyDescent="0.3">
      <c r="I6535" s="101"/>
    </row>
    <row r="6536" spans="9:9" x14ac:dyDescent="0.3">
      <c r="I6536" s="101"/>
    </row>
    <row r="6537" spans="9:9" x14ac:dyDescent="0.3">
      <c r="I6537" s="101"/>
    </row>
    <row r="6538" spans="9:9" x14ac:dyDescent="0.3">
      <c r="I6538" s="101"/>
    </row>
    <row r="6539" spans="9:9" x14ac:dyDescent="0.3">
      <c r="I6539" s="101"/>
    </row>
    <row r="6540" spans="9:9" x14ac:dyDescent="0.3">
      <c r="I6540" s="101"/>
    </row>
    <row r="6541" spans="9:9" x14ac:dyDescent="0.3">
      <c r="I6541" s="101"/>
    </row>
    <row r="6542" spans="9:9" x14ac:dyDescent="0.3">
      <c r="I6542" s="101"/>
    </row>
    <row r="6543" spans="9:9" x14ac:dyDescent="0.3">
      <c r="I6543" s="101"/>
    </row>
    <row r="6544" spans="9:9" x14ac:dyDescent="0.3">
      <c r="I6544" s="101"/>
    </row>
    <row r="6545" spans="9:9" x14ac:dyDescent="0.3">
      <c r="I6545" s="101"/>
    </row>
    <row r="6546" spans="9:9" x14ac:dyDescent="0.3">
      <c r="I6546" s="101"/>
    </row>
    <row r="6547" spans="9:9" x14ac:dyDescent="0.3">
      <c r="I6547" s="101"/>
    </row>
    <row r="6548" spans="9:9" x14ac:dyDescent="0.3">
      <c r="I6548" s="101"/>
    </row>
    <row r="6549" spans="9:9" x14ac:dyDescent="0.3">
      <c r="I6549" s="101"/>
    </row>
    <row r="6550" spans="9:9" x14ac:dyDescent="0.3">
      <c r="I6550" s="101"/>
    </row>
    <row r="6551" spans="9:9" x14ac:dyDescent="0.3">
      <c r="I6551" s="101"/>
    </row>
    <row r="6552" spans="9:9" x14ac:dyDescent="0.3">
      <c r="I6552" s="101"/>
    </row>
    <row r="6553" spans="9:9" x14ac:dyDescent="0.3">
      <c r="I6553" s="101"/>
    </row>
    <row r="6554" spans="9:9" x14ac:dyDescent="0.3">
      <c r="I6554" s="101"/>
    </row>
    <row r="6555" spans="9:9" x14ac:dyDescent="0.3">
      <c r="I6555" s="101"/>
    </row>
    <row r="6556" spans="9:9" x14ac:dyDescent="0.3">
      <c r="I6556" s="101"/>
    </row>
    <row r="6557" spans="9:9" x14ac:dyDescent="0.3">
      <c r="I6557" s="101"/>
    </row>
    <row r="6558" spans="9:9" x14ac:dyDescent="0.3">
      <c r="I6558" s="101"/>
    </row>
    <row r="6559" spans="9:9" x14ac:dyDescent="0.3">
      <c r="I6559" s="101"/>
    </row>
    <row r="6560" spans="9:9" x14ac:dyDescent="0.3">
      <c r="I6560" s="101"/>
    </row>
    <row r="6561" spans="9:9" x14ac:dyDescent="0.3">
      <c r="I6561" s="101"/>
    </row>
    <row r="6562" spans="9:9" x14ac:dyDescent="0.3">
      <c r="I6562" s="101"/>
    </row>
    <row r="6563" spans="9:9" x14ac:dyDescent="0.3">
      <c r="I6563" s="101"/>
    </row>
    <row r="6564" spans="9:9" x14ac:dyDescent="0.3">
      <c r="I6564" s="101"/>
    </row>
    <row r="6565" spans="9:9" x14ac:dyDescent="0.3">
      <c r="I6565" s="101"/>
    </row>
    <row r="6566" spans="9:9" x14ac:dyDescent="0.3">
      <c r="I6566" s="101"/>
    </row>
    <row r="6567" spans="9:9" x14ac:dyDescent="0.3">
      <c r="I6567" s="101"/>
    </row>
    <row r="6568" spans="9:9" x14ac:dyDescent="0.3">
      <c r="I6568" s="101"/>
    </row>
    <row r="6569" spans="9:9" x14ac:dyDescent="0.3">
      <c r="I6569" s="101"/>
    </row>
    <row r="6570" spans="9:9" x14ac:dyDescent="0.3">
      <c r="I6570" s="101"/>
    </row>
    <row r="6571" spans="9:9" x14ac:dyDescent="0.3">
      <c r="I6571" s="101"/>
    </row>
    <row r="6572" spans="9:9" x14ac:dyDescent="0.3">
      <c r="I6572" s="101"/>
    </row>
    <row r="6573" spans="9:9" x14ac:dyDescent="0.3">
      <c r="I6573" s="101"/>
    </row>
    <row r="6574" spans="9:9" x14ac:dyDescent="0.3">
      <c r="I6574" s="101"/>
    </row>
    <row r="6575" spans="9:9" x14ac:dyDescent="0.3">
      <c r="I6575" s="101"/>
    </row>
    <row r="6576" spans="9:9" x14ac:dyDescent="0.3">
      <c r="I6576" s="101"/>
    </row>
    <row r="6577" spans="9:9" x14ac:dyDescent="0.3">
      <c r="I6577" s="101"/>
    </row>
    <row r="6578" spans="9:9" x14ac:dyDescent="0.3">
      <c r="I6578" s="101"/>
    </row>
    <row r="6579" spans="9:9" x14ac:dyDescent="0.3">
      <c r="I6579" s="101"/>
    </row>
    <row r="6580" spans="9:9" x14ac:dyDescent="0.3">
      <c r="I6580" s="101"/>
    </row>
    <row r="6581" spans="9:9" x14ac:dyDescent="0.3">
      <c r="I6581" s="101"/>
    </row>
    <row r="6582" spans="9:9" x14ac:dyDescent="0.3">
      <c r="I6582" s="101"/>
    </row>
    <row r="6583" spans="9:9" x14ac:dyDescent="0.3">
      <c r="I6583" s="101"/>
    </row>
    <row r="6584" spans="9:9" x14ac:dyDescent="0.3">
      <c r="I6584" s="101"/>
    </row>
    <row r="6585" spans="9:9" x14ac:dyDescent="0.3">
      <c r="I6585" s="101"/>
    </row>
    <row r="6586" spans="9:9" x14ac:dyDescent="0.3">
      <c r="I6586" s="101"/>
    </row>
    <row r="6587" spans="9:9" x14ac:dyDescent="0.3">
      <c r="I6587" s="101"/>
    </row>
    <row r="6588" spans="9:9" x14ac:dyDescent="0.3">
      <c r="I6588" s="101"/>
    </row>
    <row r="6589" spans="9:9" x14ac:dyDescent="0.3">
      <c r="I6589" s="101"/>
    </row>
    <row r="6590" spans="9:9" x14ac:dyDescent="0.3">
      <c r="I6590" s="101"/>
    </row>
    <row r="6591" spans="9:9" x14ac:dyDescent="0.3">
      <c r="I6591" s="101"/>
    </row>
    <row r="6592" spans="9:9" x14ac:dyDescent="0.3">
      <c r="I6592" s="101"/>
    </row>
    <row r="6593" spans="9:9" x14ac:dyDescent="0.3">
      <c r="I6593" s="101"/>
    </row>
    <row r="6594" spans="9:9" x14ac:dyDescent="0.3">
      <c r="I6594" s="101"/>
    </row>
    <row r="6595" spans="9:9" x14ac:dyDescent="0.3">
      <c r="I6595" s="101"/>
    </row>
    <row r="6596" spans="9:9" x14ac:dyDescent="0.3">
      <c r="I6596" s="101"/>
    </row>
    <row r="6597" spans="9:9" x14ac:dyDescent="0.3">
      <c r="I6597" s="101"/>
    </row>
    <row r="6598" spans="9:9" x14ac:dyDescent="0.3">
      <c r="I6598" s="101"/>
    </row>
    <row r="6599" spans="9:9" x14ac:dyDescent="0.3">
      <c r="I6599" s="101"/>
    </row>
    <row r="6600" spans="9:9" x14ac:dyDescent="0.3">
      <c r="I6600" s="101"/>
    </row>
    <row r="6601" spans="9:9" x14ac:dyDescent="0.3">
      <c r="I6601" s="101"/>
    </row>
    <row r="6602" spans="9:9" x14ac:dyDescent="0.3">
      <c r="I6602" s="101"/>
    </row>
    <row r="6603" spans="9:9" x14ac:dyDescent="0.3">
      <c r="I6603" s="101"/>
    </row>
    <row r="6604" spans="9:9" x14ac:dyDescent="0.3">
      <c r="I6604" s="101"/>
    </row>
    <row r="6605" spans="9:9" x14ac:dyDescent="0.3">
      <c r="I6605" s="101"/>
    </row>
    <row r="6606" spans="9:9" x14ac:dyDescent="0.3">
      <c r="I6606" s="101"/>
    </row>
    <row r="6607" spans="9:9" x14ac:dyDescent="0.3">
      <c r="I6607" s="101"/>
    </row>
    <row r="6608" spans="9:9" x14ac:dyDescent="0.3">
      <c r="I6608" s="101"/>
    </row>
    <row r="6609" spans="9:9" x14ac:dyDescent="0.3">
      <c r="I6609" s="101"/>
    </row>
    <row r="6610" spans="9:9" x14ac:dyDescent="0.3">
      <c r="I6610" s="101"/>
    </row>
    <row r="6611" spans="9:9" x14ac:dyDescent="0.3">
      <c r="I6611" s="101"/>
    </row>
    <row r="6612" spans="9:9" x14ac:dyDescent="0.3">
      <c r="I6612" s="101"/>
    </row>
    <row r="6613" spans="9:9" x14ac:dyDescent="0.3">
      <c r="I6613" s="101"/>
    </row>
    <row r="6614" spans="9:9" x14ac:dyDescent="0.3">
      <c r="I6614" s="101"/>
    </row>
    <row r="6615" spans="9:9" x14ac:dyDescent="0.3">
      <c r="I6615" s="101"/>
    </row>
    <row r="6616" spans="9:9" x14ac:dyDescent="0.3">
      <c r="I6616" s="101"/>
    </row>
    <row r="6617" spans="9:9" x14ac:dyDescent="0.3">
      <c r="I6617" s="101"/>
    </row>
    <row r="6618" spans="9:9" x14ac:dyDescent="0.3">
      <c r="I6618" s="101"/>
    </row>
    <row r="6619" spans="9:9" x14ac:dyDescent="0.3">
      <c r="I6619" s="101"/>
    </row>
    <row r="6620" spans="9:9" x14ac:dyDescent="0.3">
      <c r="I6620" s="101"/>
    </row>
    <row r="6621" spans="9:9" x14ac:dyDescent="0.3">
      <c r="I6621" s="101"/>
    </row>
    <row r="6622" spans="9:9" x14ac:dyDescent="0.3">
      <c r="I6622" s="101"/>
    </row>
    <row r="6623" spans="9:9" x14ac:dyDescent="0.3">
      <c r="I6623" s="101"/>
    </row>
    <row r="6624" spans="9:9" x14ac:dyDescent="0.3">
      <c r="I6624" s="101"/>
    </row>
    <row r="6625" spans="9:9" x14ac:dyDescent="0.3">
      <c r="I6625" s="101"/>
    </row>
    <row r="6626" spans="9:9" x14ac:dyDescent="0.3">
      <c r="I6626" s="101"/>
    </row>
    <row r="6627" spans="9:9" x14ac:dyDescent="0.3">
      <c r="I6627" s="101"/>
    </row>
    <row r="6628" spans="9:9" x14ac:dyDescent="0.3">
      <c r="I6628" s="101"/>
    </row>
    <row r="6629" spans="9:9" x14ac:dyDescent="0.3">
      <c r="I6629" s="101"/>
    </row>
    <row r="6630" spans="9:9" x14ac:dyDescent="0.3">
      <c r="I6630" s="101"/>
    </row>
    <row r="6631" spans="9:9" x14ac:dyDescent="0.3">
      <c r="I6631" s="101"/>
    </row>
    <row r="6632" spans="9:9" x14ac:dyDescent="0.3">
      <c r="I6632" s="101"/>
    </row>
    <row r="6633" spans="9:9" x14ac:dyDescent="0.3">
      <c r="I6633" s="101"/>
    </row>
    <row r="6634" spans="9:9" x14ac:dyDescent="0.3">
      <c r="I6634" s="101"/>
    </row>
    <row r="6635" spans="9:9" x14ac:dyDescent="0.3">
      <c r="I6635" s="101"/>
    </row>
    <row r="6636" spans="9:9" x14ac:dyDescent="0.3">
      <c r="I6636" s="101"/>
    </row>
    <row r="6637" spans="9:9" x14ac:dyDescent="0.3">
      <c r="I6637" s="101"/>
    </row>
    <row r="6638" spans="9:9" x14ac:dyDescent="0.3">
      <c r="I6638" s="101"/>
    </row>
    <row r="6639" spans="9:9" x14ac:dyDescent="0.3">
      <c r="I6639" s="101"/>
    </row>
    <row r="6640" spans="9:9" x14ac:dyDescent="0.3">
      <c r="I6640" s="101"/>
    </row>
    <row r="6641" spans="9:9" x14ac:dyDescent="0.3">
      <c r="I6641" s="101"/>
    </row>
    <row r="6642" spans="9:9" x14ac:dyDescent="0.3">
      <c r="I6642" s="101"/>
    </row>
    <row r="6643" spans="9:9" x14ac:dyDescent="0.3">
      <c r="I6643" s="101"/>
    </row>
    <row r="6644" spans="9:9" x14ac:dyDescent="0.3">
      <c r="I6644" s="101"/>
    </row>
    <row r="6645" spans="9:9" x14ac:dyDescent="0.3">
      <c r="I6645" s="101"/>
    </row>
    <row r="6646" spans="9:9" x14ac:dyDescent="0.3">
      <c r="I6646" s="101"/>
    </row>
    <row r="6647" spans="9:9" x14ac:dyDescent="0.3">
      <c r="I6647" s="101"/>
    </row>
    <row r="6648" spans="9:9" x14ac:dyDescent="0.3">
      <c r="I6648" s="101"/>
    </row>
    <row r="6649" spans="9:9" x14ac:dyDescent="0.3">
      <c r="I6649" s="101"/>
    </row>
    <row r="6650" spans="9:9" x14ac:dyDescent="0.3">
      <c r="I6650" s="101"/>
    </row>
    <row r="6651" spans="9:9" x14ac:dyDescent="0.3">
      <c r="I6651" s="101"/>
    </row>
    <row r="6652" spans="9:9" x14ac:dyDescent="0.3">
      <c r="I6652" s="101"/>
    </row>
    <row r="6653" spans="9:9" x14ac:dyDescent="0.3">
      <c r="I6653" s="101"/>
    </row>
    <row r="6654" spans="9:9" x14ac:dyDescent="0.3">
      <c r="I6654" s="101"/>
    </row>
    <row r="6655" spans="9:9" x14ac:dyDescent="0.3">
      <c r="I6655" s="101"/>
    </row>
    <row r="6656" spans="9:9" x14ac:dyDescent="0.3">
      <c r="I6656" s="101"/>
    </row>
    <row r="6657" spans="9:9" x14ac:dyDescent="0.3">
      <c r="I6657" s="101"/>
    </row>
    <row r="6658" spans="9:9" x14ac:dyDescent="0.3">
      <c r="I6658" s="101"/>
    </row>
    <row r="6659" spans="9:9" x14ac:dyDescent="0.3">
      <c r="I6659" s="101"/>
    </row>
    <row r="6660" spans="9:9" x14ac:dyDescent="0.3">
      <c r="I6660" s="101"/>
    </row>
    <row r="6661" spans="9:9" x14ac:dyDescent="0.3">
      <c r="I6661" s="101"/>
    </row>
    <row r="6662" spans="9:9" x14ac:dyDescent="0.3">
      <c r="I6662" s="101"/>
    </row>
    <row r="6663" spans="9:9" x14ac:dyDescent="0.3">
      <c r="I6663" s="101"/>
    </row>
    <row r="6664" spans="9:9" x14ac:dyDescent="0.3">
      <c r="I6664" s="101"/>
    </row>
    <row r="6665" spans="9:9" x14ac:dyDescent="0.3">
      <c r="I6665" s="101"/>
    </row>
    <row r="6666" spans="9:9" x14ac:dyDescent="0.3">
      <c r="I6666" s="101"/>
    </row>
    <row r="6667" spans="9:9" x14ac:dyDescent="0.3">
      <c r="I6667" s="101"/>
    </row>
    <row r="6668" spans="9:9" x14ac:dyDescent="0.3">
      <c r="I6668" s="101"/>
    </row>
    <row r="6669" spans="9:9" x14ac:dyDescent="0.3">
      <c r="I6669" s="101"/>
    </row>
    <row r="6670" spans="9:9" x14ac:dyDescent="0.3">
      <c r="I6670" s="101"/>
    </row>
    <row r="6671" spans="9:9" x14ac:dyDescent="0.3">
      <c r="I6671" s="101"/>
    </row>
    <row r="6672" spans="9:9" x14ac:dyDescent="0.3">
      <c r="I6672" s="101"/>
    </row>
    <row r="6673" spans="9:9" x14ac:dyDescent="0.3">
      <c r="I6673" s="101"/>
    </row>
    <row r="6674" spans="9:9" x14ac:dyDescent="0.3">
      <c r="I6674" s="101"/>
    </row>
    <row r="6675" spans="9:9" x14ac:dyDescent="0.3">
      <c r="I6675" s="101"/>
    </row>
    <row r="6676" spans="9:9" x14ac:dyDescent="0.3">
      <c r="I6676" s="101"/>
    </row>
    <row r="6677" spans="9:9" x14ac:dyDescent="0.3">
      <c r="I6677" s="101"/>
    </row>
    <row r="6678" spans="9:9" x14ac:dyDescent="0.3">
      <c r="I6678" s="101"/>
    </row>
    <row r="6679" spans="9:9" x14ac:dyDescent="0.3">
      <c r="I6679" s="101"/>
    </row>
    <row r="6680" spans="9:9" x14ac:dyDescent="0.3">
      <c r="I6680" s="101"/>
    </row>
    <row r="6681" spans="9:9" x14ac:dyDescent="0.3">
      <c r="I6681" s="101"/>
    </row>
    <row r="6682" spans="9:9" x14ac:dyDescent="0.3">
      <c r="I6682" s="101"/>
    </row>
    <row r="6683" spans="9:9" x14ac:dyDescent="0.3">
      <c r="I6683" s="101"/>
    </row>
    <row r="6684" spans="9:9" x14ac:dyDescent="0.3">
      <c r="I6684" s="101"/>
    </row>
    <row r="6685" spans="9:9" x14ac:dyDescent="0.3">
      <c r="I6685" s="101"/>
    </row>
    <row r="6686" spans="9:9" x14ac:dyDescent="0.3">
      <c r="I6686" s="101"/>
    </row>
    <row r="6687" spans="9:9" x14ac:dyDescent="0.3">
      <c r="I6687" s="101"/>
    </row>
    <row r="6688" spans="9:9" x14ac:dyDescent="0.3">
      <c r="I6688" s="101"/>
    </row>
    <row r="6689" spans="9:9" x14ac:dyDescent="0.3">
      <c r="I6689" s="101"/>
    </row>
    <row r="6690" spans="9:9" x14ac:dyDescent="0.3">
      <c r="I6690" s="101"/>
    </row>
    <row r="6691" spans="9:9" x14ac:dyDescent="0.3">
      <c r="I6691" s="101"/>
    </row>
    <row r="6692" spans="9:9" x14ac:dyDescent="0.3">
      <c r="I6692" s="101"/>
    </row>
    <row r="6693" spans="9:9" x14ac:dyDescent="0.3">
      <c r="I6693" s="101"/>
    </row>
    <row r="6694" spans="9:9" x14ac:dyDescent="0.3">
      <c r="I6694" s="101"/>
    </row>
    <row r="6695" spans="9:9" x14ac:dyDescent="0.3">
      <c r="I6695" s="101"/>
    </row>
    <row r="6696" spans="9:9" x14ac:dyDescent="0.3">
      <c r="I6696" s="101"/>
    </row>
    <row r="6697" spans="9:9" x14ac:dyDescent="0.3">
      <c r="I6697" s="101"/>
    </row>
    <row r="6698" spans="9:9" x14ac:dyDescent="0.3">
      <c r="I6698" s="101"/>
    </row>
    <row r="6699" spans="9:9" x14ac:dyDescent="0.3">
      <c r="I6699" s="101"/>
    </row>
    <row r="6700" spans="9:9" x14ac:dyDescent="0.3">
      <c r="I6700" s="101"/>
    </row>
    <row r="6701" spans="9:9" x14ac:dyDescent="0.3">
      <c r="I6701" s="101"/>
    </row>
    <row r="6702" spans="9:9" x14ac:dyDescent="0.3">
      <c r="I6702" s="101"/>
    </row>
    <row r="6703" spans="9:9" x14ac:dyDescent="0.3">
      <c r="I6703" s="101"/>
    </row>
    <row r="6704" spans="9:9" x14ac:dyDescent="0.3">
      <c r="I6704" s="101"/>
    </row>
    <row r="6705" spans="9:9" x14ac:dyDescent="0.3">
      <c r="I6705" s="101"/>
    </row>
    <row r="6706" spans="9:9" x14ac:dyDescent="0.3">
      <c r="I6706" s="101"/>
    </row>
    <row r="6707" spans="9:9" x14ac:dyDescent="0.3">
      <c r="I6707" s="101"/>
    </row>
    <row r="6708" spans="9:9" x14ac:dyDescent="0.3">
      <c r="I6708" s="101"/>
    </row>
    <row r="6709" spans="9:9" x14ac:dyDescent="0.3">
      <c r="I6709" s="101"/>
    </row>
    <row r="6710" spans="9:9" x14ac:dyDescent="0.3">
      <c r="I6710" s="101"/>
    </row>
    <row r="6711" spans="9:9" x14ac:dyDescent="0.3">
      <c r="I6711" s="101"/>
    </row>
    <row r="6712" spans="9:9" x14ac:dyDescent="0.3">
      <c r="I6712" s="101"/>
    </row>
    <row r="6713" spans="9:9" x14ac:dyDescent="0.3">
      <c r="I6713" s="101"/>
    </row>
    <row r="6714" spans="9:9" x14ac:dyDescent="0.3">
      <c r="I6714" s="101"/>
    </row>
    <row r="6715" spans="9:9" x14ac:dyDescent="0.3">
      <c r="I6715" s="101"/>
    </row>
    <row r="6716" spans="9:9" x14ac:dyDescent="0.3">
      <c r="I6716" s="101"/>
    </row>
    <row r="6717" spans="9:9" x14ac:dyDescent="0.3">
      <c r="I6717" s="101"/>
    </row>
    <row r="6718" spans="9:9" x14ac:dyDescent="0.3">
      <c r="I6718" s="101"/>
    </row>
    <row r="6719" spans="9:9" x14ac:dyDescent="0.3">
      <c r="I6719" s="101"/>
    </row>
    <row r="6720" spans="9:9" x14ac:dyDescent="0.3">
      <c r="I6720" s="101"/>
    </row>
    <row r="6721" spans="9:9" x14ac:dyDescent="0.3">
      <c r="I6721" s="101"/>
    </row>
    <row r="6722" spans="9:9" x14ac:dyDescent="0.3">
      <c r="I6722" s="101"/>
    </row>
    <row r="6723" spans="9:9" x14ac:dyDescent="0.3">
      <c r="I6723" s="101"/>
    </row>
    <row r="6724" spans="9:9" x14ac:dyDescent="0.3">
      <c r="I6724" s="101"/>
    </row>
    <row r="6725" spans="9:9" x14ac:dyDescent="0.3">
      <c r="I6725" s="101"/>
    </row>
    <row r="6726" spans="9:9" x14ac:dyDescent="0.3">
      <c r="I6726" s="101"/>
    </row>
    <row r="6727" spans="9:9" x14ac:dyDescent="0.3">
      <c r="I6727" s="101"/>
    </row>
    <row r="6728" spans="9:9" x14ac:dyDescent="0.3">
      <c r="I6728" s="101"/>
    </row>
    <row r="6729" spans="9:9" x14ac:dyDescent="0.3">
      <c r="I6729" s="101"/>
    </row>
    <row r="6730" spans="9:9" x14ac:dyDescent="0.3">
      <c r="I6730" s="101"/>
    </row>
    <row r="6731" spans="9:9" x14ac:dyDescent="0.3">
      <c r="I6731" s="101"/>
    </row>
    <row r="6732" spans="9:9" x14ac:dyDescent="0.3">
      <c r="I6732" s="101"/>
    </row>
    <row r="6733" spans="9:9" x14ac:dyDescent="0.3">
      <c r="I6733" s="101"/>
    </row>
    <row r="6734" spans="9:9" x14ac:dyDescent="0.3">
      <c r="I6734" s="101"/>
    </row>
    <row r="6735" spans="9:9" x14ac:dyDescent="0.3">
      <c r="I6735" s="101"/>
    </row>
    <row r="6736" spans="9:9" x14ac:dyDescent="0.3">
      <c r="I6736" s="101"/>
    </row>
    <row r="6737" spans="9:9" x14ac:dyDescent="0.3">
      <c r="I6737" s="101"/>
    </row>
    <row r="6738" spans="9:9" x14ac:dyDescent="0.3">
      <c r="I6738" s="101"/>
    </row>
    <row r="6739" spans="9:9" x14ac:dyDescent="0.3">
      <c r="I6739" s="101"/>
    </row>
    <row r="6740" spans="9:9" x14ac:dyDescent="0.3">
      <c r="I6740" s="101"/>
    </row>
    <row r="6741" spans="9:9" x14ac:dyDescent="0.3">
      <c r="I6741" s="101"/>
    </row>
    <row r="6742" spans="9:9" x14ac:dyDescent="0.3">
      <c r="I6742" s="101"/>
    </row>
    <row r="6743" spans="9:9" x14ac:dyDescent="0.3">
      <c r="I6743" s="101"/>
    </row>
    <row r="6744" spans="9:9" x14ac:dyDescent="0.3">
      <c r="I6744" s="101"/>
    </row>
    <row r="6745" spans="9:9" x14ac:dyDescent="0.3">
      <c r="I6745" s="101"/>
    </row>
    <row r="6746" spans="9:9" x14ac:dyDescent="0.3">
      <c r="I6746" s="101"/>
    </row>
    <row r="6747" spans="9:9" x14ac:dyDescent="0.3">
      <c r="I6747" s="101"/>
    </row>
    <row r="6748" spans="9:9" x14ac:dyDescent="0.3">
      <c r="I6748" s="101"/>
    </row>
    <row r="6749" spans="9:9" x14ac:dyDescent="0.3">
      <c r="I6749" s="101"/>
    </row>
    <row r="6750" spans="9:9" x14ac:dyDescent="0.3">
      <c r="I6750" s="101"/>
    </row>
    <row r="6751" spans="9:9" x14ac:dyDescent="0.3">
      <c r="I6751" s="101"/>
    </row>
    <row r="6752" spans="9:9" x14ac:dyDescent="0.3">
      <c r="I6752" s="101"/>
    </row>
    <row r="6753" spans="9:9" x14ac:dyDescent="0.3">
      <c r="I6753" s="101"/>
    </row>
    <row r="6754" spans="9:9" x14ac:dyDescent="0.3">
      <c r="I6754" s="101"/>
    </row>
    <row r="6755" spans="9:9" x14ac:dyDescent="0.3">
      <c r="I6755" s="101"/>
    </row>
    <row r="6756" spans="9:9" x14ac:dyDescent="0.3">
      <c r="I6756" s="101"/>
    </row>
    <row r="6757" spans="9:9" x14ac:dyDescent="0.3">
      <c r="I6757" s="101"/>
    </row>
    <row r="6758" spans="9:9" x14ac:dyDescent="0.3">
      <c r="I6758" s="101"/>
    </row>
    <row r="6759" spans="9:9" x14ac:dyDescent="0.3">
      <c r="I6759" s="101"/>
    </row>
    <row r="6760" spans="9:9" x14ac:dyDescent="0.3">
      <c r="I6760" s="101"/>
    </row>
    <row r="6761" spans="9:9" x14ac:dyDescent="0.3">
      <c r="I6761" s="101"/>
    </row>
    <row r="6762" spans="9:9" x14ac:dyDescent="0.3">
      <c r="I6762" s="101"/>
    </row>
    <row r="6763" spans="9:9" x14ac:dyDescent="0.3">
      <c r="I6763" s="101"/>
    </row>
    <row r="6764" spans="9:9" x14ac:dyDescent="0.3">
      <c r="I6764" s="101"/>
    </row>
    <row r="6765" spans="9:9" x14ac:dyDescent="0.3">
      <c r="I6765" s="101"/>
    </row>
    <row r="6766" spans="9:9" x14ac:dyDescent="0.3">
      <c r="I6766" s="101"/>
    </row>
    <row r="6767" spans="9:9" x14ac:dyDescent="0.3">
      <c r="I6767" s="101"/>
    </row>
    <row r="6768" spans="9:9" x14ac:dyDescent="0.3">
      <c r="I6768" s="101"/>
    </row>
    <row r="6769" spans="9:9" x14ac:dyDescent="0.3">
      <c r="I6769" s="101"/>
    </row>
    <row r="6770" spans="9:9" x14ac:dyDescent="0.3">
      <c r="I6770" s="101"/>
    </row>
    <row r="6771" spans="9:9" x14ac:dyDescent="0.3">
      <c r="I6771" s="101"/>
    </row>
    <row r="6772" spans="9:9" x14ac:dyDescent="0.3">
      <c r="I6772" s="101"/>
    </row>
    <row r="6773" spans="9:9" x14ac:dyDescent="0.3">
      <c r="I6773" s="101"/>
    </row>
    <row r="6774" spans="9:9" x14ac:dyDescent="0.3">
      <c r="I6774" s="101"/>
    </row>
    <row r="6775" spans="9:9" x14ac:dyDescent="0.3">
      <c r="I6775" s="101"/>
    </row>
    <row r="6776" spans="9:9" x14ac:dyDescent="0.3">
      <c r="I6776" s="101"/>
    </row>
    <row r="6777" spans="9:9" x14ac:dyDescent="0.3">
      <c r="I6777" s="101"/>
    </row>
    <row r="6778" spans="9:9" x14ac:dyDescent="0.3">
      <c r="I6778" s="101"/>
    </row>
    <row r="6779" spans="9:9" x14ac:dyDescent="0.3">
      <c r="I6779" s="101"/>
    </row>
    <row r="6780" spans="9:9" x14ac:dyDescent="0.3">
      <c r="I6780" s="101"/>
    </row>
    <row r="6781" spans="9:9" x14ac:dyDescent="0.3">
      <c r="I6781" s="101"/>
    </row>
    <row r="6782" spans="9:9" x14ac:dyDescent="0.3">
      <c r="I6782" s="101"/>
    </row>
    <row r="6783" spans="9:9" x14ac:dyDescent="0.3">
      <c r="I6783" s="101"/>
    </row>
    <row r="6784" spans="9:9" x14ac:dyDescent="0.3">
      <c r="I6784" s="101"/>
    </row>
    <row r="6785" spans="9:9" x14ac:dyDescent="0.3">
      <c r="I6785" s="101"/>
    </row>
    <row r="6786" spans="9:9" x14ac:dyDescent="0.3">
      <c r="I6786" s="101"/>
    </row>
    <row r="6787" spans="9:9" x14ac:dyDescent="0.3">
      <c r="I6787" s="101"/>
    </row>
    <row r="6788" spans="9:9" x14ac:dyDescent="0.3">
      <c r="I6788" s="101"/>
    </row>
    <row r="6789" spans="9:9" x14ac:dyDescent="0.3">
      <c r="I6789" s="101"/>
    </row>
    <row r="6790" spans="9:9" x14ac:dyDescent="0.3">
      <c r="I6790" s="101"/>
    </row>
    <row r="6791" spans="9:9" x14ac:dyDescent="0.3">
      <c r="I6791" s="101"/>
    </row>
    <row r="6792" spans="9:9" x14ac:dyDescent="0.3">
      <c r="I6792" s="101"/>
    </row>
    <row r="6793" spans="9:9" x14ac:dyDescent="0.3">
      <c r="I6793" s="101"/>
    </row>
    <row r="6794" spans="9:9" x14ac:dyDescent="0.3">
      <c r="I6794" s="101"/>
    </row>
    <row r="6795" spans="9:9" x14ac:dyDescent="0.3">
      <c r="I6795" s="101"/>
    </row>
    <row r="6796" spans="9:9" x14ac:dyDescent="0.3">
      <c r="I6796" s="101"/>
    </row>
    <row r="6797" spans="9:9" x14ac:dyDescent="0.3">
      <c r="I6797" s="101"/>
    </row>
    <row r="6798" spans="9:9" x14ac:dyDescent="0.3">
      <c r="I6798" s="101"/>
    </row>
    <row r="6799" spans="9:9" x14ac:dyDescent="0.3">
      <c r="I6799" s="101"/>
    </row>
    <row r="6800" spans="9:9" x14ac:dyDescent="0.3">
      <c r="I6800" s="101"/>
    </row>
    <row r="6801" spans="9:9" x14ac:dyDescent="0.3">
      <c r="I6801" s="101"/>
    </row>
    <row r="6802" spans="9:9" x14ac:dyDescent="0.3">
      <c r="I6802" s="101"/>
    </row>
    <row r="6803" spans="9:9" x14ac:dyDescent="0.3">
      <c r="I6803" s="101"/>
    </row>
    <row r="6804" spans="9:9" x14ac:dyDescent="0.3">
      <c r="I6804" s="101"/>
    </row>
    <row r="6805" spans="9:9" x14ac:dyDescent="0.3">
      <c r="I6805" s="101"/>
    </row>
    <row r="6806" spans="9:9" x14ac:dyDescent="0.3">
      <c r="I6806" s="101"/>
    </row>
    <row r="6807" spans="9:9" x14ac:dyDescent="0.3">
      <c r="I6807" s="101"/>
    </row>
    <row r="6808" spans="9:9" x14ac:dyDescent="0.3">
      <c r="I6808" s="101"/>
    </row>
    <row r="6809" spans="9:9" x14ac:dyDescent="0.3">
      <c r="I6809" s="101"/>
    </row>
    <row r="6810" spans="9:9" x14ac:dyDescent="0.3">
      <c r="I6810" s="101"/>
    </row>
    <row r="6811" spans="9:9" x14ac:dyDescent="0.3">
      <c r="I6811" s="101"/>
    </row>
    <row r="6812" spans="9:9" x14ac:dyDescent="0.3">
      <c r="I6812" s="101"/>
    </row>
    <row r="6813" spans="9:9" x14ac:dyDescent="0.3">
      <c r="I6813" s="101"/>
    </row>
    <row r="6814" spans="9:9" x14ac:dyDescent="0.3">
      <c r="I6814" s="101"/>
    </row>
    <row r="6815" spans="9:9" x14ac:dyDescent="0.3">
      <c r="I6815" s="101"/>
    </row>
    <row r="6816" spans="9:9" x14ac:dyDescent="0.3">
      <c r="I6816" s="101"/>
    </row>
    <row r="6817" spans="9:9" x14ac:dyDescent="0.3">
      <c r="I6817" s="101"/>
    </row>
    <row r="6818" spans="9:9" x14ac:dyDescent="0.3">
      <c r="I6818" s="101"/>
    </row>
    <row r="6819" spans="9:9" x14ac:dyDescent="0.3">
      <c r="I6819" s="101"/>
    </row>
    <row r="6820" spans="9:9" x14ac:dyDescent="0.3">
      <c r="I6820" s="101"/>
    </row>
    <row r="6821" spans="9:9" x14ac:dyDescent="0.3">
      <c r="I6821" s="101"/>
    </row>
    <row r="6822" spans="9:9" x14ac:dyDescent="0.3">
      <c r="I6822" s="101"/>
    </row>
    <row r="6823" spans="9:9" x14ac:dyDescent="0.3">
      <c r="I6823" s="101"/>
    </row>
    <row r="6824" spans="9:9" x14ac:dyDescent="0.3">
      <c r="I6824" s="101"/>
    </row>
    <row r="6825" spans="9:9" x14ac:dyDescent="0.3">
      <c r="I6825" s="101"/>
    </row>
    <row r="6826" spans="9:9" x14ac:dyDescent="0.3">
      <c r="I6826" s="101"/>
    </row>
    <row r="6827" spans="9:9" x14ac:dyDescent="0.3">
      <c r="I6827" s="101"/>
    </row>
    <row r="6828" spans="9:9" x14ac:dyDescent="0.3">
      <c r="I6828" s="101"/>
    </row>
    <row r="6829" spans="9:9" x14ac:dyDescent="0.3">
      <c r="I6829" s="101"/>
    </row>
    <row r="6830" spans="9:9" x14ac:dyDescent="0.3">
      <c r="I6830" s="101"/>
    </row>
    <row r="6831" spans="9:9" x14ac:dyDescent="0.3">
      <c r="I6831" s="101"/>
    </row>
    <row r="6832" spans="9:9" x14ac:dyDescent="0.3">
      <c r="I6832" s="101"/>
    </row>
    <row r="6833" spans="9:9" x14ac:dyDescent="0.3">
      <c r="I6833" s="101"/>
    </row>
    <row r="6834" spans="9:9" x14ac:dyDescent="0.3">
      <c r="I6834" s="101"/>
    </row>
    <row r="6835" spans="9:9" x14ac:dyDescent="0.3">
      <c r="I6835" s="101"/>
    </row>
    <row r="6836" spans="9:9" x14ac:dyDescent="0.3">
      <c r="I6836" s="101"/>
    </row>
    <row r="6837" spans="9:9" x14ac:dyDescent="0.3">
      <c r="I6837" s="101"/>
    </row>
    <row r="6838" spans="9:9" x14ac:dyDescent="0.3">
      <c r="I6838" s="101"/>
    </row>
    <row r="6839" spans="9:9" x14ac:dyDescent="0.3">
      <c r="I6839" s="101"/>
    </row>
    <row r="6840" spans="9:9" x14ac:dyDescent="0.3">
      <c r="I6840" s="101"/>
    </row>
    <row r="6841" spans="9:9" x14ac:dyDescent="0.3">
      <c r="I6841" s="101"/>
    </row>
    <row r="6842" spans="9:9" x14ac:dyDescent="0.3">
      <c r="I6842" s="101"/>
    </row>
    <row r="6843" spans="9:9" x14ac:dyDescent="0.3">
      <c r="I6843" s="101"/>
    </row>
    <row r="6844" spans="9:9" x14ac:dyDescent="0.3">
      <c r="I6844" s="101"/>
    </row>
    <row r="6845" spans="9:9" x14ac:dyDescent="0.3">
      <c r="I6845" s="101"/>
    </row>
    <row r="6846" spans="9:9" x14ac:dyDescent="0.3">
      <c r="I6846" s="101"/>
    </row>
    <row r="6847" spans="9:9" x14ac:dyDescent="0.3">
      <c r="I6847" s="101"/>
    </row>
    <row r="6848" spans="9:9" x14ac:dyDescent="0.3">
      <c r="I6848" s="101"/>
    </row>
    <row r="6849" spans="9:9" x14ac:dyDescent="0.3">
      <c r="I6849" s="101"/>
    </row>
    <row r="6850" spans="9:9" x14ac:dyDescent="0.3">
      <c r="I6850" s="101"/>
    </row>
    <row r="6851" spans="9:9" x14ac:dyDescent="0.3">
      <c r="I6851" s="101"/>
    </row>
    <row r="6852" spans="9:9" x14ac:dyDescent="0.3">
      <c r="I6852" s="101"/>
    </row>
    <row r="6853" spans="9:9" x14ac:dyDescent="0.3">
      <c r="I6853" s="101"/>
    </row>
    <row r="6854" spans="9:9" x14ac:dyDescent="0.3">
      <c r="I6854" s="101"/>
    </row>
    <row r="6855" spans="9:9" x14ac:dyDescent="0.3">
      <c r="I6855" s="101"/>
    </row>
    <row r="6856" spans="9:9" x14ac:dyDescent="0.3">
      <c r="I6856" s="101"/>
    </row>
    <row r="6857" spans="9:9" x14ac:dyDescent="0.3">
      <c r="I6857" s="101"/>
    </row>
    <row r="6858" spans="9:9" x14ac:dyDescent="0.3">
      <c r="I6858" s="101"/>
    </row>
    <row r="6859" spans="9:9" x14ac:dyDescent="0.3">
      <c r="I6859" s="101"/>
    </row>
    <row r="6860" spans="9:9" x14ac:dyDescent="0.3">
      <c r="I6860" s="101"/>
    </row>
    <row r="6861" spans="9:9" x14ac:dyDescent="0.3">
      <c r="I6861" s="101"/>
    </row>
    <row r="6862" spans="9:9" x14ac:dyDescent="0.3">
      <c r="I6862" s="101"/>
    </row>
    <row r="6863" spans="9:9" x14ac:dyDescent="0.3">
      <c r="I6863" s="101"/>
    </row>
    <row r="6864" spans="9:9" x14ac:dyDescent="0.3">
      <c r="I6864" s="101"/>
    </row>
    <row r="6865" spans="9:9" x14ac:dyDescent="0.3">
      <c r="I6865" s="101"/>
    </row>
    <row r="6866" spans="9:9" x14ac:dyDescent="0.3">
      <c r="I6866" s="101"/>
    </row>
    <row r="6867" spans="9:9" x14ac:dyDescent="0.3">
      <c r="I6867" s="101"/>
    </row>
    <row r="6868" spans="9:9" x14ac:dyDescent="0.3">
      <c r="I6868" s="101"/>
    </row>
    <row r="6869" spans="9:9" x14ac:dyDescent="0.3">
      <c r="I6869" s="101"/>
    </row>
    <row r="6870" spans="9:9" x14ac:dyDescent="0.3">
      <c r="I6870" s="101"/>
    </row>
    <row r="6871" spans="9:9" x14ac:dyDescent="0.3">
      <c r="I6871" s="101"/>
    </row>
    <row r="6872" spans="9:9" x14ac:dyDescent="0.3">
      <c r="I6872" s="101"/>
    </row>
    <row r="6873" spans="9:9" x14ac:dyDescent="0.3">
      <c r="I6873" s="101"/>
    </row>
    <row r="6874" spans="9:9" x14ac:dyDescent="0.3">
      <c r="I6874" s="101"/>
    </row>
    <row r="6875" spans="9:9" x14ac:dyDescent="0.3">
      <c r="I6875" s="101"/>
    </row>
    <row r="6876" spans="9:9" x14ac:dyDescent="0.3">
      <c r="I6876" s="101"/>
    </row>
    <row r="6877" spans="9:9" x14ac:dyDescent="0.3">
      <c r="I6877" s="101"/>
    </row>
    <row r="6878" spans="9:9" x14ac:dyDescent="0.3">
      <c r="I6878" s="101"/>
    </row>
    <row r="6879" spans="9:9" x14ac:dyDescent="0.3">
      <c r="I6879" s="101"/>
    </row>
    <row r="6880" spans="9:9" x14ac:dyDescent="0.3">
      <c r="I6880" s="101"/>
    </row>
    <row r="6881" spans="9:9" x14ac:dyDescent="0.3">
      <c r="I6881" s="101"/>
    </row>
    <row r="6882" spans="9:9" x14ac:dyDescent="0.3">
      <c r="I6882" s="101"/>
    </row>
    <row r="6883" spans="9:9" x14ac:dyDescent="0.3">
      <c r="I6883" s="101"/>
    </row>
    <row r="6884" spans="9:9" x14ac:dyDescent="0.3">
      <c r="I6884" s="101"/>
    </row>
    <row r="6885" spans="9:9" x14ac:dyDescent="0.3">
      <c r="I6885" s="101"/>
    </row>
    <row r="6886" spans="9:9" x14ac:dyDescent="0.3">
      <c r="I6886" s="101"/>
    </row>
    <row r="6887" spans="9:9" x14ac:dyDescent="0.3">
      <c r="I6887" s="101"/>
    </row>
    <row r="6888" spans="9:9" x14ac:dyDescent="0.3">
      <c r="I6888" s="101"/>
    </row>
    <row r="6889" spans="9:9" x14ac:dyDescent="0.3">
      <c r="I6889" s="101"/>
    </row>
    <row r="6890" spans="9:9" x14ac:dyDescent="0.3">
      <c r="I6890" s="101"/>
    </row>
    <row r="6891" spans="9:9" x14ac:dyDescent="0.3">
      <c r="I6891" s="101"/>
    </row>
    <row r="6892" spans="9:9" x14ac:dyDescent="0.3">
      <c r="I6892" s="101"/>
    </row>
    <row r="6893" spans="9:9" x14ac:dyDescent="0.3">
      <c r="I6893" s="101"/>
    </row>
    <row r="6894" spans="9:9" x14ac:dyDescent="0.3">
      <c r="I6894" s="101"/>
    </row>
    <row r="6895" spans="9:9" x14ac:dyDescent="0.3">
      <c r="I6895" s="101"/>
    </row>
    <row r="6896" spans="9:9" x14ac:dyDescent="0.3">
      <c r="I6896" s="101"/>
    </row>
    <row r="6897" spans="9:9" x14ac:dyDescent="0.3">
      <c r="I6897" s="101"/>
    </row>
    <row r="6898" spans="9:9" x14ac:dyDescent="0.3">
      <c r="I6898" s="101"/>
    </row>
    <row r="6899" spans="9:9" x14ac:dyDescent="0.3">
      <c r="I6899" s="101"/>
    </row>
    <row r="6900" spans="9:9" x14ac:dyDescent="0.3">
      <c r="I6900" s="101"/>
    </row>
    <row r="6901" spans="9:9" x14ac:dyDescent="0.3">
      <c r="I6901" s="101"/>
    </row>
    <row r="6902" spans="9:9" x14ac:dyDescent="0.3">
      <c r="I6902" s="101"/>
    </row>
    <row r="6903" spans="9:9" x14ac:dyDescent="0.3">
      <c r="I6903" s="101"/>
    </row>
    <row r="6904" spans="9:9" x14ac:dyDescent="0.3">
      <c r="I6904" s="101"/>
    </row>
    <row r="6905" spans="9:9" x14ac:dyDescent="0.3">
      <c r="I6905" s="101"/>
    </row>
    <row r="6906" spans="9:9" x14ac:dyDescent="0.3">
      <c r="I6906" s="101"/>
    </row>
    <row r="6907" spans="9:9" x14ac:dyDescent="0.3">
      <c r="I6907" s="101"/>
    </row>
    <row r="6908" spans="9:9" x14ac:dyDescent="0.3">
      <c r="I6908" s="101"/>
    </row>
    <row r="6909" spans="9:9" x14ac:dyDescent="0.3">
      <c r="I6909" s="101"/>
    </row>
    <row r="6910" spans="9:9" x14ac:dyDescent="0.3">
      <c r="I6910" s="101"/>
    </row>
    <row r="6911" spans="9:9" x14ac:dyDescent="0.3">
      <c r="I6911" s="101"/>
    </row>
    <row r="6912" spans="9:9" x14ac:dyDescent="0.3">
      <c r="I6912" s="101"/>
    </row>
    <row r="6913" spans="9:9" x14ac:dyDescent="0.3">
      <c r="I6913" s="101"/>
    </row>
    <row r="6914" spans="9:9" x14ac:dyDescent="0.3">
      <c r="I6914" s="101"/>
    </row>
    <row r="6915" spans="9:9" x14ac:dyDescent="0.3">
      <c r="I6915" s="101"/>
    </row>
    <row r="6916" spans="9:9" x14ac:dyDescent="0.3">
      <c r="I6916" s="101"/>
    </row>
    <row r="6917" spans="9:9" x14ac:dyDescent="0.3">
      <c r="I6917" s="101"/>
    </row>
    <row r="6918" spans="9:9" x14ac:dyDescent="0.3">
      <c r="I6918" s="101"/>
    </row>
    <row r="6919" spans="9:9" x14ac:dyDescent="0.3">
      <c r="I6919" s="101"/>
    </row>
    <row r="6920" spans="9:9" x14ac:dyDescent="0.3">
      <c r="I6920" s="101"/>
    </row>
    <row r="6921" spans="9:9" x14ac:dyDescent="0.3">
      <c r="I6921" s="101"/>
    </row>
    <row r="6922" spans="9:9" x14ac:dyDescent="0.3">
      <c r="I6922" s="101"/>
    </row>
    <row r="6923" spans="9:9" x14ac:dyDescent="0.3">
      <c r="I6923" s="101"/>
    </row>
    <row r="6924" spans="9:9" x14ac:dyDescent="0.3">
      <c r="I6924" s="101"/>
    </row>
    <row r="6925" spans="9:9" x14ac:dyDescent="0.3">
      <c r="I6925" s="101"/>
    </row>
    <row r="6926" spans="9:9" x14ac:dyDescent="0.3">
      <c r="I6926" s="101"/>
    </row>
    <row r="6927" spans="9:9" x14ac:dyDescent="0.3">
      <c r="I6927" s="101"/>
    </row>
    <row r="6928" spans="9:9" x14ac:dyDescent="0.3">
      <c r="I6928" s="101"/>
    </row>
    <row r="6929" spans="9:9" x14ac:dyDescent="0.3">
      <c r="I6929" s="101"/>
    </row>
    <row r="6930" spans="9:9" x14ac:dyDescent="0.3">
      <c r="I6930" s="101"/>
    </row>
    <row r="6931" spans="9:9" x14ac:dyDescent="0.3">
      <c r="I6931" s="101"/>
    </row>
    <row r="6932" spans="9:9" x14ac:dyDescent="0.3">
      <c r="I6932" s="101"/>
    </row>
    <row r="6933" spans="9:9" x14ac:dyDescent="0.3">
      <c r="I6933" s="101"/>
    </row>
    <row r="6934" spans="9:9" x14ac:dyDescent="0.3">
      <c r="I6934" s="101"/>
    </row>
    <row r="6935" spans="9:9" x14ac:dyDescent="0.3">
      <c r="I6935" s="101"/>
    </row>
    <row r="6936" spans="9:9" x14ac:dyDescent="0.3">
      <c r="I6936" s="101"/>
    </row>
    <row r="6937" spans="9:9" x14ac:dyDescent="0.3">
      <c r="I6937" s="101"/>
    </row>
    <row r="6938" spans="9:9" x14ac:dyDescent="0.3">
      <c r="I6938" s="101"/>
    </row>
    <row r="6939" spans="9:9" x14ac:dyDescent="0.3">
      <c r="I6939" s="101"/>
    </row>
    <row r="6940" spans="9:9" x14ac:dyDescent="0.3">
      <c r="I6940" s="101"/>
    </row>
    <row r="6941" spans="9:9" x14ac:dyDescent="0.3">
      <c r="I6941" s="101"/>
    </row>
    <row r="6942" spans="9:9" x14ac:dyDescent="0.3">
      <c r="I6942" s="101"/>
    </row>
    <row r="6943" spans="9:9" x14ac:dyDescent="0.3">
      <c r="I6943" s="101"/>
    </row>
    <row r="6944" spans="9:9" x14ac:dyDescent="0.3">
      <c r="I6944" s="101"/>
    </row>
    <row r="6945" spans="9:9" x14ac:dyDescent="0.3">
      <c r="I6945" s="101"/>
    </row>
    <row r="6946" spans="9:9" x14ac:dyDescent="0.3">
      <c r="I6946" s="101"/>
    </row>
    <row r="6947" spans="9:9" x14ac:dyDescent="0.3">
      <c r="I6947" s="101"/>
    </row>
    <row r="6948" spans="9:9" x14ac:dyDescent="0.3">
      <c r="I6948" s="101"/>
    </row>
    <row r="6949" spans="9:9" x14ac:dyDescent="0.3">
      <c r="I6949" s="101"/>
    </row>
    <row r="6950" spans="9:9" x14ac:dyDescent="0.3">
      <c r="I6950" s="101"/>
    </row>
    <row r="6951" spans="9:9" x14ac:dyDescent="0.3">
      <c r="I6951" s="101"/>
    </row>
    <row r="6952" spans="9:9" x14ac:dyDescent="0.3">
      <c r="I6952" s="101"/>
    </row>
    <row r="6953" spans="9:9" x14ac:dyDescent="0.3">
      <c r="I6953" s="101"/>
    </row>
    <row r="6954" spans="9:9" x14ac:dyDescent="0.3">
      <c r="I6954" s="101"/>
    </row>
    <row r="6955" spans="9:9" x14ac:dyDescent="0.3">
      <c r="I6955" s="101"/>
    </row>
    <row r="6956" spans="9:9" x14ac:dyDescent="0.3">
      <c r="I6956" s="101"/>
    </row>
    <row r="6957" spans="9:9" x14ac:dyDescent="0.3">
      <c r="I6957" s="101"/>
    </row>
    <row r="6958" spans="9:9" x14ac:dyDescent="0.3">
      <c r="I6958" s="101"/>
    </row>
    <row r="6959" spans="9:9" x14ac:dyDescent="0.3">
      <c r="I6959" s="101"/>
    </row>
    <row r="6960" spans="9:9" x14ac:dyDescent="0.3">
      <c r="I6960" s="101"/>
    </row>
    <row r="6961" spans="9:9" x14ac:dyDescent="0.3">
      <c r="I6961" s="101"/>
    </row>
    <row r="6962" spans="9:9" x14ac:dyDescent="0.3">
      <c r="I6962" s="101"/>
    </row>
    <row r="6963" spans="9:9" x14ac:dyDescent="0.3">
      <c r="I6963" s="101"/>
    </row>
    <row r="6964" spans="9:9" x14ac:dyDescent="0.3">
      <c r="I6964" s="101"/>
    </row>
    <row r="6965" spans="9:9" x14ac:dyDescent="0.3">
      <c r="I6965" s="101"/>
    </row>
    <row r="6966" spans="9:9" x14ac:dyDescent="0.3">
      <c r="I6966" s="101"/>
    </row>
    <row r="6967" spans="9:9" x14ac:dyDescent="0.3">
      <c r="I6967" s="101"/>
    </row>
    <row r="6968" spans="9:9" x14ac:dyDescent="0.3">
      <c r="I6968" s="101"/>
    </row>
    <row r="6969" spans="9:9" x14ac:dyDescent="0.3">
      <c r="I6969" s="101"/>
    </row>
    <row r="6970" spans="9:9" x14ac:dyDescent="0.3">
      <c r="I6970" s="101"/>
    </row>
    <row r="6971" spans="9:9" x14ac:dyDescent="0.3">
      <c r="I6971" s="101"/>
    </row>
    <row r="6972" spans="9:9" x14ac:dyDescent="0.3">
      <c r="I6972" s="101"/>
    </row>
    <row r="6973" spans="9:9" x14ac:dyDescent="0.3">
      <c r="I6973" s="101"/>
    </row>
    <row r="6974" spans="9:9" x14ac:dyDescent="0.3">
      <c r="I6974" s="101"/>
    </row>
    <row r="6975" spans="9:9" x14ac:dyDescent="0.3">
      <c r="I6975" s="101"/>
    </row>
    <row r="6976" spans="9:9" x14ac:dyDescent="0.3">
      <c r="I6976" s="101"/>
    </row>
    <row r="6977" spans="9:9" x14ac:dyDescent="0.3">
      <c r="I6977" s="101"/>
    </row>
    <row r="6978" spans="9:9" x14ac:dyDescent="0.3">
      <c r="I6978" s="101"/>
    </row>
    <row r="6979" spans="9:9" x14ac:dyDescent="0.3">
      <c r="I6979" s="101"/>
    </row>
    <row r="6980" spans="9:9" x14ac:dyDescent="0.3">
      <c r="I6980" s="101"/>
    </row>
    <row r="6981" spans="9:9" x14ac:dyDescent="0.3">
      <c r="I6981" s="101"/>
    </row>
    <row r="6982" spans="9:9" x14ac:dyDescent="0.3">
      <c r="I6982" s="101"/>
    </row>
    <row r="6983" spans="9:9" x14ac:dyDescent="0.3">
      <c r="I6983" s="101"/>
    </row>
    <row r="6984" spans="9:9" x14ac:dyDescent="0.3">
      <c r="I6984" s="101"/>
    </row>
    <row r="6985" spans="9:9" x14ac:dyDescent="0.3">
      <c r="I6985" s="101"/>
    </row>
    <row r="6986" spans="9:9" x14ac:dyDescent="0.3">
      <c r="I6986" s="101"/>
    </row>
    <row r="6987" spans="9:9" x14ac:dyDescent="0.3">
      <c r="I6987" s="101"/>
    </row>
    <row r="6988" spans="9:9" x14ac:dyDescent="0.3">
      <c r="I6988" s="101"/>
    </row>
    <row r="6989" spans="9:9" x14ac:dyDescent="0.3">
      <c r="I6989" s="101"/>
    </row>
    <row r="6990" spans="9:9" x14ac:dyDescent="0.3">
      <c r="I6990" s="101"/>
    </row>
    <row r="6991" spans="9:9" x14ac:dyDescent="0.3">
      <c r="I6991" s="101"/>
    </row>
    <row r="6992" spans="9:9" x14ac:dyDescent="0.3">
      <c r="I6992" s="101"/>
    </row>
    <row r="6993" spans="9:9" x14ac:dyDescent="0.3">
      <c r="I6993" s="101"/>
    </row>
    <row r="6994" spans="9:9" x14ac:dyDescent="0.3">
      <c r="I6994" s="101"/>
    </row>
    <row r="6995" spans="9:9" x14ac:dyDescent="0.3">
      <c r="I6995" s="101"/>
    </row>
    <row r="6996" spans="9:9" x14ac:dyDescent="0.3">
      <c r="I6996" s="101"/>
    </row>
    <row r="6997" spans="9:9" x14ac:dyDescent="0.3">
      <c r="I6997" s="101"/>
    </row>
    <row r="6998" spans="9:9" x14ac:dyDescent="0.3">
      <c r="I6998" s="101"/>
    </row>
    <row r="6999" spans="9:9" x14ac:dyDescent="0.3">
      <c r="I6999" s="101"/>
    </row>
    <row r="7000" spans="9:9" x14ac:dyDescent="0.3">
      <c r="I7000" s="101"/>
    </row>
    <row r="7001" spans="9:9" x14ac:dyDescent="0.3">
      <c r="I7001" s="101"/>
    </row>
    <row r="7002" spans="9:9" x14ac:dyDescent="0.3">
      <c r="I7002" s="101"/>
    </row>
    <row r="7003" spans="9:9" x14ac:dyDescent="0.3">
      <c r="I7003" s="101"/>
    </row>
    <row r="7004" spans="9:9" x14ac:dyDescent="0.3">
      <c r="I7004" s="101"/>
    </row>
    <row r="7005" spans="9:9" x14ac:dyDescent="0.3">
      <c r="I7005" s="101"/>
    </row>
    <row r="7006" spans="9:9" x14ac:dyDescent="0.3">
      <c r="I7006" s="101"/>
    </row>
    <row r="7007" spans="9:9" x14ac:dyDescent="0.3">
      <c r="I7007" s="101"/>
    </row>
    <row r="7008" spans="9:9" x14ac:dyDescent="0.3">
      <c r="I7008" s="101"/>
    </row>
    <row r="7009" spans="9:9" x14ac:dyDescent="0.3">
      <c r="I7009" s="101"/>
    </row>
    <row r="7010" spans="9:9" x14ac:dyDescent="0.3">
      <c r="I7010" s="101"/>
    </row>
    <row r="7011" spans="9:9" x14ac:dyDescent="0.3">
      <c r="I7011" s="101"/>
    </row>
    <row r="7012" spans="9:9" x14ac:dyDescent="0.3">
      <c r="I7012" s="101"/>
    </row>
    <row r="7013" spans="9:9" x14ac:dyDescent="0.3">
      <c r="I7013" s="101"/>
    </row>
    <row r="7014" spans="9:9" x14ac:dyDescent="0.3">
      <c r="I7014" s="101"/>
    </row>
    <row r="7015" spans="9:9" x14ac:dyDescent="0.3">
      <c r="I7015" s="101"/>
    </row>
    <row r="7016" spans="9:9" x14ac:dyDescent="0.3">
      <c r="I7016" s="101"/>
    </row>
    <row r="7017" spans="9:9" x14ac:dyDescent="0.3">
      <c r="I7017" s="101"/>
    </row>
    <row r="7018" spans="9:9" x14ac:dyDescent="0.3">
      <c r="I7018" s="101"/>
    </row>
    <row r="7019" spans="9:9" x14ac:dyDescent="0.3">
      <c r="I7019" s="101"/>
    </row>
    <row r="7020" spans="9:9" x14ac:dyDescent="0.3">
      <c r="I7020" s="101"/>
    </row>
    <row r="7021" spans="9:9" x14ac:dyDescent="0.3">
      <c r="I7021" s="101"/>
    </row>
    <row r="7022" spans="9:9" x14ac:dyDescent="0.3">
      <c r="I7022" s="101"/>
    </row>
    <row r="7023" spans="9:9" x14ac:dyDescent="0.3">
      <c r="I7023" s="101"/>
    </row>
    <row r="7024" spans="9:9" x14ac:dyDescent="0.3">
      <c r="I7024" s="101"/>
    </row>
    <row r="7025" spans="9:9" x14ac:dyDescent="0.3">
      <c r="I7025" s="101"/>
    </row>
    <row r="7026" spans="9:9" x14ac:dyDescent="0.3">
      <c r="I7026" s="101"/>
    </row>
    <row r="7027" spans="9:9" x14ac:dyDescent="0.3">
      <c r="I7027" s="101"/>
    </row>
    <row r="7028" spans="9:9" x14ac:dyDescent="0.3">
      <c r="I7028" s="101"/>
    </row>
    <row r="7029" spans="9:9" x14ac:dyDescent="0.3">
      <c r="I7029" s="101"/>
    </row>
    <row r="7030" spans="9:9" x14ac:dyDescent="0.3">
      <c r="I7030" s="101"/>
    </row>
    <row r="7031" spans="9:9" x14ac:dyDescent="0.3">
      <c r="I7031" s="101"/>
    </row>
    <row r="7032" spans="9:9" x14ac:dyDescent="0.3">
      <c r="I7032" s="101"/>
    </row>
    <row r="7033" spans="9:9" x14ac:dyDescent="0.3">
      <c r="I7033" s="101"/>
    </row>
    <row r="7034" spans="9:9" x14ac:dyDescent="0.3">
      <c r="I7034" s="101"/>
    </row>
    <row r="7035" spans="9:9" x14ac:dyDescent="0.3">
      <c r="I7035" s="101"/>
    </row>
    <row r="7036" spans="9:9" x14ac:dyDescent="0.3">
      <c r="I7036" s="101"/>
    </row>
    <row r="7037" spans="9:9" x14ac:dyDescent="0.3">
      <c r="I7037" s="101"/>
    </row>
    <row r="7038" spans="9:9" x14ac:dyDescent="0.3">
      <c r="I7038" s="101"/>
    </row>
    <row r="7039" spans="9:9" x14ac:dyDescent="0.3">
      <c r="I7039" s="101"/>
    </row>
    <row r="7040" spans="9:9" x14ac:dyDescent="0.3">
      <c r="I7040" s="101"/>
    </row>
    <row r="7041" spans="9:9" x14ac:dyDescent="0.3">
      <c r="I7041" s="101"/>
    </row>
    <row r="7042" spans="9:9" x14ac:dyDescent="0.3">
      <c r="I7042" s="101"/>
    </row>
    <row r="7043" spans="9:9" x14ac:dyDescent="0.3">
      <c r="I7043" s="101"/>
    </row>
    <row r="7044" spans="9:9" x14ac:dyDescent="0.3">
      <c r="I7044" s="101"/>
    </row>
    <row r="7045" spans="9:9" x14ac:dyDescent="0.3">
      <c r="I7045" s="101"/>
    </row>
    <row r="7046" spans="9:9" x14ac:dyDescent="0.3">
      <c r="I7046" s="101"/>
    </row>
    <row r="7047" spans="9:9" x14ac:dyDescent="0.3">
      <c r="I7047" s="101"/>
    </row>
    <row r="7048" spans="9:9" x14ac:dyDescent="0.3">
      <c r="I7048" s="101"/>
    </row>
    <row r="7049" spans="9:9" x14ac:dyDescent="0.3">
      <c r="I7049" s="101"/>
    </row>
    <row r="7050" spans="9:9" x14ac:dyDescent="0.3">
      <c r="I7050" s="101"/>
    </row>
    <row r="7051" spans="9:9" x14ac:dyDescent="0.3">
      <c r="I7051" s="101"/>
    </row>
    <row r="7052" spans="9:9" x14ac:dyDescent="0.3">
      <c r="I7052" s="101"/>
    </row>
    <row r="7053" spans="9:9" x14ac:dyDescent="0.3">
      <c r="I7053" s="101"/>
    </row>
    <row r="7054" spans="9:9" x14ac:dyDescent="0.3">
      <c r="I7054" s="101"/>
    </row>
    <row r="7055" spans="9:9" x14ac:dyDescent="0.3">
      <c r="I7055" s="101"/>
    </row>
    <row r="7056" spans="9:9" x14ac:dyDescent="0.3">
      <c r="I7056" s="101"/>
    </row>
    <row r="7057" spans="9:9" x14ac:dyDescent="0.3">
      <c r="I7057" s="101"/>
    </row>
    <row r="7058" spans="9:9" x14ac:dyDescent="0.3">
      <c r="I7058" s="101"/>
    </row>
    <row r="7059" spans="9:9" x14ac:dyDescent="0.3">
      <c r="I7059" s="101"/>
    </row>
    <row r="7060" spans="9:9" x14ac:dyDescent="0.3">
      <c r="I7060" s="101"/>
    </row>
    <row r="7061" spans="9:9" x14ac:dyDescent="0.3">
      <c r="I7061" s="101"/>
    </row>
    <row r="7062" spans="9:9" x14ac:dyDescent="0.3">
      <c r="I7062" s="101"/>
    </row>
    <row r="7063" spans="9:9" x14ac:dyDescent="0.3">
      <c r="I7063" s="101"/>
    </row>
    <row r="7064" spans="9:9" x14ac:dyDescent="0.3">
      <c r="I7064" s="101"/>
    </row>
    <row r="7065" spans="9:9" x14ac:dyDescent="0.3">
      <c r="I7065" s="101"/>
    </row>
    <row r="7066" spans="9:9" x14ac:dyDescent="0.3">
      <c r="I7066" s="101"/>
    </row>
    <row r="7067" spans="9:9" x14ac:dyDescent="0.3">
      <c r="I7067" s="101"/>
    </row>
    <row r="7068" spans="9:9" x14ac:dyDescent="0.3">
      <c r="I7068" s="101"/>
    </row>
    <row r="7069" spans="9:9" x14ac:dyDescent="0.3">
      <c r="I7069" s="101"/>
    </row>
    <row r="7070" spans="9:9" x14ac:dyDescent="0.3">
      <c r="I7070" s="101"/>
    </row>
    <row r="7071" spans="9:9" x14ac:dyDescent="0.3">
      <c r="I7071" s="101"/>
    </row>
    <row r="7072" spans="9:9" x14ac:dyDescent="0.3">
      <c r="I7072" s="101"/>
    </row>
    <row r="7073" spans="9:9" x14ac:dyDescent="0.3">
      <c r="I7073" s="101"/>
    </row>
    <row r="7074" spans="9:9" x14ac:dyDescent="0.3">
      <c r="I7074" s="101"/>
    </row>
    <row r="7075" spans="9:9" x14ac:dyDescent="0.3">
      <c r="I7075" s="101"/>
    </row>
    <row r="7076" spans="9:9" x14ac:dyDescent="0.3">
      <c r="I7076" s="101"/>
    </row>
    <row r="7077" spans="9:9" x14ac:dyDescent="0.3">
      <c r="I7077" s="101"/>
    </row>
    <row r="7078" spans="9:9" x14ac:dyDescent="0.3">
      <c r="I7078" s="101"/>
    </row>
    <row r="7079" spans="9:9" x14ac:dyDescent="0.3">
      <c r="I7079" s="101"/>
    </row>
    <row r="7080" spans="9:9" x14ac:dyDescent="0.3">
      <c r="I7080" s="101"/>
    </row>
    <row r="7081" spans="9:9" x14ac:dyDescent="0.3">
      <c r="I7081" s="101"/>
    </row>
    <row r="7082" spans="9:9" x14ac:dyDescent="0.3">
      <c r="I7082" s="101"/>
    </row>
    <row r="7083" spans="9:9" x14ac:dyDescent="0.3">
      <c r="I7083" s="101"/>
    </row>
    <row r="7084" spans="9:9" x14ac:dyDescent="0.3">
      <c r="I7084" s="101"/>
    </row>
    <row r="7085" spans="9:9" x14ac:dyDescent="0.3">
      <c r="I7085" s="101"/>
    </row>
    <row r="7086" spans="9:9" x14ac:dyDescent="0.3">
      <c r="I7086" s="101"/>
    </row>
    <row r="7087" spans="9:9" x14ac:dyDescent="0.3">
      <c r="I7087" s="101"/>
    </row>
    <row r="7088" spans="9:9" x14ac:dyDescent="0.3">
      <c r="I7088" s="101"/>
    </row>
    <row r="7089" spans="9:9" x14ac:dyDescent="0.3">
      <c r="I7089" s="101"/>
    </row>
    <row r="7090" spans="9:9" x14ac:dyDescent="0.3">
      <c r="I7090" s="101"/>
    </row>
    <row r="7091" spans="9:9" x14ac:dyDescent="0.3">
      <c r="I7091" s="101"/>
    </row>
    <row r="7092" spans="9:9" x14ac:dyDescent="0.3">
      <c r="I7092" s="101"/>
    </row>
    <row r="7093" spans="9:9" x14ac:dyDescent="0.3">
      <c r="I7093" s="101"/>
    </row>
    <row r="7094" spans="9:9" x14ac:dyDescent="0.3">
      <c r="I7094" s="101"/>
    </row>
    <row r="7095" spans="9:9" x14ac:dyDescent="0.3">
      <c r="I7095" s="101"/>
    </row>
    <row r="7096" spans="9:9" x14ac:dyDescent="0.3">
      <c r="I7096" s="101"/>
    </row>
    <row r="7097" spans="9:9" x14ac:dyDescent="0.3">
      <c r="I7097" s="101"/>
    </row>
    <row r="7098" spans="9:9" x14ac:dyDescent="0.3">
      <c r="I7098" s="101"/>
    </row>
    <row r="7099" spans="9:9" x14ac:dyDescent="0.3">
      <c r="I7099" s="101"/>
    </row>
    <row r="7100" spans="9:9" x14ac:dyDescent="0.3">
      <c r="I7100" s="101"/>
    </row>
    <row r="7101" spans="9:9" x14ac:dyDescent="0.3">
      <c r="I7101" s="101"/>
    </row>
    <row r="7102" spans="9:9" x14ac:dyDescent="0.3">
      <c r="I7102" s="101"/>
    </row>
    <row r="7103" spans="9:9" x14ac:dyDescent="0.3">
      <c r="I7103" s="101"/>
    </row>
    <row r="7104" spans="9:9" x14ac:dyDescent="0.3">
      <c r="I7104" s="101"/>
    </row>
    <row r="7105" spans="9:9" x14ac:dyDescent="0.3">
      <c r="I7105" s="101"/>
    </row>
    <row r="7106" spans="9:9" x14ac:dyDescent="0.3">
      <c r="I7106" s="101"/>
    </row>
    <row r="7107" spans="9:9" x14ac:dyDescent="0.3">
      <c r="I7107" s="101"/>
    </row>
    <row r="7108" spans="9:9" x14ac:dyDescent="0.3">
      <c r="I7108" s="101"/>
    </row>
    <row r="7109" spans="9:9" x14ac:dyDescent="0.3">
      <c r="I7109" s="101"/>
    </row>
    <row r="7110" spans="9:9" x14ac:dyDescent="0.3">
      <c r="I7110" s="101"/>
    </row>
    <row r="7111" spans="9:9" x14ac:dyDescent="0.3">
      <c r="I7111" s="101"/>
    </row>
    <row r="7112" spans="9:9" x14ac:dyDescent="0.3">
      <c r="I7112" s="101"/>
    </row>
    <row r="7113" spans="9:9" x14ac:dyDescent="0.3">
      <c r="I7113" s="101"/>
    </row>
    <row r="7114" spans="9:9" x14ac:dyDescent="0.3">
      <c r="I7114" s="101"/>
    </row>
    <row r="7115" spans="9:9" x14ac:dyDescent="0.3">
      <c r="I7115" s="101"/>
    </row>
    <row r="7116" spans="9:9" x14ac:dyDescent="0.3">
      <c r="I7116" s="101"/>
    </row>
    <row r="7117" spans="9:9" x14ac:dyDescent="0.3">
      <c r="I7117" s="101"/>
    </row>
    <row r="7118" spans="9:9" x14ac:dyDescent="0.3">
      <c r="I7118" s="101"/>
    </row>
    <row r="7119" spans="9:9" x14ac:dyDescent="0.3">
      <c r="I7119" s="101"/>
    </row>
    <row r="7120" spans="9:9" x14ac:dyDescent="0.3">
      <c r="I7120" s="101"/>
    </row>
    <row r="7121" spans="9:9" x14ac:dyDescent="0.3">
      <c r="I7121" s="101"/>
    </row>
    <row r="7122" spans="9:9" x14ac:dyDescent="0.3">
      <c r="I7122" s="101"/>
    </row>
    <row r="7123" spans="9:9" x14ac:dyDescent="0.3">
      <c r="I7123" s="101"/>
    </row>
    <row r="7124" spans="9:9" x14ac:dyDescent="0.3">
      <c r="I7124" s="101"/>
    </row>
    <row r="7125" spans="9:9" x14ac:dyDescent="0.3">
      <c r="I7125" s="101"/>
    </row>
    <row r="7126" spans="9:9" x14ac:dyDescent="0.3">
      <c r="I7126" s="101"/>
    </row>
    <row r="7127" spans="9:9" x14ac:dyDescent="0.3">
      <c r="I7127" s="101"/>
    </row>
    <row r="7128" spans="9:9" x14ac:dyDescent="0.3">
      <c r="I7128" s="101"/>
    </row>
    <row r="7129" spans="9:9" x14ac:dyDescent="0.3">
      <c r="I7129" s="101"/>
    </row>
    <row r="7130" spans="9:9" x14ac:dyDescent="0.3">
      <c r="I7130" s="101"/>
    </row>
    <row r="7131" spans="9:9" x14ac:dyDescent="0.3">
      <c r="I7131" s="101"/>
    </row>
    <row r="7132" spans="9:9" x14ac:dyDescent="0.3">
      <c r="I7132" s="101"/>
    </row>
    <row r="7133" spans="9:9" x14ac:dyDescent="0.3">
      <c r="I7133" s="101"/>
    </row>
    <row r="7134" spans="9:9" x14ac:dyDescent="0.3">
      <c r="I7134" s="101"/>
    </row>
    <row r="7135" spans="9:9" x14ac:dyDescent="0.3">
      <c r="I7135" s="101"/>
    </row>
    <row r="7136" spans="9:9" x14ac:dyDescent="0.3">
      <c r="I7136" s="101"/>
    </row>
    <row r="7137" spans="9:9" x14ac:dyDescent="0.3">
      <c r="I7137" s="101"/>
    </row>
    <row r="7138" spans="9:9" x14ac:dyDescent="0.3">
      <c r="I7138" s="101"/>
    </row>
    <row r="7139" spans="9:9" x14ac:dyDescent="0.3">
      <c r="I7139" s="101"/>
    </row>
    <row r="7140" spans="9:9" x14ac:dyDescent="0.3">
      <c r="I7140" s="101"/>
    </row>
    <row r="7141" spans="9:9" x14ac:dyDescent="0.3">
      <c r="I7141" s="101"/>
    </row>
    <row r="7142" spans="9:9" x14ac:dyDescent="0.3">
      <c r="I7142" s="101"/>
    </row>
    <row r="7143" spans="9:9" x14ac:dyDescent="0.3">
      <c r="I7143" s="101"/>
    </row>
    <row r="7144" spans="9:9" x14ac:dyDescent="0.3">
      <c r="I7144" s="101"/>
    </row>
    <row r="7145" spans="9:9" x14ac:dyDescent="0.3">
      <c r="I7145" s="101"/>
    </row>
    <row r="7146" spans="9:9" x14ac:dyDescent="0.3">
      <c r="I7146" s="101"/>
    </row>
    <row r="7147" spans="9:9" x14ac:dyDescent="0.3">
      <c r="I7147" s="101"/>
    </row>
    <row r="7148" spans="9:9" x14ac:dyDescent="0.3">
      <c r="I7148" s="101"/>
    </row>
    <row r="7149" spans="9:9" x14ac:dyDescent="0.3">
      <c r="I7149" s="101"/>
    </row>
    <row r="7150" spans="9:9" x14ac:dyDescent="0.3">
      <c r="I7150" s="101"/>
    </row>
    <row r="7151" spans="9:9" x14ac:dyDescent="0.3">
      <c r="I7151" s="101"/>
    </row>
    <row r="7152" spans="9:9" x14ac:dyDescent="0.3">
      <c r="I7152" s="101"/>
    </row>
    <row r="7153" spans="9:9" x14ac:dyDescent="0.3">
      <c r="I7153" s="101"/>
    </row>
    <row r="7154" spans="9:9" x14ac:dyDescent="0.3">
      <c r="I7154" s="101"/>
    </row>
    <row r="7155" spans="9:9" x14ac:dyDescent="0.3">
      <c r="I7155" s="101"/>
    </row>
    <row r="7156" spans="9:9" x14ac:dyDescent="0.3">
      <c r="I7156" s="101"/>
    </row>
    <row r="7157" spans="9:9" x14ac:dyDescent="0.3">
      <c r="I7157" s="101"/>
    </row>
    <row r="7158" spans="9:9" x14ac:dyDescent="0.3">
      <c r="I7158" s="101"/>
    </row>
    <row r="7159" spans="9:9" x14ac:dyDescent="0.3">
      <c r="I7159" s="101"/>
    </row>
    <row r="7160" spans="9:9" x14ac:dyDescent="0.3">
      <c r="I7160" s="101"/>
    </row>
    <row r="7161" spans="9:9" x14ac:dyDescent="0.3">
      <c r="I7161" s="101"/>
    </row>
    <row r="7162" spans="9:9" x14ac:dyDescent="0.3">
      <c r="I7162" s="101"/>
    </row>
    <row r="7163" spans="9:9" x14ac:dyDescent="0.3">
      <c r="I7163" s="101"/>
    </row>
    <row r="7164" spans="9:9" x14ac:dyDescent="0.3">
      <c r="I7164" s="101"/>
    </row>
    <row r="7165" spans="9:9" x14ac:dyDescent="0.3">
      <c r="I7165" s="101"/>
    </row>
    <row r="7166" spans="9:9" x14ac:dyDescent="0.3">
      <c r="I7166" s="101"/>
    </row>
    <row r="7167" spans="9:9" x14ac:dyDescent="0.3">
      <c r="I7167" s="101"/>
    </row>
    <row r="7168" spans="9:9" x14ac:dyDescent="0.3">
      <c r="I7168" s="101"/>
    </row>
    <row r="7169" spans="9:9" x14ac:dyDescent="0.3">
      <c r="I7169" s="101"/>
    </row>
    <row r="7170" spans="9:9" x14ac:dyDescent="0.3">
      <c r="I7170" s="101"/>
    </row>
    <row r="7171" spans="9:9" x14ac:dyDescent="0.3">
      <c r="I7171" s="101"/>
    </row>
    <row r="7172" spans="9:9" x14ac:dyDescent="0.3">
      <c r="I7172" s="101"/>
    </row>
    <row r="7173" spans="9:9" x14ac:dyDescent="0.3">
      <c r="I7173" s="101"/>
    </row>
    <row r="7174" spans="9:9" x14ac:dyDescent="0.3">
      <c r="I7174" s="101"/>
    </row>
    <row r="7175" spans="9:9" x14ac:dyDescent="0.3">
      <c r="I7175" s="101"/>
    </row>
    <row r="7176" spans="9:9" x14ac:dyDescent="0.3">
      <c r="I7176" s="101"/>
    </row>
    <row r="7177" spans="9:9" x14ac:dyDescent="0.3">
      <c r="I7177" s="101"/>
    </row>
    <row r="7178" spans="9:9" x14ac:dyDescent="0.3">
      <c r="I7178" s="101"/>
    </row>
    <row r="7179" spans="9:9" x14ac:dyDescent="0.3">
      <c r="I7179" s="101"/>
    </row>
    <row r="7180" spans="9:9" x14ac:dyDescent="0.3">
      <c r="I7180" s="101"/>
    </row>
    <row r="7181" spans="9:9" x14ac:dyDescent="0.3">
      <c r="I7181" s="101"/>
    </row>
    <row r="7182" spans="9:9" x14ac:dyDescent="0.3">
      <c r="I7182" s="101"/>
    </row>
    <row r="7183" spans="9:9" x14ac:dyDescent="0.3">
      <c r="I7183" s="101"/>
    </row>
    <row r="7184" spans="9:9" x14ac:dyDescent="0.3">
      <c r="I7184" s="101"/>
    </row>
    <row r="7185" spans="9:9" x14ac:dyDescent="0.3">
      <c r="I7185" s="101"/>
    </row>
    <row r="7186" spans="9:9" x14ac:dyDescent="0.3">
      <c r="I7186" s="101"/>
    </row>
    <row r="7187" spans="9:9" x14ac:dyDescent="0.3">
      <c r="I7187" s="101"/>
    </row>
    <row r="7188" spans="9:9" x14ac:dyDescent="0.3">
      <c r="I7188" s="101"/>
    </row>
    <row r="7189" spans="9:9" x14ac:dyDescent="0.3">
      <c r="I7189" s="101"/>
    </row>
    <row r="7190" spans="9:9" x14ac:dyDescent="0.3">
      <c r="I7190" s="101"/>
    </row>
    <row r="7191" spans="9:9" x14ac:dyDescent="0.3">
      <c r="I7191" s="101"/>
    </row>
    <row r="7192" spans="9:9" x14ac:dyDescent="0.3">
      <c r="I7192" s="101"/>
    </row>
    <row r="7193" spans="9:9" x14ac:dyDescent="0.3">
      <c r="I7193" s="101"/>
    </row>
    <row r="7194" spans="9:9" x14ac:dyDescent="0.3">
      <c r="I7194" s="101"/>
    </row>
    <row r="7195" spans="9:9" x14ac:dyDescent="0.3">
      <c r="I7195" s="101"/>
    </row>
    <row r="7196" spans="9:9" x14ac:dyDescent="0.3">
      <c r="I7196" s="101"/>
    </row>
    <row r="7197" spans="9:9" x14ac:dyDescent="0.3">
      <c r="I7197" s="101"/>
    </row>
    <row r="7198" spans="9:9" x14ac:dyDescent="0.3">
      <c r="I7198" s="101"/>
    </row>
    <row r="7199" spans="9:9" x14ac:dyDescent="0.3">
      <c r="I7199" s="101"/>
    </row>
    <row r="7200" spans="9:9" x14ac:dyDescent="0.3">
      <c r="I7200" s="101"/>
    </row>
    <row r="7201" spans="9:9" x14ac:dyDescent="0.3">
      <c r="I7201" s="101"/>
    </row>
    <row r="7202" spans="9:9" x14ac:dyDescent="0.3">
      <c r="I7202" s="101"/>
    </row>
    <row r="7203" spans="9:9" x14ac:dyDescent="0.3">
      <c r="I7203" s="101"/>
    </row>
    <row r="7204" spans="9:9" x14ac:dyDescent="0.3">
      <c r="I7204" s="101"/>
    </row>
    <row r="7205" spans="9:9" x14ac:dyDescent="0.3">
      <c r="I7205" s="101"/>
    </row>
    <row r="7206" spans="9:9" x14ac:dyDescent="0.3">
      <c r="I7206" s="101"/>
    </row>
    <row r="7207" spans="9:9" x14ac:dyDescent="0.3">
      <c r="I7207" s="101"/>
    </row>
    <row r="7208" spans="9:9" x14ac:dyDescent="0.3">
      <c r="I7208" s="101"/>
    </row>
    <row r="7209" spans="9:9" x14ac:dyDescent="0.3">
      <c r="I7209" s="101"/>
    </row>
    <row r="7210" spans="9:9" x14ac:dyDescent="0.3">
      <c r="I7210" s="101"/>
    </row>
    <row r="7211" spans="9:9" x14ac:dyDescent="0.3">
      <c r="I7211" s="101"/>
    </row>
    <row r="7212" spans="9:9" x14ac:dyDescent="0.3">
      <c r="I7212" s="101"/>
    </row>
    <row r="7213" spans="9:9" x14ac:dyDescent="0.3">
      <c r="I7213" s="101"/>
    </row>
    <row r="7214" spans="9:9" x14ac:dyDescent="0.3">
      <c r="I7214" s="101"/>
    </row>
    <row r="7215" spans="9:9" x14ac:dyDescent="0.3">
      <c r="I7215" s="101"/>
    </row>
    <row r="7216" spans="9:9" x14ac:dyDescent="0.3">
      <c r="I7216" s="101"/>
    </row>
    <row r="7217" spans="9:9" x14ac:dyDescent="0.3">
      <c r="I7217" s="101"/>
    </row>
    <row r="7218" spans="9:9" x14ac:dyDescent="0.3">
      <c r="I7218" s="101"/>
    </row>
    <row r="7219" spans="9:9" x14ac:dyDescent="0.3">
      <c r="I7219" s="101"/>
    </row>
    <row r="7220" spans="9:9" x14ac:dyDescent="0.3">
      <c r="I7220" s="101"/>
    </row>
    <row r="7221" spans="9:9" x14ac:dyDescent="0.3">
      <c r="I7221" s="101"/>
    </row>
    <row r="7222" spans="9:9" x14ac:dyDescent="0.3">
      <c r="I7222" s="101"/>
    </row>
    <row r="7223" spans="9:9" x14ac:dyDescent="0.3">
      <c r="I7223" s="101"/>
    </row>
    <row r="7224" spans="9:9" x14ac:dyDescent="0.3">
      <c r="I7224" s="101"/>
    </row>
    <row r="7225" spans="9:9" x14ac:dyDescent="0.3">
      <c r="I7225" s="101"/>
    </row>
    <row r="7226" spans="9:9" x14ac:dyDescent="0.3">
      <c r="I7226" s="101"/>
    </row>
    <row r="7227" spans="9:9" x14ac:dyDescent="0.3">
      <c r="I7227" s="101"/>
    </row>
    <row r="7228" spans="9:9" x14ac:dyDescent="0.3">
      <c r="I7228" s="101"/>
    </row>
    <row r="7229" spans="9:9" x14ac:dyDescent="0.3">
      <c r="I7229" s="101"/>
    </row>
    <row r="7230" spans="9:9" x14ac:dyDescent="0.3">
      <c r="I7230" s="101"/>
    </row>
    <row r="7231" spans="9:9" x14ac:dyDescent="0.3">
      <c r="I7231" s="101"/>
    </row>
    <row r="7232" spans="9:9" x14ac:dyDescent="0.3">
      <c r="I7232" s="101"/>
    </row>
    <row r="7233" spans="9:9" x14ac:dyDescent="0.3">
      <c r="I7233" s="101"/>
    </row>
    <row r="7234" spans="9:9" x14ac:dyDescent="0.3">
      <c r="I7234" s="101"/>
    </row>
    <row r="7235" spans="9:9" x14ac:dyDescent="0.3">
      <c r="I7235" s="101"/>
    </row>
    <row r="7236" spans="9:9" x14ac:dyDescent="0.3">
      <c r="I7236" s="101"/>
    </row>
    <row r="7237" spans="9:9" x14ac:dyDescent="0.3">
      <c r="I7237" s="101"/>
    </row>
    <row r="7238" spans="9:9" x14ac:dyDescent="0.3">
      <c r="I7238" s="101"/>
    </row>
    <row r="7239" spans="9:9" x14ac:dyDescent="0.3">
      <c r="I7239" s="101"/>
    </row>
    <row r="7240" spans="9:9" x14ac:dyDescent="0.3">
      <c r="I7240" s="101"/>
    </row>
    <row r="7241" spans="9:9" x14ac:dyDescent="0.3">
      <c r="I7241" s="101"/>
    </row>
    <row r="7242" spans="9:9" x14ac:dyDescent="0.3">
      <c r="I7242" s="101"/>
    </row>
    <row r="7243" spans="9:9" x14ac:dyDescent="0.3">
      <c r="I7243" s="101"/>
    </row>
    <row r="7244" spans="9:9" x14ac:dyDescent="0.3">
      <c r="I7244" s="101"/>
    </row>
    <row r="7245" spans="9:9" x14ac:dyDescent="0.3">
      <c r="I7245" s="101"/>
    </row>
    <row r="7246" spans="9:9" x14ac:dyDescent="0.3">
      <c r="I7246" s="101"/>
    </row>
    <row r="7247" spans="9:9" x14ac:dyDescent="0.3">
      <c r="I7247" s="101"/>
    </row>
    <row r="7248" spans="9:9" x14ac:dyDescent="0.3">
      <c r="I7248" s="101"/>
    </row>
    <row r="7249" spans="9:9" x14ac:dyDescent="0.3">
      <c r="I7249" s="101"/>
    </row>
    <row r="7250" spans="9:9" x14ac:dyDescent="0.3">
      <c r="I7250" s="101"/>
    </row>
    <row r="7251" spans="9:9" x14ac:dyDescent="0.3">
      <c r="I7251" s="101"/>
    </row>
    <row r="7252" spans="9:9" x14ac:dyDescent="0.3">
      <c r="I7252" s="101"/>
    </row>
    <row r="7253" spans="9:9" x14ac:dyDescent="0.3">
      <c r="I7253" s="101"/>
    </row>
    <row r="7254" spans="9:9" x14ac:dyDescent="0.3">
      <c r="I7254" s="101"/>
    </row>
    <row r="7255" spans="9:9" x14ac:dyDescent="0.3">
      <c r="I7255" s="101"/>
    </row>
    <row r="7256" spans="9:9" x14ac:dyDescent="0.3">
      <c r="I7256" s="101"/>
    </row>
    <row r="7257" spans="9:9" x14ac:dyDescent="0.3">
      <c r="I7257" s="101"/>
    </row>
    <row r="7258" spans="9:9" x14ac:dyDescent="0.3">
      <c r="I7258" s="101"/>
    </row>
    <row r="7259" spans="9:9" x14ac:dyDescent="0.3">
      <c r="I7259" s="101"/>
    </row>
    <row r="7260" spans="9:9" x14ac:dyDescent="0.3">
      <c r="I7260" s="101"/>
    </row>
    <row r="7261" spans="9:9" x14ac:dyDescent="0.3">
      <c r="I7261" s="101"/>
    </row>
    <row r="7262" spans="9:9" x14ac:dyDescent="0.3">
      <c r="I7262" s="101"/>
    </row>
    <row r="7263" spans="9:9" x14ac:dyDescent="0.3">
      <c r="I7263" s="101"/>
    </row>
    <row r="7264" spans="9:9" x14ac:dyDescent="0.3">
      <c r="I7264" s="101"/>
    </row>
    <row r="7265" spans="9:9" x14ac:dyDescent="0.3">
      <c r="I7265" s="101"/>
    </row>
    <row r="7266" spans="9:9" x14ac:dyDescent="0.3">
      <c r="I7266" s="101"/>
    </row>
    <row r="7267" spans="9:9" x14ac:dyDescent="0.3">
      <c r="I7267" s="101"/>
    </row>
    <row r="7268" spans="9:9" x14ac:dyDescent="0.3">
      <c r="I7268" s="101"/>
    </row>
    <row r="7269" spans="9:9" x14ac:dyDescent="0.3">
      <c r="I7269" s="101"/>
    </row>
    <row r="7270" spans="9:9" x14ac:dyDescent="0.3">
      <c r="I7270" s="101"/>
    </row>
    <row r="7271" spans="9:9" x14ac:dyDescent="0.3">
      <c r="I7271" s="101"/>
    </row>
    <row r="7272" spans="9:9" x14ac:dyDescent="0.3">
      <c r="I7272" s="101"/>
    </row>
    <row r="7273" spans="9:9" x14ac:dyDescent="0.3">
      <c r="I7273" s="101"/>
    </row>
    <row r="7274" spans="9:9" x14ac:dyDescent="0.3">
      <c r="I7274" s="101"/>
    </row>
    <row r="7275" spans="9:9" x14ac:dyDescent="0.3">
      <c r="I7275" s="101"/>
    </row>
    <row r="7276" spans="9:9" x14ac:dyDescent="0.3">
      <c r="I7276" s="101"/>
    </row>
    <row r="7277" spans="9:9" x14ac:dyDescent="0.3">
      <c r="I7277" s="101"/>
    </row>
    <row r="7278" spans="9:9" x14ac:dyDescent="0.3">
      <c r="I7278" s="101"/>
    </row>
    <row r="7279" spans="9:9" x14ac:dyDescent="0.3">
      <c r="I7279" s="101"/>
    </row>
    <row r="7280" spans="9:9" x14ac:dyDescent="0.3">
      <c r="I7280" s="101"/>
    </row>
    <row r="7281" spans="9:9" x14ac:dyDescent="0.3">
      <c r="I7281" s="101"/>
    </row>
    <row r="7282" spans="9:9" x14ac:dyDescent="0.3">
      <c r="I7282" s="101"/>
    </row>
    <row r="7283" spans="9:9" x14ac:dyDescent="0.3">
      <c r="I7283" s="101"/>
    </row>
    <row r="7284" spans="9:9" x14ac:dyDescent="0.3">
      <c r="I7284" s="101"/>
    </row>
    <row r="7285" spans="9:9" x14ac:dyDescent="0.3">
      <c r="I7285" s="101"/>
    </row>
    <row r="7286" spans="9:9" x14ac:dyDescent="0.3">
      <c r="I7286" s="101"/>
    </row>
    <row r="7287" spans="9:9" x14ac:dyDescent="0.3">
      <c r="I7287" s="101"/>
    </row>
    <row r="7288" spans="9:9" x14ac:dyDescent="0.3">
      <c r="I7288" s="101"/>
    </row>
    <row r="7289" spans="9:9" x14ac:dyDescent="0.3">
      <c r="I7289" s="101"/>
    </row>
    <row r="7290" spans="9:9" x14ac:dyDescent="0.3">
      <c r="I7290" s="101"/>
    </row>
    <row r="7291" spans="9:9" x14ac:dyDescent="0.3">
      <c r="I7291" s="101"/>
    </row>
    <row r="7292" spans="9:9" x14ac:dyDescent="0.3">
      <c r="I7292" s="101"/>
    </row>
    <row r="7293" spans="9:9" x14ac:dyDescent="0.3">
      <c r="I7293" s="101"/>
    </row>
    <row r="7294" spans="9:9" x14ac:dyDescent="0.3">
      <c r="I7294" s="101"/>
    </row>
    <row r="7295" spans="9:9" x14ac:dyDescent="0.3">
      <c r="I7295" s="101"/>
    </row>
    <row r="7296" spans="9:9" x14ac:dyDescent="0.3">
      <c r="I7296" s="101"/>
    </row>
    <row r="7297" spans="9:9" x14ac:dyDescent="0.3">
      <c r="I7297" s="101"/>
    </row>
    <row r="7298" spans="9:9" x14ac:dyDescent="0.3">
      <c r="I7298" s="101"/>
    </row>
    <row r="7299" spans="9:9" x14ac:dyDescent="0.3">
      <c r="I7299" s="101"/>
    </row>
    <row r="7300" spans="9:9" x14ac:dyDescent="0.3">
      <c r="I7300" s="101"/>
    </row>
    <row r="7301" spans="9:9" x14ac:dyDescent="0.3">
      <c r="I7301" s="101"/>
    </row>
    <row r="7302" spans="9:9" x14ac:dyDescent="0.3">
      <c r="I7302" s="101"/>
    </row>
    <row r="7303" spans="9:9" x14ac:dyDescent="0.3">
      <c r="I7303" s="101"/>
    </row>
    <row r="7304" spans="9:9" x14ac:dyDescent="0.3">
      <c r="I7304" s="101"/>
    </row>
    <row r="7305" spans="9:9" x14ac:dyDescent="0.3">
      <c r="I7305" s="101"/>
    </row>
    <row r="7306" spans="9:9" x14ac:dyDescent="0.3">
      <c r="I7306" s="101"/>
    </row>
    <row r="7307" spans="9:9" x14ac:dyDescent="0.3">
      <c r="I7307" s="101"/>
    </row>
    <row r="7308" spans="9:9" x14ac:dyDescent="0.3">
      <c r="I7308" s="101"/>
    </row>
    <row r="7309" spans="9:9" x14ac:dyDescent="0.3">
      <c r="I7309" s="101"/>
    </row>
    <row r="7310" spans="9:9" x14ac:dyDescent="0.3">
      <c r="I7310" s="101"/>
    </row>
    <row r="7311" spans="9:9" x14ac:dyDescent="0.3">
      <c r="I7311" s="101"/>
    </row>
    <row r="7312" spans="9:9" x14ac:dyDescent="0.3">
      <c r="I7312" s="101"/>
    </row>
    <row r="7313" spans="9:9" x14ac:dyDescent="0.3">
      <c r="I7313" s="101"/>
    </row>
    <row r="7314" spans="9:9" x14ac:dyDescent="0.3">
      <c r="I7314" s="101"/>
    </row>
    <row r="7315" spans="9:9" x14ac:dyDescent="0.3">
      <c r="I7315" s="101"/>
    </row>
    <row r="7316" spans="9:9" x14ac:dyDescent="0.3">
      <c r="I7316" s="101"/>
    </row>
    <row r="7317" spans="9:9" x14ac:dyDescent="0.3">
      <c r="I7317" s="101"/>
    </row>
    <row r="7318" spans="9:9" x14ac:dyDescent="0.3">
      <c r="I7318" s="101"/>
    </row>
    <row r="7319" spans="9:9" x14ac:dyDescent="0.3">
      <c r="I7319" s="101"/>
    </row>
    <row r="7320" spans="9:9" x14ac:dyDescent="0.3">
      <c r="I7320" s="101"/>
    </row>
    <row r="7321" spans="9:9" x14ac:dyDescent="0.3">
      <c r="I7321" s="101"/>
    </row>
    <row r="7322" spans="9:9" x14ac:dyDescent="0.3">
      <c r="I7322" s="101"/>
    </row>
    <row r="7323" spans="9:9" x14ac:dyDescent="0.3">
      <c r="I7323" s="101"/>
    </row>
    <row r="7324" spans="9:9" x14ac:dyDescent="0.3">
      <c r="I7324" s="101"/>
    </row>
    <row r="7325" spans="9:9" x14ac:dyDescent="0.3">
      <c r="I7325" s="101"/>
    </row>
    <row r="7326" spans="9:9" x14ac:dyDescent="0.3">
      <c r="I7326" s="101"/>
    </row>
    <row r="7327" spans="9:9" x14ac:dyDescent="0.3">
      <c r="I7327" s="101"/>
    </row>
    <row r="7328" spans="9:9" x14ac:dyDescent="0.3">
      <c r="I7328" s="101"/>
    </row>
    <row r="7329" spans="9:9" x14ac:dyDescent="0.3">
      <c r="I7329" s="101"/>
    </row>
    <row r="7330" spans="9:9" x14ac:dyDescent="0.3">
      <c r="I7330" s="101"/>
    </row>
    <row r="7331" spans="9:9" x14ac:dyDescent="0.3">
      <c r="I7331" s="101"/>
    </row>
    <row r="7332" spans="9:9" x14ac:dyDescent="0.3">
      <c r="I7332" s="101"/>
    </row>
    <row r="7333" spans="9:9" x14ac:dyDescent="0.3">
      <c r="I7333" s="101"/>
    </row>
    <row r="7334" spans="9:9" x14ac:dyDescent="0.3">
      <c r="I7334" s="101"/>
    </row>
    <row r="7335" spans="9:9" x14ac:dyDescent="0.3">
      <c r="I7335" s="101"/>
    </row>
    <row r="7336" spans="9:9" x14ac:dyDescent="0.3">
      <c r="I7336" s="101"/>
    </row>
    <row r="7337" spans="9:9" x14ac:dyDescent="0.3">
      <c r="I7337" s="101"/>
    </row>
    <row r="7338" spans="9:9" x14ac:dyDescent="0.3">
      <c r="I7338" s="101"/>
    </row>
    <row r="7339" spans="9:9" x14ac:dyDescent="0.3">
      <c r="I7339" s="101"/>
    </row>
    <row r="7340" spans="9:9" x14ac:dyDescent="0.3">
      <c r="I7340" s="101"/>
    </row>
    <row r="7341" spans="9:9" x14ac:dyDescent="0.3">
      <c r="I7341" s="101"/>
    </row>
    <row r="7342" spans="9:9" x14ac:dyDescent="0.3">
      <c r="I7342" s="101"/>
    </row>
    <row r="7343" spans="9:9" x14ac:dyDescent="0.3">
      <c r="I7343" s="101"/>
    </row>
    <row r="7344" spans="9:9" x14ac:dyDescent="0.3">
      <c r="I7344" s="101"/>
    </row>
    <row r="7345" spans="9:9" x14ac:dyDescent="0.3">
      <c r="I7345" s="101"/>
    </row>
    <row r="7346" spans="9:9" x14ac:dyDescent="0.3">
      <c r="I7346" s="101"/>
    </row>
    <row r="7347" spans="9:9" x14ac:dyDescent="0.3">
      <c r="I7347" s="101"/>
    </row>
    <row r="7348" spans="9:9" x14ac:dyDescent="0.3">
      <c r="I7348" s="101"/>
    </row>
    <row r="7349" spans="9:9" x14ac:dyDescent="0.3">
      <c r="I7349" s="101"/>
    </row>
    <row r="7350" spans="9:9" x14ac:dyDescent="0.3">
      <c r="I7350" s="101"/>
    </row>
    <row r="7351" spans="9:9" x14ac:dyDescent="0.3">
      <c r="I7351" s="101"/>
    </row>
    <row r="7352" spans="9:9" x14ac:dyDescent="0.3">
      <c r="I7352" s="101"/>
    </row>
    <row r="7353" spans="9:9" x14ac:dyDescent="0.3">
      <c r="I7353" s="101"/>
    </row>
    <row r="7354" spans="9:9" x14ac:dyDescent="0.3">
      <c r="I7354" s="101"/>
    </row>
    <row r="7355" spans="9:9" x14ac:dyDescent="0.3">
      <c r="I7355" s="101"/>
    </row>
    <row r="7356" spans="9:9" x14ac:dyDescent="0.3">
      <c r="I7356" s="101"/>
    </row>
    <row r="7357" spans="9:9" x14ac:dyDescent="0.3">
      <c r="I7357" s="101"/>
    </row>
    <row r="7358" spans="9:9" x14ac:dyDescent="0.3">
      <c r="I7358" s="101"/>
    </row>
    <row r="7359" spans="9:9" x14ac:dyDescent="0.3">
      <c r="I7359" s="101"/>
    </row>
    <row r="7360" spans="9:9" x14ac:dyDescent="0.3">
      <c r="I7360" s="101"/>
    </row>
    <row r="7361" spans="9:9" x14ac:dyDescent="0.3">
      <c r="I7361" s="101"/>
    </row>
    <row r="7362" spans="9:9" x14ac:dyDescent="0.3">
      <c r="I7362" s="101"/>
    </row>
    <row r="7363" spans="9:9" x14ac:dyDescent="0.3">
      <c r="I7363" s="101"/>
    </row>
    <row r="7364" spans="9:9" x14ac:dyDescent="0.3">
      <c r="I7364" s="101"/>
    </row>
    <row r="7365" spans="9:9" x14ac:dyDescent="0.3">
      <c r="I7365" s="101"/>
    </row>
    <row r="7366" spans="9:9" x14ac:dyDescent="0.3">
      <c r="I7366" s="101"/>
    </row>
    <row r="7367" spans="9:9" x14ac:dyDescent="0.3">
      <c r="I7367" s="101"/>
    </row>
    <row r="7368" spans="9:9" x14ac:dyDescent="0.3">
      <c r="I7368" s="101"/>
    </row>
    <row r="7369" spans="9:9" x14ac:dyDescent="0.3">
      <c r="I7369" s="101"/>
    </row>
    <row r="7370" spans="9:9" x14ac:dyDescent="0.3">
      <c r="I7370" s="101"/>
    </row>
    <row r="7371" spans="9:9" x14ac:dyDescent="0.3">
      <c r="I7371" s="101"/>
    </row>
    <row r="7372" spans="9:9" x14ac:dyDescent="0.3">
      <c r="I7372" s="101"/>
    </row>
    <row r="7373" spans="9:9" x14ac:dyDescent="0.3">
      <c r="I7373" s="101"/>
    </row>
    <row r="7374" spans="9:9" x14ac:dyDescent="0.3">
      <c r="I7374" s="101"/>
    </row>
    <row r="7375" spans="9:9" x14ac:dyDescent="0.3">
      <c r="I7375" s="101"/>
    </row>
    <row r="7376" spans="9:9" x14ac:dyDescent="0.3">
      <c r="I7376" s="101"/>
    </row>
    <row r="7377" spans="9:9" x14ac:dyDescent="0.3">
      <c r="I7377" s="101"/>
    </row>
    <row r="7378" spans="9:9" x14ac:dyDescent="0.3">
      <c r="I7378" s="101"/>
    </row>
    <row r="7379" spans="9:9" x14ac:dyDescent="0.3">
      <c r="I7379" s="101"/>
    </row>
    <row r="7380" spans="9:9" x14ac:dyDescent="0.3">
      <c r="I7380" s="101"/>
    </row>
    <row r="7381" spans="9:9" x14ac:dyDescent="0.3">
      <c r="I7381" s="101"/>
    </row>
    <row r="7382" spans="9:9" x14ac:dyDescent="0.3">
      <c r="I7382" s="101"/>
    </row>
    <row r="7383" spans="9:9" x14ac:dyDescent="0.3">
      <c r="I7383" s="101"/>
    </row>
    <row r="7384" spans="9:9" x14ac:dyDescent="0.3">
      <c r="I7384" s="101"/>
    </row>
    <row r="7385" spans="9:9" x14ac:dyDescent="0.3">
      <c r="I7385" s="101"/>
    </row>
    <row r="7386" spans="9:9" x14ac:dyDescent="0.3">
      <c r="I7386" s="101"/>
    </row>
    <row r="7387" spans="9:9" x14ac:dyDescent="0.3">
      <c r="I7387" s="101"/>
    </row>
    <row r="7388" spans="9:9" x14ac:dyDescent="0.3">
      <c r="I7388" s="101"/>
    </row>
    <row r="7389" spans="9:9" x14ac:dyDescent="0.3">
      <c r="I7389" s="101"/>
    </row>
    <row r="7390" spans="9:9" x14ac:dyDescent="0.3">
      <c r="I7390" s="101"/>
    </row>
    <row r="7391" spans="9:9" x14ac:dyDescent="0.3">
      <c r="I7391" s="101"/>
    </row>
    <row r="7392" spans="9:9" x14ac:dyDescent="0.3">
      <c r="I7392" s="101"/>
    </row>
    <row r="7393" spans="9:9" x14ac:dyDescent="0.3">
      <c r="I7393" s="101"/>
    </row>
    <row r="7394" spans="9:9" x14ac:dyDescent="0.3">
      <c r="I7394" s="101"/>
    </row>
    <row r="7395" spans="9:9" x14ac:dyDescent="0.3">
      <c r="I7395" s="101"/>
    </row>
    <row r="7396" spans="9:9" x14ac:dyDescent="0.3">
      <c r="I7396" s="101"/>
    </row>
    <row r="7397" spans="9:9" x14ac:dyDescent="0.3">
      <c r="I7397" s="101"/>
    </row>
    <row r="7398" spans="9:9" x14ac:dyDescent="0.3">
      <c r="I7398" s="101"/>
    </row>
    <row r="7399" spans="9:9" x14ac:dyDescent="0.3">
      <c r="I7399" s="101"/>
    </row>
    <row r="7400" spans="9:9" x14ac:dyDescent="0.3">
      <c r="I7400" s="101"/>
    </row>
    <row r="7401" spans="9:9" x14ac:dyDescent="0.3">
      <c r="I7401" s="101"/>
    </row>
    <row r="7402" spans="9:9" x14ac:dyDescent="0.3">
      <c r="I7402" s="101"/>
    </row>
    <row r="7403" spans="9:9" x14ac:dyDescent="0.3">
      <c r="I7403" s="101"/>
    </row>
    <row r="7404" spans="9:9" x14ac:dyDescent="0.3">
      <c r="I7404" s="101"/>
    </row>
    <row r="7405" spans="9:9" x14ac:dyDescent="0.3">
      <c r="I7405" s="101"/>
    </row>
    <row r="7406" spans="9:9" x14ac:dyDescent="0.3">
      <c r="I7406" s="101"/>
    </row>
    <row r="7407" spans="9:9" x14ac:dyDescent="0.3">
      <c r="I7407" s="101"/>
    </row>
    <row r="7408" spans="9:9" x14ac:dyDescent="0.3">
      <c r="I7408" s="101"/>
    </row>
    <row r="7409" spans="9:9" x14ac:dyDescent="0.3">
      <c r="I7409" s="101"/>
    </row>
    <row r="7410" spans="9:9" x14ac:dyDescent="0.3">
      <c r="I7410" s="101"/>
    </row>
    <row r="7411" spans="9:9" x14ac:dyDescent="0.3">
      <c r="I7411" s="101"/>
    </row>
    <row r="7412" spans="9:9" x14ac:dyDescent="0.3">
      <c r="I7412" s="101"/>
    </row>
    <row r="7413" spans="9:9" x14ac:dyDescent="0.3">
      <c r="I7413" s="101"/>
    </row>
    <row r="7414" spans="9:9" x14ac:dyDescent="0.3">
      <c r="I7414" s="101"/>
    </row>
    <row r="7415" spans="9:9" x14ac:dyDescent="0.3">
      <c r="I7415" s="101"/>
    </row>
    <row r="7416" spans="9:9" x14ac:dyDescent="0.3">
      <c r="I7416" s="101"/>
    </row>
    <row r="7417" spans="9:9" x14ac:dyDescent="0.3">
      <c r="I7417" s="101"/>
    </row>
    <row r="7418" spans="9:9" x14ac:dyDescent="0.3">
      <c r="I7418" s="101"/>
    </row>
    <row r="7419" spans="9:9" x14ac:dyDescent="0.3">
      <c r="I7419" s="101"/>
    </row>
    <row r="7420" spans="9:9" x14ac:dyDescent="0.3">
      <c r="I7420" s="101"/>
    </row>
    <row r="7421" spans="9:9" x14ac:dyDescent="0.3">
      <c r="I7421" s="101"/>
    </row>
    <row r="7422" spans="9:9" x14ac:dyDescent="0.3">
      <c r="I7422" s="101"/>
    </row>
    <row r="7423" spans="9:9" x14ac:dyDescent="0.3">
      <c r="I7423" s="101"/>
    </row>
    <row r="7424" spans="9:9" x14ac:dyDescent="0.3">
      <c r="I7424" s="101"/>
    </row>
    <row r="7425" spans="9:9" x14ac:dyDescent="0.3">
      <c r="I7425" s="101"/>
    </row>
    <row r="7426" spans="9:9" x14ac:dyDescent="0.3">
      <c r="I7426" s="101"/>
    </row>
    <row r="7427" spans="9:9" x14ac:dyDescent="0.3">
      <c r="I7427" s="101"/>
    </row>
    <row r="7428" spans="9:9" x14ac:dyDescent="0.3">
      <c r="I7428" s="101"/>
    </row>
    <row r="7429" spans="9:9" x14ac:dyDescent="0.3">
      <c r="I7429" s="101"/>
    </row>
    <row r="7430" spans="9:9" x14ac:dyDescent="0.3">
      <c r="I7430" s="101"/>
    </row>
    <row r="7431" spans="9:9" x14ac:dyDescent="0.3">
      <c r="I7431" s="101"/>
    </row>
    <row r="7432" spans="9:9" x14ac:dyDescent="0.3">
      <c r="I7432" s="101"/>
    </row>
    <row r="7433" spans="9:9" x14ac:dyDescent="0.3">
      <c r="I7433" s="101"/>
    </row>
    <row r="7434" spans="9:9" x14ac:dyDescent="0.3">
      <c r="I7434" s="101"/>
    </row>
    <row r="7435" spans="9:9" x14ac:dyDescent="0.3">
      <c r="I7435" s="101"/>
    </row>
    <row r="7436" spans="9:9" x14ac:dyDescent="0.3">
      <c r="I7436" s="101"/>
    </row>
    <row r="7437" spans="9:9" x14ac:dyDescent="0.3">
      <c r="I7437" s="101"/>
    </row>
    <row r="7438" spans="9:9" x14ac:dyDescent="0.3">
      <c r="I7438" s="101"/>
    </row>
    <row r="7439" spans="9:9" x14ac:dyDescent="0.3">
      <c r="I7439" s="101"/>
    </row>
    <row r="7440" spans="9:9" x14ac:dyDescent="0.3">
      <c r="I7440" s="101"/>
    </row>
    <row r="7441" spans="9:9" x14ac:dyDescent="0.3">
      <c r="I7441" s="101"/>
    </row>
    <row r="7442" spans="9:9" x14ac:dyDescent="0.3">
      <c r="I7442" s="101"/>
    </row>
    <row r="7443" spans="9:9" x14ac:dyDescent="0.3">
      <c r="I7443" s="101"/>
    </row>
    <row r="7444" spans="9:9" x14ac:dyDescent="0.3">
      <c r="I7444" s="101"/>
    </row>
    <row r="7445" spans="9:9" x14ac:dyDescent="0.3">
      <c r="I7445" s="101"/>
    </row>
    <row r="7446" spans="9:9" x14ac:dyDescent="0.3">
      <c r="I7446" s="101"/>
    </row>
    <row r="7447" spans="9:9" x14ac:dyDescent="0.3">
      <c r="I7447" s="101"/>
    </row>
    <row r="7448" spans="9:9" x14ac:dyDescent="0.3">
      <c r="I7448" s="101"/>
    </row>
    <row r="7449" spans="9:9" x14ac:dyDescent="0.3">
      <c r="I7449" s="101"/>
    </row>
    <row r="7450" spans="9:9" x14ac:dyDescent="0.3">
      <c r="I7450" s="101"/>
    </row>
    <row r="7451" spans="9:9" x14ac:dyDescent="0.3">
      <c r="I7451" s="101"/>
    </row>
    <row r="7452" spans="9:9" x14ac:dyDescent="0.3">
      <c r="I7452" s="101"/>
    </row>
    <row r="7453" spans="9:9" x14ac:dyDescent="0.3">
      <c r="I7453" s="101"/>
    </row>
    <row r="7454" spans="9:9" x14ac:dyDescent="0.3">
      <c r="I7454" s="101"/>
    </row>
    <row r="7455" spans="9:9" x14ac:dyDescent="0.3">
      <c r="I7455" s="101"/>
    </row>
    <row r="7456" spans="9:9" x14ac:dyDescent="0.3">
      <c r="I7456" s="101"/>
    </row>
    <row r="7457" spans="9:9" x14ac:dyDescent="0.3">
      <c r="I7457" s="101"/>
    </row>
    <row r="7458" spans="9:9" x14ac:dyDescent="0.3">
      <c r="I7458" s="101"/>
    </row>
    <row r="7459" spans="9:9" x14ac:dyDescent="0.3">
      <c r="I7459" s="101"/>
    </row>
    <row r="7460" spans="9:9" x14ac:dyDescent="0.3">
      <c r="I7460" s="101"/>
    </row>
    <row r="7461" spans="9:9" x14ac:dyDescent="0.3">
      <c r="I7461" s="101"/>
    </row>
    <row r="7462" spans="9:9" x14ac:dyDescent="0.3">
      <c r="I7462" s="101"/>
    </row>
    <row r="7463" spans="9:9" x14ac:dyDescent="0.3">
      <c r="I7463" s="101"/>
    </row>
    <row r="7464" spans="9:9" x14ac:dyDescent="0.3">
      <c r="I7464" s="101"/>
    </row>
    <row r="7465" spans="9:9" x14ac:dyDescent="0.3">
      <c r="I7465" s="101"/>
    </row>
    <row r="7466" spans="9:9" x14ac:dyDescent="0.3">
      <c r="I7466" s="101"/>
    </row>
    <row r="7467" spans="9:9" x14ac:dyDescent="0.3">
      <c r="I7467" s="101"/>
    </row>
    <row r="7468" spans="9:9" x14ac:dyDescent="0.3">
      <c r="I7468" s="101"/>
    </row>
    <row r="7469" spans="9:9" x14ac:dyDescent="0.3">
      <c r="I7469" s="101"/>
    </row>
    <row r="7470" spans="9:9" x14ac:dyDescent="0.3">
      <c r="I7470" s="101"/>
    </row>
    <row r="7471" spans="9:9" x14ac:dyDescent="0.3">
      <c r="I7471" s="101"/>
    </row>
    <row r="7472" spans="9:9" x14ac:dyDescent="0.3">
      <c r="I7472" s="101"/>
    </row>
    <row r="7473" spans="9:9" x14ac:dyDescent="0.3">
      <c r="I7473" s="101"/>
    </row>
    <row r="7474" spans="9:9" x14ac:dyDescent="0.3">
      <c r="I7474" s="101"/>
    </row>
    <row r="7475" spans="9:9" x14ac:dyDescent="0.3">
      <c r="I7475" s="101"/>
    </row>
    <row r="7476" spans="9:9" x14ac:dyDescent="0.3">
      <c r="I7476" s="101"/>
    </row>
    <row r="7477" spans="9:9" x14ac:dyDescent="0.3">
      <c r="I7477" s="101"/>
    </row>
    <row r="7478" spans="9:9" x14ac:dyDescent="0.3">
      <c r="I7478" s="101"/>
    </row>
    <row r="7479" spans="9:9" x14ac:dyDescent="0.3">
      <c r="I7479" s="101"/>
    </row>
    <row r="7480" spans="9:9" x14ac:dyDescent="0.3">
      <c r="I7480" s="101"/>
    </row>
    <row r="7481" spans="9:9" x14ac:dyDescent="0.3">
      <c r="I7481" s="101"/>
    </row>
    <row r="7482" spans="9:9" x14ac:dyDescent="0.3">
      <c r="I7482" s="101"/>
    </row>
    <row r="7483" spans="9:9" x14ac:dyDescent="0.3">
      <c r="I7483" s="101"/>
    </row>
    <row r="7484" spans="9:9" x14ac:dyDescent="0.3">
      <c r="I7484" s="101"/>
    </row>
    <row r="7485" spans="9:9" x14ac:dyDescent="0.3">
      <c r="I7485" s="101"/>
    </row>
    <row r="7486" spans="9:9" x14ac:dyDescent="0.3">
      <c r="I7486" s="101"/>
    </row>
    <row r="7487" spans="9:9" x14ac:dyDescent="0.3">
      <c r="I7487" s="101"/>
    </row>
    <row r="7488" spans="9:9" x14ac:dyDescent="0.3">
      <c r="I7488" s="101"/>
    </row>
    <row r="7489" spans="9:9" x14ac:dyDescent="0.3">
      <c r="I7489" s="101"/>
    </row>
    <row r="7490" spans="9:9" x14ac:dyDescent="0.3">
      <c r="I7490" s="101"/>
    </row>
    <row r="7491" spans="9:9" x14ac:dyDescent="0.3">
      <c r="I7491" s="101"/>
    </row>
    <row r="7492" spans="9:9" x14ac:dyDescent="0.3">
      <c r="I7492" s="101"/>
    </row>
    <row r="7493" spans="9:9" x14ac:dyDescent="0.3">
      <c r="I7493" s="101"/>
    </row>
    <row r="7494" spans="9:9" x14ac:dyDescent="0.3">
      <c r="I7494" s="101"/>
    </row>
    <row r="7495" spans="9:9" x14ac:dyDescent="0.3">
      <c r="I7495" s="101"/>
    </row>
    <row r="7496" spans="9:9" x14ac:dyDescent="0.3">
      <c r="I7496" s="101"/>
    </row>
    <row r="7497" spans="9:9" x14ac:dyDescent="0.3">
      <c r="I7497" s="101"/>
    </row>
    <row r="7498" spans="9:9" x14ac:dyDescent="0.3">
      <c r="I7498" s="101"/>
    </row>
    <row r="7499" spans="9:9" x14ac:dyDescent="0.3">
      <c r="I7499" s="101"/>
    </row>
    <row r="7500" spans="9:9" x14ac:dyDescent="0.3">
      <c r="I7500" s="101"/>
    </row>
    <row r="7501" spans="9:9" x14ac:dyDescent="0.3">
      <c r="I7501" s="101"/>
    </row>
    <row r="7502" spans="9:9" x14ac:dyDescent="0.3">
      <c r="I7502" s="101"/>
    </row>
    <row r="7503" spans="9:9" x14ac:dyDescent="0.3">
      <c r="I7503" s="101"/>
    </row>
    <row r="7504" spans="9:9" x14ac:dyDescent="0.3">
      <c r="I7504" s="101"/>
    </row>
    <row r="7505" spans="9:9" x14ac:dyDescent="0.3">
      <c r="I7505" s="101"/>
    </row>
    <row r="7506" spans="9:9" x14ac:dyDescent="0.3">
      <c r="I7506" s="101"/>
    </row>
    <row r="7507" spans="9:9" x14ac:dyDescent="0.3">
      <c r="I7507" s="101"/>
    </row>
    <row r="7508" spans="9:9" x14ac:dyDescent="0.3">
      <c r="I7508" s="101"/>
    </row>
    <row r="7509" spans="9:9" x14ac:dyDescent="0.3">
      <c r="I7509" s="101"/>
    </row>
    <row r="7510" spans="9:9" x14ac:dyDescent="0.3">
      <c r="I7510" s="101"/>
    </row>
    <row r="7511" spans="9:9" x14ac:dyDescent="0.3">
      <c r="I7511" s="101"/>
    </row>
    <row r="7512" spans="9:9" x14ac:dyDescent="0.3">
      <c r="I7512" s="101"/>
    </row>
    <row r="7513" spans="9:9" x14ac:dyDescent="0.3">
      <c r="I7513" s="101"/>
    </row>
    <row r="7514" spans="9:9" x14ac:dyDescent="0.3">
      <c r="I7514" s="101"/>
    </row>
    <row r="7515" spans="9:9" x14ac:dyDescent="0.3">
      <c r="I7515" s="101"/>
    </row>
    <row r="7516" spans="9:9" x14ac:dyDescent="0.3">
      <c r="I7516" s="101"/>
    </row>
    <row r="7517" spans="9:9" x14ac:dyDescent="0.3">
      <c r="I7517" s="101"/>
    </row>
    <row r="7518" spans="9:9" x14ac:dyDescent="0.3">
      <c r="I7518" s="101"/>
    </row>
    <row r="7519" spans="9:9" x14ac:dyDescent="0.3">
      <c r="I7519" s="101"/>
    </row>
    <row r="7520" spans="9:9" x14ac:dyDescent="0.3">
      <c r="I7520" s="101"/>
    </row>
    <row r="7521" spans="9:9" x14ac:dyDescent="0.3">
      <c r="I7521" s="101"/>
    </row>
    <row r="7522" spans="9:9" x14ac:dyDescent="0.3">
      <c r="I7522" s="101"/>
    </row>
    <row r="7523" spans="9:9" x14ac:dyDescent="0.3">
      <c r="I7523" s="101"/>
    </row>
    <row r="7524" spans="9:9" x14ac:dyDescent="0.3">
      <c r="I7524" s="101"/>
    </row>
    <row r="7525" spans="9:9" x14ac:dyDescent="0.3">
      <c r="I7525" s="101"/>
    </row>
    <row r="7526" spans="9:9" x14ac:dyDescent="0.3">
      <c r="I7526" s="101"/>
    </row>
    <row r="7527" spans="9:9" x14ac:dyDescent="0.3">
      <c r="I7527" s="101"/>
    </row>
    <row r="7528" spans="9:9" x14ac:dyDescent="0.3">
      <c r="I7528" s="101"/>
    </row>
    <row r="7529" spans="9:9" x14ac:dyDescent="0.3">
      <c r="I7529" s="101"/>
    </row>
    <row r="7530" spans="9:9" x14ac:dyDescent="0.3">
      <c r="I7530" s="101"/>
    </row>
    <row r="7531" spans="9:9" x14ac:dyDescent="0.3">
      <c r="I7531" s="101"/>
    </row>
    <row r="7532" spans="9:9" x14ac:dyDescent="0.3">
      <c r="I7532" s="101"/>
    </row>
    <row r="7533" spans="9:9" x14ac:dyDescent="0.3">
      <c r="I7533" s="101"/>
    </row>
    <row r="7534" spans="9:9" x14ac:dyDescent="0.3">
      <c r="I7534" s="101"/>
    </row>
    <row r="7535" spans="9:9" x14ac:dyDescent="0.3">
      <c r="I7535" s="101"/>
    </row>
    <row r="7536" spans="9:9" x14ac:dyDescent="0.3">
      <c r="I7536" s="101"/>
    </row>
    <row r="7537" spans="9:9" x14ac:dyDescent="0.3">
      <c r="I7537" s="101"/>
    </row>
    <row r="7538" spans="9:9" x14ac:dyDescent="0.3">
      <c r="I7538" s="101"/>
    </row>
    <row r="7539" spans="9:9" x14ac:dyDescent="0.3">
      <c r="I7539" s="101"/>
    </row>
    <row r="7540" spans="9:9" x14ac:dyDescent="0.3">
      <c r="I7540" s="101"/>
    </row>
    <row r="7541" spans="9:9" x14ac:dyDescent="0.3">
      <c r="I7541" s="101"/>
    </row>
    <row r="7542" spans="9:9" x14ac:dyDescent="0.3">
      <c r="I7542" s="101"/>
    </row>
    <row r="7543" spans="9:9" x14ac:dyDescent="0.3">
      <c r="I7543" s="101"/>
    </row>
    <row r="7544" spans="9:9" x14ac:dyDescent="0.3">
      <c r="I7544" s="101"/>
    </row>
    <row r="7545" spans="9:9" x14ac:dyDescent="0.3">
      <c r="I7545" s="101"/>
    </row>
    <row r="7546" spans="9:9" x14ac:dyDescent="0.3">
      <c r="I7546" s="101"/>
    </row>
    <row r="7547" spans="9:9" x14ac:dyDescent="0.3">
      <c r="I7547" s="101"/>
    </row>
    <row r="7548" spans="9:9" x14ac:dyDescent="0.3">
      <c r="I7548" s="101"/>
    </row>
    <row r="7549" spans="9:9" x14ac:dyDescent="0.3">
      <c r="I7549" s="101"/>
    </row>
    <row r="7550" spans="9:9" x14ac:dyDescent="0.3">
      <c r="I7550" s="101"/>
    </row>
    <row r="7551" spans="9:9" x14ac:dyDescent="0.3">
      <c r="I7551" s="101"/>
    </row>
    <row r="7552" spans="9:9" x14ac:dyDescent="0.3">
      <c r="I7552" s="101"/>
    </row>
    <row r="7553" spans="9:9" x14ac:dyDescent="0.3">
      <c r="I7553" s="101"/>
    </row>
    <row r="7554" spans="9:9" x14ac:dyDescent="0.3">
      <c r="I7554" s="101"/>
    </row>
    <row r="7555" spans="9:9" x14ac:dyDescent="0.3">
      <c r="I7555" s="101"/>
    </row>
    <row r="7556" spans="9:9" x14ac:dyDescent="0.3">
      <c r="I7556" s="101"/>
    </row>
    <row r="7557" spans="9:9" x14ac:dyDescent="0.3">
      <c r="I7557" s="101"/>
    </row>
    <row r="7558" spans="9:9" x14ac:dyDescent="0.3">
      <c r="I7558" s="101"/>
    </row>
    <row r="7559" spans="9:9" x14ac:dyDescent="0.3">
      <c r="I7559" s="101"/>
    </row>
    <row r="7560" spans="9:9" x14ac:dyDescent="0.3">
      <c r="I7560" s="101"/>
    </row>
    <row r="7561" spans="9:9" x14ac:dyDescent="0.3">
      <c r="I7561" s="101"/>
    </row>
    <row r="7562" spans="9:9" x14ac:dyDescent="0.3">
      <c r="I7562" s="101"/>
    </row>
    <row r="7563" spans="9:9" x14ac:dyDescent="0.3">
      <c r="I7563" s="101"/>
    </row>
    <row r="7564" spans="9:9" x14ac:dyDescent="0.3">
      <c r="I7564" s="101"/>
    </row>
    <row r="7565" spans="9:9" x14ac:dyDescent="0.3">
      <c r="I7565" s="101"/>
    </row>
    <row r="7566" spans="9:9" x14ac:dyDescent="0.3">
      <c r="I7566" s="101"/>
    </row>
    <row r="7567" spans="9:9" x14ac:dyDescent="0.3">
      <c r="I7567" s="101"/>
    </row>
    <row r="7568" spans="9:9" x14ac:dyDescent="0.3">
      <c r="I7568" s="101"/>
    </row>
    <row r="7569" spans="9:9" x14ac:dyDescent="0.3">
      <c r="I7569" s="101"/>
    </row>
    <row r="7570" spans="9:9" x14ac:dyDescent="0.3">
      <c r="I7570" s="101"/>
    </row>
    <row r="7571" spans="9:9" x14ac:dyDescent="0.3">
      <c r="I7571" s="101"/>
    </row>
    <row r="7572" spans="9:9" x14ac:dyDescent="0.3">
      <c r="I7572" s="101"/>
    </row>
    <row r="7573" spans="9:9" x14ac:dyDescent="0.3">
      <c r="I7573" s="101"/>
    </row>
    <row r="7574" spans="9:9" x14ac:dyDescent="0.3">
      <c r="I7574" s="101"/>
    </row>
    <row r="7575" spans="9:9" x14ac:dyDescent="0.3">
      <c r="I7575" s="101"/>
    </row>
    <row r="7576" spans="9:9" x14ac:dyDescent="0.3">
      <c r="I7576" s="101"/>
    </row>
    <row r="7577" spans="9:9" x14ac:dyDescent="0.3">
      <c r="I7577" s="101"/>
    </row>
    <row r="7578" spans="9:9" x14ac:dyDescent="0.3">
      <c r="I7578" s="101"/>
    </row>
    <row r="7579" spans="9:9" x14ac:dyDescent="0.3">
      <c r="I7579" s="101"/>
    </row>
    <row r="7580" spans="9:9" x14ac:dyDescent="0.3">
      <c r="I7580" s="101"/>
    </row>
    <row r="7581" spans="9:9" x14ac:dyDescent="0.3">
      <c r="I7581" s="101"/>
    </row>
    <row r="7582" spans="9:9" x14ac:dyDescent="0.3">
      <c r="I7582" s="101"/>
    </row>
    <row r="7583" spans="9:9" x14ac:dyDescent="0.3">
      <c r="I7583" s="101"/>
    </row>
    <row r="7584" spans="9:9" x14ac:dyDescent="0.3">
      <c r="I7584" s="101"/>
    </row>
    <row r="7585" spans="9:9" x14ac:dyDescent="0.3">
      <c r="I7585" s="101"/>
    </row>
    <row r="7586" spans="9:9" x14ac:dyDescent="0.3">
      <c r="I7586" s="101"/>
    </row>
    <row r="7587" spans="9:9" x14ac:dyDescent="0.3">
      <c r="I7587" s="101"/>
    </row>
    <row r="7588" spans="9:9" x14ac:dyDescent="0.3">
      <c r="I7588" s="101"/>
    </row>
    <row r="7589" spans="9:9" x14ac:dyDescent="0.3">
      <c r="I7589" s="101"/>
    </row>
    <row r="7590" spans="9:9" x14ac:dyDescent="0.3">
      <c r="I7590" s="101"/>
    </row>
    <row r="7591" spans="9:9" x14ac:dyDescent="0.3">
      <c r="I7591" s="101"/>
    </row>
    <row r="7592" spans="9:9" x14ac:dyDescent="0.3">
      <c r="I7592" s="101"/>
    </row>
    <row r="7593" spans="9:9" x14ac:dyDescent="0.3">
      <c r="I7593" s="101"/>
    </row>
    <row r="7594" spans="9:9" x14ac:dyDescent="0.3">
      <c r="I7594" s="101"/>
    </row>
    <row r="7595" spans="9:9" x14ac:dyDescent="0.3">
      <c r="I7595" s="101"/>
    </row>
    <row r="7596" spans="9:9" x14ac:dyDescent="0.3">
      <c r="I7596" s="101"/>
    </row>
    <row r="7597" spans="9:9" x14ac:dyDescent="0.3">
      <c r="I7597" s="101"/>
    </row>
    <row r="7598" spans="9:9" x14ac:dyDescent="0.3">
      <c r="I7598" s="101"/>
    </row>
    <row r="7599" spans="9:9" x14ac:dyDescent="0.3">
      <c r="I7599" s="101"/>
    </row>
    <row r="7600" spans="9:9" x14ac:dyDescent="0.3">
      <c r="I7600" s="101"/>
    </row>
    <row r="7601" spans="9:9" x14ac:dyDescent="0.3">
      <c r="I7601" s="101"/>
    </row>
    <row r="7602" spans="9:9" x14ac:dyDescent="0.3">
      <c r="I7602" s="101"/>
    </row>
    <row r="7603" spans="9:9" x14ac:dyDescent="0.3">
      <c r="I7603" s="101"/>
    </row>
    <row r="7604" spans="9:9" x14ac:dyDescent="0.3">
      <c r="I7604" s="101"/>
    </row>
    <row r="7605" spans="9:9" x14ac:dyDescent="0.3">
      <c r="I7605" s="101"/>
    </row>
    <row r="7606" spans="9:9" x14ac:dyDescent="0.3">
      <c r="I7606" s="101"/>
    </row>
    <row r="7607" spans="9:9" x14ac:dyDescent="0.3">
      <c r="I7607" s="101"/>
    </row>
    <row r="7608" spans="9:9" x14ac:dyDescent="0.3">
      <c r="I7608" s="101"/>
    </row>
    <row r="7609" spans="9:9" x14ac:dyDescent="0.3">
      <c r="I7609" s="101"/>
    </row>
    <row r="7610" spans="9:9" x14ac:dyDescent="0.3">
      <c r="I7610" s="101"/>
    </row>
    <row r="7611" spans="9:9" x14ac:dyDescent="0.3">
      <c r="I7611" s="101"/>
    </row>
    <row r="7612" spans="9:9" x14ac:dyDescent="0.3">
      <c r="I7612" s="101"/>
    </row>
    <row r="7613" spans="9:9" x14ac:dyDescent="0.3">
      <c r="I7613" s="101"/>
    </row>
    <row r="7614" spans="9:9" x14ac:dyDescent="0.3">
      <c r="I7614" s="101"/>
    </row>
    <row r="7615" spans="9:9" x14ac:dyDescent="0.3">
      <c r="I7615" s="101"/>
    </row>
    <row r="7616" spans="9:9" x14ac:dyDescent="0.3">
      <c r="I7616" s="101"/>
    </row>
    <row r="7617" spans="9:9" x14ac:dyDescent="0.3">
      <c r="I7617" s="101"/>
    </row>
    <row r="7618" spans="9:9" x14ac:dyDescent="0.3">
      <c r="I7618" s="101"/>
    </row>
    <row r="7619" spans="9:9" x14ac:dyDescent="0.3">
      <c r="I7619" s="101"/>
    </row>
    <row r="7620" spans="9:9" x14ac:dyDescent="0.3">
      <c r="I7620" s="101"/>
    </row>
    <row r="7621" spans="9:9" x14ac:dyDescent="0.3">
      <c r="I7621" s="101"/>
    </row>
    <row r="7622" spans="9:9" x14ac:dyDescent="0.3">
      <c r="I7622" s="101"/>
    </row>
    <row r="7623" spans="9:9" x14ac:dyDescent="0.3">
      <c r="I7623" s="101"/>
    </row>
    <row r="7624" spans="9:9" x14ac:dyDescent="0.3">
      <c r="I7624" s="101"/>
    </row>
    <row r="7625" spans="9:9" x14ac:dyDescent="0.3">
      <c r="I7625" s="101"/>
    </row>
    <row r="7626" spans="9:9" x14ac:dyDescent="0.3">
      <c r="I7626" s="101"/>
    </row>
    <row r="7627" spans="9:9" x14ac:dyDescent="0.3">
      <c r="I7627" s="101"/>
    </row>
    <row r="7628" spans="9:9" x14ac:dyDescent="0.3">
      <c r="I7628" s="101"/>
    </row>
    <row r="7629" spans="9:9" x14ac:dyDescent="0.3">
      <c r="I7629" s="101"/>
    </row>
    <row r="7630" spans="9:9" x14ac:dyDescent="0.3">
      <c r="I7630" s="101"/>
    </row>
    <row r="7631" spans="9:9" x14ac:dyDescent="0.3">
      <c r="I7631" s="101"/>
    </row>
    <row r="7632" spans="9:9" x14ac:dyDescent="0.3">
      <c r="I7632" s="101"/>
    </row>
    <row r="7633" spans="9:9" x14ac:dyDescent="0.3">
      <c r="I7633" s="101"/>
    </row>
    <row r="7634" spans="9:9" x14ac:dyDescent="0.3">
      <c r="I7634" s="101"/>
    </row>
    <row r="7635" spans="9:9" x14ac:dyDescent="0.3">
      <c r="I7635" s="101"/>
    </row>
    <row r="7636" spans="9:9" x14ac:dyDescent="0.3">
      <c r="I7636" s="101"/>
    </row>
    <row r="7637" spans="9:9" x14ac:dyDescent="0.3">
      <c r="I7637" s="101"/>
    </row>
    <row r="7638" spans="9:9" x14ac:dyDescent="0.3">
      <c r="I7638" s="101"/>
    </row>
    <row r="7639" spans="9:9" x14ac:dyDescent="0.3">
      <c r="I7639" s="101"/>
    </row>
    <row r="7640" spans="9:9" x14ac:dyDescent="0.3">
      <c r="I7640" s="101"/>
    </row>
    <row r="7641" spans="9:9" x14ac:dyDescent="0.3">
      <c r="I7641" s="101"/>
    </row>
    <row r="7642" spans="9:9" x14ac:dyDescent="0.3">
      <c r="I7642" s="101"/>
    </row>
    <row r="7643" spans="9:9" x14ac:dyDescent="0.3">
      <c r="I7643" s="101"/>
    </row>
    <row r="7644" spans="9:9" x14ac:dyDescent="0.3">
      <c r="I7644" s="101"/>
    </row>
    <row r="7645" spans="9:9" x14ac:dyDescent="0.3">
      <c r="I7645" s="101"/>
    </row>
    <row r="7646" spans="9:9" x14ac:dyDescent="0.3">
      <c r="I7646" s="101"/>
    </row>
    <row r="7647" spans="9:9" x14ac:dyDescent="0.3">
      <c r="I7647" s="101"/>
    </row>
    <row r="7648" spans="9:9" x14ac:dyDescent="0.3">
      <c r="I7648" s="101"/>
    </row>
    <row r="7649" spans="9:9" x14ac:dyDescent="0.3">
      <c r="I7649" s="101"/>
    </row>
    <row r="7650" spans="9:9" x14ac:dyDescent="0.3">
      <c r="I7650" s="101"/>
    </row>
    <row r="7651" spans="9:9" x14ac:dyDescent="0.3">
      <c r="I7651" s="101"/>
    </row>
    <row r="7652" spans="9:9" x14ac:dyDescent="0.3">
      <c r="I7652" s="101"/>
    </row>
    <row r="7653" spans="9:9" x14ac:dyDescent="0.3">
      <c r="I7653" s="101"/>
    </row>
    <row r="7654" spans="9:9" x14ac:dyDescent="0.3">
      <c r="I7654" s="101"/>
    </row>
    <row r="7655" spans="9:9" x14ac:dyDescent="0.3">
      <c r="I7655" s="101"/>
    </row>
    <row r="7656" spans="9:9" x14ac:dyDescent="0.3">
      <c r="I7656" s="101"/>
    </row>
    <row r="7657" spans="9:9" x14ac:dyDescent="0.3">
      <c r="I7657" s="101"/>
    </row>
    <row r="7658" spans="9:9" x14ac:dyDescent="0.3">
      <c r="I7658" s="101"/>
    </row>
    <row r="7659" spans="9:9" x14ac:dyDescent="0.3">
      <c r="I7659" s="101"/>
    </row>
    <row r="7660" spans="9:9" x14ac:dyDescent="0.3">
      <c r="I7660" s="101"/>
    </row>
    <row r="7661" spans="9:9" x14ac:dyDescent="0.3">
      <c r="I7661" s="101"/>
    </row>
    <row r="7662" spans="9:9" x14ac:dyDescent="0.3">
      <c r="I7662" s="101"/>
    </row>
    <row r="7663" spans="9:9" x14ac:dyDescent="0.3">
      <c r="I7663" s="101"/>
    </row>
    <row r="7664" spans="9:9" x14ac:dyDescent="0.3">
      <c r="I7664" s="101"/>
    </row>
    <row r="7665" spans="9:9" x14ac:dyDescent="0.3">
      <c r="I7665" s="101"/>
    </row>
    <row r="7666" spans="9:9" x14ac:dyDescent="0.3">
      <c r="I7666" s="101"/>
    </row>
    <row r="7667" spans="9:9" x14ac:dyDescent="0.3">
      <c r="I7667" s="101"/>
    </row>
    <row r="7668" spans="9:9" x14ac:dyDescent="0.3">
      <c r="I7668" s="101"/>
    </row>
    <row r="7669" spans="9:9" x14ac:dyDescent="0.3">
      <c r="I7669" s="101"/>
    </row>
    <row r="7670" spans="9:9" x14ac:dyDescent="0.3">
      <c r="I7670" s="101"/>
    </row>
    <row r="7671" spans="9:9" x14ac:dyDescent="0.3">
      <c r="I7671" s="101"/>
    </row>
    <row r="7672" spans="9:9" x14ac:dyDescent="0.3">
      <c r="I7672" s="101"/>
    </row>
    <row r="7673" spans="9:9" x14ac:dyDescent="0.3">
      <c r="I7673" s="101"/>
    </row>
    <row r="7674" spans="9:9" x14ac:dyDescent="0.3">
      <c r="I7674" s="101"/>
    </row>
    <row r="7675" spans="9:9" x14ac:dyDescent="0.3">
      <c r="I7675" s="101"/>
    </row>
    <row r="7676" spans="9:9" x14ac:dyDescent="0.3">
      <c r="I7676" s="101"/>
    </row>
    <row r="7677" spans="9:9" x14ac:dyDescent="0.3">
      <c r="I7677" s="101"/>
    </row>
    <row r="7678" spans="9:9" x14ac:dyDescent="0.3">
      <c r="I7678" s="101"/>
    </row>
    <row r="7679" spans="9:9" x14ac:dyDescent="0.3">
      <c r="I7679" s="101"/>
    </row>
    <row r="7680" spans="9:9" x14ac:dyDescent="0.3">
      <c r="I7680" s="101"/>
    </row>
    <row r="7681" spans="9:9" x14ac:dyDescent="0.3">
      <c r="I7681" s="101"/>
    </row>
    <row r="7682" spans="9:9" x14ac:dyDescent="0.3">
      <c r="I7682" s="101"/>
    </row>
    <row r="7683" spans="9:9" x14ac:dyDescent="0.3">
      <c r="I7683" s="101"/>
    </row>
    <row r="7684" spans="9:9" x14ac:dyDescent="0.3">
      <c r="I7684" s="101"/>
    </row>
    <row r="7685" spans="9:9" x14ac:dyDescent="0.3">
      <c r="I7685" s="101"/>
    </row>
    <row r="7686" spans="9:9" x14ac:dyDescent="0.3">
      <c r="I7686" s="101"/>
    </row>
    <row r="7687" spans="9:9" x14ac:dyDescent="0.3">
      <c r="I7687" s="101"/>
    </row>
    <row r="7688" spans="9:9" x14ac:dyDescent="0.3">
      <c r="I7688" s="101"/>
    </row>
    <row r="7689" spans="9:9" x14ac:dyDescent="0.3">
      <c r="I7689" s="101"/>
    </row>
    <row r="7690" spans="9:9" x14ac:dyDescent="0.3">
      <c r="I7690" s="101"/>
    </row>
    <row r="7691" spans="9:9" x14ac:dyDescent="0.3">
      <c r="I7691" s="101"/>
    </row>
    <row r="7692" spans="9:9" x14ac:dyDescent="0.3">
      <c r="I7692" s="101"/>
    </row>
    <row r="7693" spans="9:9" x14ac:dyDescent="0.3">
      <c r="I7693" s="101"/>
    </row>
    <row r="7694" spans="9:9" x14ac:dyDescent="0.3">
      <c r="I7694" s="101"/>
    </row>
    <row r="7695" spans="9:9" x14ac:dyDescent="0.3">
      <c r="I7695" s="101"/>
    </row>
    <row r="7696" spans="9:9" x14ac:dyDescent="0.3">
      <c r="I7696" s="101"/>
    </row>
    <row r="7697" spans="9:9" x14ac:dyDescent="0.3">
      <c r="I7697" s="101"/>
    </row>
    <row r="7698" spans="9:9" x14ac:dyDescent="0.3">
      <c r="I7698" s="101"/>
    </row>
    <row r="7699" spans="9:9" x14ac:dyDescent="0.3">
      <c r="I7699" s="101"/>
    </row>
    <row r="7700" spans="9:9" x14ac:dyDescent="0.3">
      <c r="I7700" s="101"/>
    </row>
    <row r="7701" spans="9:9" x14ac:dyDescent="0.3">
      <c r="I7701" s="101"/>
    </row>
    <row r="7702" spans="9:9" x14ac:dyDescent="0.3">
      <c r="I7702" s="101"/>
    </row>
    <row r="7703" spans="9:9" x14ac:dyDescent="0.3">
      <c r="I7703" s="101"/>
    </row>
    <row r="7704" spans="9:9" x14ac:dyDescent="0.3">
      <c r="I7704" s="101"/>
    </row>
    <row r="7705" spans="9:9" x14ac:dyDescent="0.3">
      <c r="I7705" s="101"/>
    </row>
    <row r="7706" spans="9:9" x14ac:dyDescent="0.3">
      <c r="I7706" s="101"/>
    </row>
    <row r="7707" spans="9:9" x14ac:dyDescent="0.3">
      <c r="I7707" s="101"/>
    </row>
    <row r="7708" spans="9:9" x14ac:dyDescent="0.3">
      <c r="I7708" s="101"/>
    </row>
    <row r="7709" spans="9:9" x14ac:dyDescent="0.3">
      <c r="I7709" s="101"/>
    </row>
    <row r="7710" spans="9:9" x14ac:dyDescent="0.3">
      <c r="I7710" s="101"/>
    </row>
    <row r="7711" spans="9:9" x14ac:dyDescent="0.3">
      <c r="I7711" s="101"/>
    </row>
    <row r="7712" spans="9:9" x14ac:dyDescent="0.3">
      <c r="I7712" s="101"/>
    </row>
    <row r="7713" spans="9:9" x14ac:dyDescent="0.3">
      <c r="I7713" s="101"/>
    </row>
    <row r="7714" spans="9:9" x14ac:dyDescent="0.3">
      <c r="I7714" s="101"/>
    </row>
    <row r="7715" spans="9:9" x14ac:dyDescent="0.3">
      <c r="I7715" s="101"/>
    </row>
    <row r="7716" spans="9:9" x14ac:dyDescent="0.3">
      <c r="I7716" s="101"/>
    </row>
    <row r="7717" spans="9:9" x14ac:dyDescent="0.3">
      <c r="I7717" s="101"/>
    </row>
    <row r="7718" spans="9:9" x14ac:dyDescent="0.3">
      <c r="I7718" s="101"/>
    </row>
    <row r="7719" spans="9:9" x14ac:dyDescent="0.3">
      <c r="I7719" s="101"/>
    </row>
    <row r="7720" spans="9:9" x14ac:dyDescent="0.3">
      <c r="I7720" s="101"/>
    </row>
    <row r="7721" spans="9:9" x14ac:dyDescent="0.3">
      <c r="I7721" s="101"/>
    </row>
    <row r="7722" spans="9:9" x14ac:dyDescent="0.3">
      <c r="I7722" s="101"/>
    </row>
    <row r="7723" spans="9:9" x14ac:dyDescent="0.3">
      <c r="I7723" s="101"/>
    </row>
    <row r="7724" spans="9:9" x14ac:dyDescent="0.3">
      <c r="I7724" s="101"/>
    </row>
    <row r="7725" spans="9:9" x14ac:dyDescent="0.3">
      <c r="I7725" s="101"/>
    </row>
    <row r="7726" spans="9:9" x14ac:dyDescent="0.3">
      <c r="I7726" s="101"/>
    </row>
    <row r="7727" spans="9:9" x14ac:dyDescent="0.3">
      <c r="I7727" s="101"/>
    </row>
    <row r="7728" spans="9:9" x14ac:dyDescent="0.3">
      <c r="I7728" s="101"/>
    </row>
    <row r="7729" spans="9:9" x14ac:dyDescent="0.3">
      <c r="I7729" s="101"/>
    </row>
    <row r="7730" spans="9:9" x14ac:dyDescent="0.3">
      <c r="I7730" s="101"/>
    </row>
    <row r="7731" spans="9:9" x14ac:dyDescent="0.3">
      <c r="I7731" s="101"/>
    </row>
    <row r="7732" spans="9:9" x14ac:dyDescent="0.3">
      <c r="I7732" s="101"/>
    </row>
    <row r="7733" spans="9:9" x14ac:dyDescent="0.3">
      <c r="I7733" s="101"/>
    </row>
    <row r="7734" spans="9:9" x14ac:dyDescent="0.3">
      <c r="I7734" s="101"/>
    </row>
    <row r="7735" spans="9:9" x14ac:dyDescent="0.3">
      <c r="I7735" s="101"/>
    </row>
    <row r="7736" spans="9:9" x14ac:dyDescent="0.3">
      <c r="I7736" s="101"/>
    </row>
    <row r="7737" spans="9:9" x14ac:dyDescent="0.3">
      <c r="I7737" s="101"/>
    </row>
    <row r="7738" spans="9:9" x14ac:dyDescent="0.3">
      <c r="I7738" s="101"/>
    </row>
    <row r="7739" spans="9:9" x14ac:dyDescent="0.3">
      <c r="I7739" s="101"/>
    </row>
    <row r="7740" spans="9:9" x14ac:dyDescent="0.3">
      <c r="I7740" s="101"/>
    </row>
    <row r="7741" spans="9:9" x14ac:dyDescent="0.3">
      <c r="I7741" s="101"/>
    </row>
    <row r="7742" spans="9:9" x14ac:dyDescent="0.3">
      <c r="I7742" s="101"/>
    </row>
    <row r="7743" spans="9:9" x14ac:dyDescent="0.3">
      <c r="I7743" s="101"/>
    </row>
    <row r="7744" spans="9:9" x14ac:dyDescent="0.3">
      <c r="I7744" s="101"/>
    </row>
    <row r="7745" spans="9:9" x14ac:dyDescent="0.3">
      <c r="I7745" s="101"/>
    </row>
    <row r="7746" spans="9:9" x14ac:dyDescent="0.3">
      <c r="I7746" s="101"/>
    </row>
    <row r="7747" spans="9:9" x14ac:dyDescent="0.3">
      <c r="I7747" s="101"/>
    </row>
    <row r="7748" spans="9:9" x14ac:dyDescent="0.3">
      <c r="I7748" s="101"/>
    </row>
    <row r="7749" spans="9:9" x14ac:dyDescent="0.3">
      <c r="I7749" s="101"/>
    </row>
    <row r="7750" spans="9:9" x14ac:dyDescent="0.3">
      <c r="I7750" s="101"/>
    </row>
    <row r="7751" spans="9:9" x14ac:dyDescent="0.3">
      <c r="I7751" s="101"/>
    </row>
    <row r="7752" spans="9:9" x14ac:dyDescent="0.3">
      <c r="I7752" s="101"/>
    </row>
    <row r="7753" spans="9:9" x14ac:dyDescent="0.3">
      <c r="I7753" s="101"/>
    </row>
    <row r="7754" spans="9:9" x14ac:dyDescent="0.3">
      <c r="I7754" s="101"/>
    </row>
    <row r="7755" spans="9:9" x14ac:dyDescent="0.3">
      <c r="I7755" s="101"/>
    </row>
    <row r="7756" spans="9:9" x14ac:dyDescent="0.3">
      <c r="I7756" s="101"/>
    </row>
    <row r="7757" spans="9:9" x14ac:dyDescent="0.3">
      <c r="I7757" s="101"/>
    </row>
    <row r="7758" spans="9:9" x14ac:dyDescent="0.3">
      <c r="I7758" s="101"/>
    </row>
    <row r="7759" spans="9:9" x14ac:dyDescent="0.3">
      <c r="I7759" s="101"/>
    </row>
    <row r="7760" spans="9:9" x14ac:dyDescent="0.3">
      <c r="I7760" s="101"/>
    </row>
    <row r="7761" spans="9:9" x14ac:dyDescent="0.3">
      <c r="I7761" s="101"/>
    </row>
    <row r="7762" spans="9:9" x14ac:dyDescent="0.3">
      <c r="I7762" s="101"/>
    </row>
    <row r="7763" spans="9:9" x14ac:dyDescent="0.3">
      <c r="I7763" s="101"/>
    </row>
    <row r="7764" spans="9:9" x14ac:dyDescent="0.3">
      <c r="I7764" s="101"/>
    </row>
    <row r="7765" spans="9:9" x14ac:dyDescent="0.3">
      <c r="I7765" s="101"/>
    </row>
    <row r="7766" spans="9:9" x14ac:dyDescent="0.3">
      <c r="I7766" s="101"/>
    </row>
    <row r="7767" spans="9:9" x14ac:dyDescent="0.3">
      <c r="I7767" s="101"/>
    </row>
    <row r="7768" spans="9:9" x14ac:dyDescent="0.3">
      <c r="I7768" s="101"/>
    </row>
    <row r="7769" spans="9:9" x14ac:dyDescent="0.3">
      <c r="I7769" s="101"/>
    </row>
    <row r="7770" spans="9:9" x14ac:dyDescent="0.3">
      <c r="I7770" s="101"/>
    </row>
    <row r="7771" spans="9:9" x14ac:dyDescent="0.3">
      <c r="I7771" s="101"/>
    </row>
    <row r="7772" spans="9:9" x14ac:dyDescent="0.3">
      <c r="I7772" s="101"/>
    </row>
    <row r="7773" spans="9:9" x14ac:dyDescent="0.3">
      <c r="I7773" s="101"/>
    </row>
    <row r="7774" spans="9:9" x14ac:dyDescent="0.3">
      <c r="I7774" s="101"/>
    </row>
    <row r="7775" spans="9:9" x14ac:dyDescent="0.3">
      <c r="I7775" s="101"/>
    </row>
    <row r="7776" spans="9:9" x14ac:dyDescent="0.3">
      <c r="I7776" s="101"/>
    </row>
    <row r="7777" spans="9:9" x14ac:dyDescent="0.3">
      <c r="I7777" s="101"/>
    </row>
    <row r="7778" spans="9:9" x14ac:dyDescent="0.3">
      <c r="I7778" s="101"/>
    </row>
    <row r="7779" spans="9:9" x14ac:dyDescent="0.3">
      <c r="I7779" s="101"/>
    </row>
    <row r="7780" spans="9:9" x14ac:dyDescent="0.3">
      <c r="I7780" s="101"/>
    </row>
    <row r="7781" spans="9:9" x14ac:dyDescent="0.3">
      <c r="I7781" s="101"/>
    </row>
    <row r="7782" spans="9:9" x14ac:dyDescent="0.3">
      <c r="I7782" s="101"/>
    </row>
    <row r="7783" spans="9:9" x14ac:dyDescent="0.3">
      <c r="I7783" s="101"/>
    </row>
    <row r="7784" spans="9:9" x14ac:dyDescent="0.3">
      <c r="I7784" s="101"/>
    </row>
    <row r="7785" spans="9:9" x14ac:dyDescent="0.3">
      <c r="I7785" s="101"/>
    </row>
    <row r="7786" spans="9:9" x14ac:dyDescent="0.3">
      <c r="I7786" s="101"/>
    </row>
    <row r="7787" spans="9:9" x14ac:dyDescent="0.3">
      <c r="I7787" s="101"/>
    </row>
    <row r="7788" spans="9:9" x14ac:dyDescent="0.3">
      <c r="I7788" s="101"/>
    </row>
    <row r="7789" spans="9:9" x14ac:dyDescent="0.3">
      <c r="I7789" s="101"/>
    </row>
    <row r="7790" spans="9:9" x14ac:dyDescent="0.3">
      <c r="I7790" s="101"/>
    </row>
    <row r="7791" spans="9:9" x14ac:dyDescent="0.3">
      <c r="I7791" s="101"/>
    </row>
    <row r="7792" spans="9:9" x14ac:dyDescent="0.3">
      <c r="I7792" s="101"/>
    </row>
    <row r="7793" spans="9:9" x14ac:dyDescent="0.3">
      <c r="I7793" s="101"/>
    </row>
    <row r="7794" spans="9:9" x14ac:dyDescent="0.3">
      <c r="I7794" s="101"/>
    </row>
    <row r="7795" spans="9:9" x14ac:dyDescent="0.3">
      <c r="I7795" s="101"/>
    </row>
    <row r="7796" spans="9:9" x14ac:dyDescent="0.3">
      <c r="I7796" s="101"/>
    </row>
    <row r="7797" spans="9:9" x14ac:dyDescent="0.3">
      <c r="I7797" s="101"/>
    </row>
    <row r="7798" spans="9:9" x14ac:dyDescent="0.3">
      <c r="I7798" s="101"/>
    </row>
    <row r="7799" spans="9:9" x14ac:dyDescent="0.3">
      <c r="I7799" s="101"/>
    </row>
    <row r="7800" spans="9:9" x14ac:dyDescent="0.3">
      <c r="I7800" s="101"/>
    </row>
    <row r="7801" spans="9:9" x14ac:dyDescent="0.3">
      <c r="I7801" s="101"/>
    </row>
    <row r="7802" spans="9:9" x14ac:dyDescent="0.3">
      <c r="I7802" s="101"/>
    </row>
    <row r="7803" spans="9:9" x14ac:dyDescent="0.3">
      <c r="I7803" s="101"/>
    </row>
    <row r="7804" spans="9:9" x14ac:dyDescent="0.3">
      <c r="I7804" s="101"/>
    </row>
    <row r="7805" spans="9:9" x14ac:dyDescent="0.3">
      <c r="I7805" s="101"/>
    </row>
    <row r="7806" spans="9:9" x14ac:dyDescent="0.3">
      <c r="I7806" s="101"/>
    </row>
    <row r="7807" spans="9:9" x14ac:dyDescent="0.3">
      <c r="I7807" s="101"/>
    </row>
    <row r="7808" spans="9:9" x14ac:dyDescent="0.3">
      <c r="I7808" s="101"/>
    </row>
    <row r="7809" spans="9:9" x14ac:dyDescent="0.3">
      <c r="I7809" s="101"/>
    </row>
    <row r="7810" spans="9:9" x14ac:dyDescent="0.3">
      <c r="I7810" s="101"/>
    </row>
    <row r="7811" spans="9:9" x14ac:dyDescent="0.3">
      <c r="I7811" s="101"/>
    </row>
    <row r="7812" spans="9:9" x14ac:dyDescent="0.3">
      <c r="I7812" s="101"/>
    </row>
    <row r="7813" spans="9:9" x14ac:dyDescent="0.3">
      <c r="I7813" s="101"/>
    </row>
    <row r="7814" spans="9:9" x14ac:dyDescent="0.3">
      <c r="I7814" s="101"/>
    </row>
    <row r="7815" spans="9:9" x14ac:dyDescent="0.3">
      <c r="I7815" s="101"/>
    </row>
    <row r="7816" spans="9:9" x14ac:dyDescent="0.3">
      <c r="I7816" s="101"/>
    </row>
    <row r="7817" spans="9:9" x14ac:dyDescent="0.3">
      <c r="I7817" s="101"/>
    </row>
    <row r="7818" spans="9:9" x14ac:dyDescent="0.3">
      <c r="I7818" s="101"/>
    </row>
    <row r="7819" spans="9:9" x14ac:dyDescent="0.3">
      <c r="I7819" s="101"/>
    </row>
    <row r="7820" spans="9:9" x14ac:dyDescent="0.3">
      <c r="I7820" s="101"/>
    </row>
    <row r="7821" spans="9:9" x14ac:dyDescent="0.3">
      <c r="I7821" s="101"/>
    </row>
    <row r="7822" spans="9:9" x14ac:dyDescent="0.3">
      <c r="I7822" s="101"/>
    </row>
    <row r="7823" spans="9:9" x14ac:dyDescent="0.3">
      <c r="I7823" s="101"/>
    </row>
    <row r="7824" spans="9:9" x14ac:dyDescent="0.3">
      <c r="I7824" s="101"/>
    </row>
    <row r="7825" spans="9:9" x14ac:dyDescent="0.3">
      <c r="I7825" s="101"/>
    </row>
    <row r="7826" spans="9:9" x14ac:dyDescent="0.3">
      <c r="I7826" s="101"/>
    </row>
    <row r="7827" spans="9:9" x14ac:dyDescent="0.3">
      <c r="I7827" s="101"/>
    </row>
    <row r="7828" spans="9:9" x14ac:dyDescent="0.3">
      <c r="I7828" s="101"/>
    </row>
    <row r="7829" spans="9:9" x14ac:dyDescent="0.3">
      <c r="I7829" s="101"/>
    </row>
    <row r="7830" spans="9:9" x14ac:dyDescent="0.3">
      <c r="I7830" s="101"/>
    </row>
    <row r="7831" spans="9:9" x14ac:dyDescent="0.3">
      <c r="I7831" s="101"/>
    </row>
    <row r="7832" spans="9:9" x14ac:dyDescent="0.3">
      <c r="I7832" s="101"/>
    </row>
    <row r="7833" spans="9:9" x14ac:dyDescent="0.3">
      <c r="I7833" s="101"/>
    </row>
    <row r="7834" spans="9:9" x14ac:dyDescent="0.3">
      <c r="I7834" s="101"/>
    </row>
    <row r="7835" spans="9:9" x14ac:dyDescent="0.3">
      <c r="I7835" s="101"/>
    </row>
    <row r="7836" spans="9:9" x14ac:dyDescent="0.3">
      <c r="I7836" s="101"/>
    </row>
    <row r="7837" spans="9:9" x14ac:dyDescent="0.3">
      <c r="I7837" s="101"/>
    </row>
    <row r="7838" spans="9:9" x14ac:dyDescent="0.3">
      <c r="I7838" s="101"/>
    </row>
    <row r="7839" spans="9:9" x14ac:dyDescent="0.3">
      <c r="I7839" s="101"/>
    </row>
    <row r="7840" spans="9:9" x14ac:dyDescent="0.3">
      <c r="I7840" s="101"/>
    </row>
    <row r="7841" spans="9:9" x14ac:dyDescent="0.3">
      <c r="I7841" s="101"/>
    </row>
    <row r="7842" spans="9:9" x14ac:dyDescent="0.3">
      <c r="I7842" s="101"/>
    </row>
    <row r="7843" spans="9:9" x14ac:dyDescent="0.3">
      <c r="I7843" s="101"/>
    </row>
    <row r="7844" spans="9:9" x14ac:dyDescent="0.3">
      <c r="I7844" s="101"/>
    </row>
    <row r="7845" spans="9:9" x14ac:dyDescent="0.3">
      <c r="I7845" s="101"/>
    </row>
    <row r="7846" spans="9:9" x14ac:dyDescent="0.3">
      <c r="I7846" s="101"/>
    </row>
    <row r="7847" spans="9:9" x14ac:dyDescent="0.3">
      <c r="I7847" s="101"/>
    </row>
    <row r="7848" spans="9:9" x14ac:dyDescent="0.3">
      <c r="I7848" s="101"/>
    </row>
    <row r="7849" spans="9:9" x14ac:dyDescent="0.3">
      <c r="I7849" s="101"/>
    </row>
    <row r="7850" spans="9:9" x14ac:dyDescent="0.3">
      <c r="I7850" s="101"/>
    </row>
    <row r="7851" spans="9:9" x14ac:dyDescent="0.3">
      <c r="I7851" s="101"/>
    </row>
    <row r="7852" spans="9:9" x14ac:dyDescent="0.3">
      <c r="I7852" s="101"/>
    </row>
    <row r="7853" spans="9:9" x14ac:dyDescent="0.3">
      <c r="I7853" s="101"/>
    </row>
    <row r="7854" spans="9:9" x14ac:dyDescent="0.3">
      <c r="I7854" s="101"/>
    </row>
    <row r="7855" spans="9:9" x14ac:dyDescent="0.3">
      <c r="I7855" s="101"/>
    </row>
    <row r="7856" spans="9:9" x14ac:dyDescent="0.3">
      <c r="I7856" s="101"/>
    </row>
    <row r="7857" spans="9:9" x14ac:dyDescent="0.3">
      <c r="I7857" s="101"/>
    </row>
    <row r="7858" spans="9:9" x14ac:dyDescent="0.3">
      <c r="I7858" s="101"/>
    </row>
    <row r="7859" spans="9:9" x14ac:dyDescent="0.3">
      <c r="I7859" s="101"/>
    </row>
    <row r="7860" spans="9:9" x14ac:dyDescent="0.3">
      <c r="I7860" s="101"/>
    </row>
    <row r="7861" spans="9:9" x14ac:dyDescent="0.3">
      <c r="I7861" s="101"/>
    </row>
    <row r="7862" spans="9:9" x14ac:dyDescent="0.3">
      <c r="I7862" s="101"/>
    </row>
    <row r="7863" spans="9:9" x14ac:dyDescent="0.3">
      <c r="I7863" s="101"/>
    </row>
    <row r="7864" spans="9:9" x14ac:dyDescent="0.3">
      <c r="I7864" s="101"/>
    </row>
    <row r="7865" spans="9:9" x14ac:dyDescent="0.3">
      <c r="I7865" s="101"/>
    </row>
    <row r="7866" spans="9:9" x14ac:dyDescent="0.3">
      <c r="I7866" s="101"/>
    </row>
    <row r="7867" spans="9:9" x14ac:dyDescent="0.3">
      <c r="I7867" s="101"/>
    </row>
    <row r="7868" spans="9:9" x14ac:dyDescent="0.3">
      <c r="I7868" s="101"/>
    </row>
    <row r="7869" spans="9:9" x14ac:dyDescent="0.3">
      <c r="I7869" s="101"/>
    </row>
    <row r="7870" spans="9:9" x14ac:dyDescent="0.3">
      <c r="I7870" s="101"/>
    </row>
    <row r="7871" spans="9:9" x14ac:dyDescent="0.3">
      <c r="I7871" s="101"/>
    </row>
    <row r="7872" spans="9:9" x14ac:dyDescent="0.3">
      <c r="I7872" s="101"/>
    </row>
    <row r="7873" spans="9:9" x14ac:dyDescent="0.3">
      <c r="I7873" s="101"/>
    </row>
    <row r="7874" spans="9:9" x14ac:dyDescent="0.3">
      <c r="I7874" s="101"/>
    </row>
    <row r="7875" spans="9:9" x14ac:dyDescent="0.3">
      <c r="I7875" s="101"/>
    </row>
    <row r="7876" spans="9:9" x14ac:dyDescent="0.3">
      <c r="I7876" s="101"/>
    </row>
    <row r="7877" spans="9:9" x14ac:dyDescent="0.3">
      <c r="I7877" s="101"/>
    </row>
    <row r="7878" spans="9:9" x14ac:dyDescent="0.3">
      <c r="I7878" s="101"/>
    </row>
    <row r="7879" spans="9:9" x14ac:dyDescent="0.3">
      <c r="I7879" s="101"/>
    </row>
    <row r="7880" spans="9:9" x14ac:dyDescent="0.3">
      <c r="I7880" s="101"/>
    </row>
    <row r="7881" spans="9:9" x14ac:dyDescent="0.3">
      <c r="I7881" s="101"/>
    </row>
    <row r="7882" spans="9:9" x14ac:dyDescent="0.3">
      <c r="I7882" s="101"/>
    </row>
    <row r="7883" spans="9:9" x14ac:dyDescent="0.3">
      <c r="I7883" s="101"/>
    </row>
    <row r="7884" spans="9:9" x14ac:dyDescent="0.3">
      <c r="I7884" s="101"/>
    </row>
    <row r="7885" spans="9:9" x14ac:dyDescent="0.3">
      <c r="I7885" s="101"/>
    </row>
    <row r="7886" spans="9:9" x14ac:dyDescent="0.3">
      <c r="I7886" s="101"/>
    </row>
    <row r="7887" spans="9:9" x14ac:dyDescent="0.3">
      <c r="I7887" s="101"/>
    </row>
    <row r="7888" spans="9:9" x14ac:dyDescent="0.3">
      <c r="I7888" s="101"/>
    </row>
    <row r="7889" spans="9:9" x14ac:dyDescent="0.3">
      <c r="I7889" s="101"/>
    </row>
    <row r="7890" spans="9:9" x14ac:dyDescent="0.3">
      <c r="I7890" s="101"/>
    </row>
    <row r="7891" spans="9:9" x14ac:dyDescent="0.3">
      <c r="I7891" s="101"/>
    </row>
    <row r="7892" spans="9:9" x14ac:dyDescent="0.3">
      <c r="I7892" s="101"/>
    </row>
    <row r="7893" spans="9:9" x14ac:dyDescent="0.3">
      <c r="I7893" s="101"/>
    </row>
    <row r="7894" spans="9:9" x14ac:dyDescent="0.3">
      <c r="I7894" s="101"/>
    </row>
    <row r="7895" spans="9:9" x14ac:dyDescent="0.3">
      <c r="I7895" s="101"/>
    </row>
    <row r="7896" spans="9:9" x14ac:dyDescent="0.3">
      <c r="I7896" s="101"/>
    </row>
    <row r="7897" spans="9:9" x14ac:dyDescent="0.3">
      <c r="I7897" s="101"/>
    </row>
    <row r="7898" spans="9:9" x14ac:dyDescent="0.3">
      <c r="I7898" s="101"/>
    </row>
    <row r="7899" spans="9:9" x14ac:dyDescent="0.3">
      <c r="I7899" s="101"/>
    </row>
    <row r="7900" spans="9:9" x14ac:dyDescent="0.3">
      <c r="I7900" s="101"/>
    </row>
    <row r="7901" spans="9:9" x14ac:dyDescent="0.3">
      <c r="I7901" s="101"/>
    </row>
    <row r="7902" spans="9:9" x14ac:dyDescent="0.3">
      <c r="I7902" s="101"/>
    </row>
    <row r="7903" spans="9:9" x14ac:dyDescent="0.3">
      <c r="I7903" s="101"/>
    </row>
    <row r="7904" spans="9:9" x14ac:dyDescent="0.3">
      <c r="I7904" s="101"/>
    </row>
    <row r="7905" spans="9:9" x14ac:dyDescent="0.3">
      <c r="I7905" s="101"/>
    </row>
    <row r="7906" spans="9:9" x14ac:dyDescent="0.3">
      <c r="I7906" s="101"/>
    </row>
    <row r="7907" spans="9:9" x14ac:dyDescent="0.3">
      <c r="I7907" s="101"/>
    </row>
    <row r="7908" spans="9:9" x14ac:dyDescent="0.3">
      <c r="I7908" s="101"/>
    </row>
    <row r="7909" spans="9:9" x14ac:dyDescent="0.3">
      <c r="I7909" s="101"/>
    </row>
    <row r="7910" spans="9:9" x14ac:dyDescent="0.3">
      <c r="I7910" s="101"/>
    </row>
    <row r="7911" spans="9:9" x14ac:dyDescent="0.3">
      <c r="I7911" s="101"/>
    </row>
    <row r="7912" spans="9:9" x14ac:dyDescent="0.3">
      <c r="I7912" s="101"/>
    </row>
    <row r="7913" spans="9:9" x14ac:dyDescent="0.3">
      <c r="I7913" s="101"/>
    </row>
    <row r="7914" spans="9:9" x14ac:dyDescent="0.3">
      <c r="I7914" s="101"/>
    </row>
    <row r="7915" spans="9:9" x14ac:dyDescent="0.3">
      <c r="I7915" s="101"/>
    </row>
    <row r="7916" spans="9:9" x14ac:dyDescent="0.3">
      <c r="I7916" s="101"/>
    </row>
    <row r="7917" spans="9:9" x14ac:dyDescent="0.3">
      <c r="I7917" s="101"/>
    </row>
    <row r="7918" spans="9:9" x14ac:dyDescent="0.3">
      <c r="I7918" s="101"/>
    </row>
    <row r="7919" spans="9:9" x14ac:dyDescent="0.3">
      <c r="I7919" s="101"/>
    </row>
    <row r="7920" spans="9:9" x14ac:dyDescent="0.3">
      <c r="I7920" s="101"/>
    </row>
    <row r="7921" spans="9:9" x14ac:dyDescent="0.3">
      <c r="I7921" s="101"/>
    </row>
    <row r="7922" spans="9:9" x14ac:dyDescent="0.3">
      <c r="I7922" s="101"/>
    </row>
    <row r="7923" spans="9:9" x14ac:dyDescent="0.3">
      <c r="I7923" s="101"/>
    </row>
    <row r="7924" spans="9:9" x14ac:dyDescent="0.3">
      <c r="I7924" s="101"/>
    </row>
    <row r="7925" spans="9:9" x14ac:dyDescent="0.3">
      <c r="I7925" s="101"/>
    </row>
    <row r="7926" spans="9:9" x14ac:dyDescent="0.3">
      <c r="I7926" s="101"/>
    </row>
    <row r="7927" spans="9:9" x14ac:dyDescent="0.3">
      <c r="I7927" s="101"/>
    </row>
    <row r="7928" spans="9:9" x14ac:dyDescent="0.3">
      <c r="I7928" s="101"/>
    </row>
    <row r="7929" spans="9:9" x14ac:dyDescent="0.3">
      <c r="I7929" s="101"/>
    </row>
    <row r="7930" spans="9:9" x14ac:dyDescent="0.3">
      <c r="I7930" s="101"/>
    </row>
    <row r="7931" spans="9:9" x14ac:dyDescent="0.3">
      <c r="I7931" s="101"/>
    </row>
    <row r="7932" spans="9:9" x14ac:dyDescent="0.3">
      <c r="I7932" s="101"/>
    </row>
    <row r="7933" spans="9:9" x14ac:dyDescent="0.3">
      <c r="I7933" s="101"/>
    </row>
    <row r="7934" spans="9:9" x14ac:dyDescent="0.3">
      <c r="I7934" s="101"/>
    </row>
    <row r="7935" spans="9:9" x14ac:dyDescent="0.3">
      <c r="I7935" s="101"/>
    </row>
    <row r="7936" spans="9:9" x14ac:dyDescent="0.3">
      <c r="I7936" s="101"/>
    </row>
    <row r="7937" spans="9:9" x14ac:dyDescent="0.3">
      <c r="I7937" s="101"/>
    </row>
    <row r="7938" spans="9:9" x14ac:dyDescent="0.3">
      <c r="I7938" s="101"/>
    </row>
    <row r="7939" spans="9:9" x14ac:dyDescent="0.3">
      <c r="I7939" s="101"/>
    </row>
    <row r="7940" spans="9:9" x14ac:dyDescent="0.3">
      <c r="I7940" s="101"/>
    </row>
    <row r="7941" spans="9:9" x14ac:dyDescent="0.3">
      <c r="I7941" s="101"/>
    </row>
    <row r="7942" spans="9:9" x14ac:dyDescent="0.3">
      <c r="I7942" s="101"/>
    </row>
    <row r="7943" spans="9:9" x14ac:dyDescent="0.3">
      <c r="I7943" s="101"/>
    </row>
    <row r="7944" spans="9:9" x14ac:dyDescent="0.3">
      <c r="I7944" s="101"/>
    </row>
    <row r="7945" spans="9:9" x14ac:dyDescent="0.3">
      <c r="I7945" s="101"/>
    </row>
    <row r="7946" spans="9:9" x14ac:dyDescent="0.3">
      <c r="I7946" s="101"/>
    </row>
    <row r="7947" spans="9:9" x14ac:dyDescent="0.3">
      <c r="I7947" s="101"/>
    </row>
    <row r="7948" spans="9:9" x14ac:dyDescent="0.3">
      <c r="I7948" s="101"/>
    </row>
    <row r="7949" spans="9:9" x14ac:dyDescent="0.3">
      <c r="I7949" s="101"/>
    </row>
    <row r="7950" spans="9:9" x14ac:dyDescent="0.3">
      <c r="I7950" s="101"/>
    </row>
    <row r="7951" spans="9:9" x14ac:dyDescent="0.3">
      <c r="I7951" s="101"/>
    </row>
    <row r="7952" spans="9:9" x14ac:dyDescent="0.3">
      <c r="I7952" s="101"/>
    </row>
    <row r="7953" spans="9:9" x14ac:dyDescent="0.3">
      <c r="I7953" s="101"/>
    </row>
    <row r="7954" spans="9:9" x14ac:dyDescent="0.3">
      <c r="I7954" s="101"/>
    </row>
    <row r="7955" spans="9:9" x14ac:dyDescent="0.3">
      <c r="I7955" s="101"/>
    </row>
    <row r="7956" spans="9:9" x14ac:dyDescent="0.3">
      <c r="I7956" s="101"/>
    </row>
    <row r="7957" spans="9:9" x14ac:dyDescent="0.3">
      <c r="I7957" s="101"/>
    </row>
    <row r="7958" spans="9:9" x14ac:dyDescent="0.3">
      <c r="I7958" s="101"/>
    </row>
    <row r="7959" spans="9:9" x14ac:dyDescent="0.3">
      <c r="I7959" s="101"/>
    </row>
    <row r="7960" spans="9:9" x14ac:dyDescent="0.3">
      <c r="I7960" s="101"/>
    </row>
    <row r="7961" spans="9:9" x14ac:dyDescent="0.3">
      <c r="I7961" s="101"/>
    </row>
    <row r="7962" spans="9:9" x14ac:dyDescent="0.3">
      <c r="I7962" s="101"/>
    </row>
    <row r="7963" spans="9:9" x14ac:dyDescent="0.3">
      <c r="I7963" s="101"/>
    </row>
    <row r="7964" spans="9:9" x14ac:dyDescent="0.3">
      <c r="I7964" s="101"/>
    </row>
    <row r="7965" spans="9:9" x14ac:dyDescent="0.3">
      <c r="I7965" s="101"/>
    </row>
    <row r="7966" spans="9:9" x14ac:dyDescent="0.3">
      <c r="I7966" s="101"/>
    </row>
    <row r="7967" spans="9:9" x14ac:dyDescent="0.3">
      <c r="I7967" s="101"/>
    </row>
    <row r="7968" spans="9:9" x14ac:dyDescent="0.3">
      <c r="I7968" s="101"/>
    </row>
    <row r="7969" spans="9:9" x14ac:dyDescent="0.3">
      <c r="I7969" s="101"/>
    </row>
    <row r="7970" spans="9:9" x14ac:dyDescent="0.3">
      <c r="I7970" s="101"/>
    </row>
    <row r="7971" spans="9:9" x14ac:dyDescent="0.3">
      <c r="I7971" s="101"/>
    </row>
    <row r="7972" spans="9:9" x14ac:dyDescent="0.3">
      <c r="I7972" s="101"/>
    </row>
    <row r="7973" spans="9:9" x14ac:dyDescent="0.3">
      <c r="I7973" s="101"/>
    </row>
    <row r="7974" spans="9:9" x14ac:dyDescent="0.3">
      <c r="I7974" s="101"/>
    </row>
    <row r="7975" spans="9:9" x14ac:dyDescent="0.3">
      <c r="I7975" s="101"/>
    </row>
    <row r="7976" spans="9:9" x14ac:dyDescent="0.3">
      <c r="I7976" s="101"/>
    </row>
    <row r="7977" spans="9:9" x14ac:dyDescent="0.3">
      <c r="I7977" s="101"/>
    </row>
    <row r="7978" spans="9:9" x14ac:dyDescent="0.3">
      <c r="I7978" s="101"/>
    </row>
    <row r="7979" spans="9:9" x14ac:dyDescent="0.3">
      <c r="I7979" s="101"/>
    </row>
    <row r="7980" spans="9:9" x14ac:dyDescent="0.3">
      <c r="I7980" s="101"/>
    </row>
    <row r="7981" spans="9:9" x14ac:dyDescent="0.3">
      <c r="I7981" s="101"/>
    </row>
    <row r="7982" spans="9:9" x14ac:dyDescent="0.3">
      <c r="I7982" s="101"/>
    </row>
    <row r="7983" spans="9:9" x14ac:dyDescent="0.3">
      <c r="I7983" s="101"/>
    </row>
    <row r="7984" spans="9:9" x14ac:dyDescent="0.3">
      <c r="I7984" s="101"/>
    </row>
    <row r="7985" spans="9:9" x14ac:dyDescent="0.3">
      <c r="I7985" s="101"/>
    </row>
    <row r="7986" spans="9:9" x14ac:dyDescent="0.3">
      <c r="I7986" s="101"/>
    </row>
    <row r="7987" spans="9:9" x14ac:dyDescent="0.3">
      <c r="I7987" s="101"/>
    </row>
    <row r="7988" spans="9:9" x14ac:dyDescent="0.3">
      <c r="I7988" s="101"/>
    </row>
    <row r="7989" spans="9:9" x14ac:dyDescent="0.3">
      <c r="I7989" s="101"/>
    </row>
    <row r="7990" spans="9:9" x14ac:dyDescent="0.3">
      <c r="I7990" s="101"/>
    </row>
    <row r="7991" spans="9:9" x14ac:dyDescent="0.3">
      <c r="I7991" s="101"/>
    </row>
    <row r="7992" spans="9:9" x14ac:dyDescent="0.3">
      <c r="I7992" s="101"/>
    </row>
    <row r="7993" spans="9:9" x14ac:dyDescent="0.3">
      <c r="I7993" s="101"/>
    </row>
    <row r="7994" spans="9:9" x14ac:dyDescent="0.3">
      <c r="I7994" s="101"/>
    </row>
    <row r="7995" spans="9:9" x14ac:dyDescent="0.3">
      <c r="I7995" s="101"/>
    </row>
    <row r="7996" spans="9:9" x14ac:dyDescent="0.3">
      <c r="I7996" s="101"/>
    </row>
    <row r="7997" spans="9:9" x14ac:dyDescent="0.3">
      <c r="I7997" s="101"/>
    </row>
    <row r="7998" spans="9:9" x14ac:dyDescent="0.3">
      <c r="I7998" s="101"/>
    </row>
    <row r="7999" spans="9:9" x14ac:dyDescent="0.3">
      <c r="I7999" s="101"/>
    </row>
    <row r="8000" spans="9:9" x14ac:dyDescent="0.3">
      <c r="I8000" s="101"/>
    </row>
    <row r="8001" spans="9:9" x14ac:dyDescent="0.3">
      <c r="I8001" s="101"/>
    </row>
    <row r="8002" spans="9:9" x14ac:dyDescent="0.3">
      <c r="I8002" s="101"/>
    </row>
    <row r="8003" spans="9:9" x14ac:dyDescent="0.3">
      <c r="I8003" s="101"/>
    </row>
    <row r="8004" spans="9:9" x14ac:dyDescent="0.3">
      <c r="I8004" s="101"/>
    </row>
    <row r="8005" spans="9:9" x14ac:dyDescent="0.3">
      <c r="I8005" s="101"/>
    </row>
    <row r="8006" spans="9:9" x14ac:dyDescent="0.3">
      <c r="I8006" s="101"/>
    </row>
    <row r="8007" spans="9:9" x14ac:dyDescent="0.3">
      <c r="I8007" s="101"/>
    </row>
    <row r="8008" spans="9:9" x14ac:dyDescent="0.3">
      <c r="I8008" s="101"/>
    </row>
    <row r="8009" spans="9:9" x14ac:dyDescent="0.3">
      <c r="I8009" s="101"/>
    </row>
    <row r="8010" spans="9:9" x14ac:dyDescent="0.3">
      <c r="I8010" s="101"/>
    </row>
    <row r="8011" spans="9:9" x14ac:dyDescent="0.3">
      <c r="I8011" s="101"/>
    </row>
    <row r="8012" spans="9:9" x14ac:dyDescent="0.3">
      <c r="I8012" s="101"/>
    </row>
    <row r="8013" spans="9:9" x14ac:dyDescent="0.3">
      <c r="I8013" s="101"/>
    </row>
    <row r="8014" spans="9:9" x14ac:dyDescent="0.3">
      <c r="I8014" s="101"/>
    </row>
    <row r="8015" spans="9:9" x14ac:dyDescent="0.3">
      <c r="I8015" s="101"/>
    </row>
    <row r="8016" spans="9:9" x14ac:dyDescent="0.3">
      <c r="I8016" s="101"/>
    </row>
    <row r="8017" spans="9:9" x14ac:dyDescent="0.3">
      <c r="I8017" s="101"/>
    </row>
    <row r="8018" spans="9:9" x14ac:dyDescent="0.3">
      <c r="I8018" s="101"/>
    </row>
    <row r="8019" spans="9:9" x14ac:dyDescent="0.3">
      <c r="I8019" s="101"/>
    </row>
    <row r="8020" spans="9:9" x14ac:dyDescent="0.3">
      <c r="I8020" s="101"/>
    </row>
    <row r="8021" spans="9:9" x14ac:dyDescent="0.3">
      <c r="I8021" s="101"/>
    </row>
    <row r="8022" spans="9:9" x14ac:dyDescent="0.3">
      <c r="I8022" s="101"/>
    </row>
    <row r="8023" spans="9:9" x14ac:dyDescent="0.3">
      <c r="I8023" s="101"/>
    </row>
    <row r="8024" spans="9:9" x14ac:dyDescent="0.3">
      <c r="I8024" s="101"/>
    </row>
    <row r="8025" spans="9:9" x14ac:dyDescent="0.3">
      <c r="I8025" s="101"/>
    </row>
    <row r="8026" spans="9:9" x14ac:dyDescent="0.3">
      <c r="I8026" s="101"/>
    </row>
    <row r="8027" spans="9:9" x14ac:dyDescent="0.3">
      <c r="I8027" s="101"/>
    </row>
    <row r="8028" spans="9:9" x14ac:dyDescent="0.3">
      <c r="I8028" s="101"/>
    </row>
    <row r="8029" spans="9:9" x14ac:dyDescent="0.3">
      <c r="I8029" s="101"/>
    </row>
    <row r="8030" spans="9:9" x14ac:dyDescent="0.3">
      <c r="I8030" s="101"/>
    </row>
    <row r="8031" spans="9:9" x14ac:dyDescent="0.3">
      <c r="I8031" s="101"/>
    </row>
    <row r="8032" spans="9:9" x14ac:dyDescent="0.3">
      <c r="I8032" s="101"/>
    </row>
    <row r="8033" spans="9:9" x14ac:dyDescent="0.3">
      <c r="I8033" s="101"/>
    </row>
    <row r="8034" spans="9:9" x14ac:dyDescent="0.3">
      <c r="I8034" s="101"/>
    </row>
    <row r="8035" spans="9:9" x14ac:dyDescent="0.3">
      <c r="I8035" s="101"/>
    </row>
    <row r="8036" spans="9:9" x14ac:dyDescent="0.3">
      <c r="I8036" s="101"/>
    </row>
    <row r="8037" spans="9:9" x14ac:dyDescent="0.3">
      <c r="I8037" s="101"/>
    </row>
    <row r="8038" spans="9:9" x14ac:dyDescent="0.3">
      <c r="I8038" s="101"/>
    </row>
    <row r="8039" spans="9:9" x14ac:dyDescent="0.3">
      <c r="I8039" s="101"/>
    </row>
    <row r="8040" spans="9:9" x14ac:dyDescent="0.3">
      <c r="I8040" s="101"/>
    </row>
    <row r="8041" spans="9:9" x14ac:dyDescent="0.3">
      <c r="I8041" s="101"/>
    </row>
    <row r="8042" spans="9:9" x14ac:dyDescent="0.3">
      <c r="I8042" s="101"/>
    </row>
    <row r="8043" spans="9:9" x14ac:dyDescent="0.3">
      <c r="I8043" s="101"/>
    </row>
    <row r="8044" spans="9:9" x14ac:dyDescent="0.3">
      <c r="I8044" s="101"/>
    </row>
    <row r="8045" spans="9:9" x14ac:dyDescent="0.3">
      <c r="I8045" s="101"/>
    </row>
    <row r="8046" spans="9:9" x14ac:dyDescent="0.3">
      <c r="I8046" s="101"/>
    </row>
    <row r="8047" spans="9:9" x14ac:dyDescent="0.3">
      <c r="I8047" s="101"/>
    </row>
    <row r="8048" spans="9:9" x14ac:dyDescent="0.3">
      <c r="I8048" s="101"/>
    </row>
    <row r="8049" spans="9:9" x14ac:dyDescent="0.3">
      <c r="I8049" s="101"/>
    </row>
    <row r="8050" spans="9:9" x14ac:dyDescent="0.3">
      <c r="I8050" s="101"/>
    </row>
    <row r="8051" spans="9:9" x14ac:dyDescent="0.3">
      <c r="I8051" s="101"/>
    </row>
    <row r="8052" spans="9:9" x14ac:dyDescent="0.3">
      <c r="I8052" s="101"/>
    </row>
    <row r="8053" spans="9:9" x14ac:dyDescent="0.3">
      <c r="I8053" s="101"/>
    </row>
    <row r="8054" spans="9:9" x14ac:dyDescent="0.3">
      <c r="I8054" s="101"/>
    </row>
    <row r="8055" spans="9:9" x14ac:dyDescent="0.3">
      <c r="I8055" s="101"/>
    </row>
    <row r="8056" spans="9:9" x14ac:dyDescent="0.3">
      <c r="I8056" s="101"/>
    </row>
    <row r="8057" spans="9:9" x14ac:dyDescent="0.3">
      <c r="I8057" s="101"/>
    </row>
    <row r="8058" spans="9:9" x14ac:dyDescent="0.3">
      <c r="I8058" s="101"/>
    </row>
    <row r="8059" spans="9:9" x14ac:dyDescent="0.3">
      <c r="I8059" s="101"/>
    </row>
    <row r="8060" spans="9:9" x14ac:dyDescent="0.3">
      <c r="I8060" s="101"/>
    </row>
    <row r="8061" spans="9:9" x14ac:dyDescent="0.3">
      <c r="I8061" s="101"/>
    </row>
    <row r="8062" spans="9:9" x14ac:dyDescent="0.3">
      <c r="I8062" s="101"/>
    </row>
    <row r="8063" spans="9:9" x14ac:dyDescent="0.3">
      <c r="I8063" s="101"/>
    </row>
    <row r="8064" spans="9:9" x14ac:dyDescent="0.3">
      <c r="I8064" s="101"/>
    </row>
    <row r="8065" spans="9:9" x14ac:dyDescent="0.3">
      <c r="I8065" s="101"/>
    </row>
    <row r="8066" spans="9:9" x14ac:dyDescent="0.3">
      <c r="I8066" s="101"/>
    </row>
    <row r="8067" spans="9:9" x14ac:dyDescent="0.3">
      <c r="I8067" s="101"/>
    </row>
    <row r="8068" spans="9:9" x14ac:dyDescent="0.3">
      <c r="I8068" s="101"/>
    </row>
    <row r="8069" spans="9:9" x14ac:dyDescent="0.3">
      <c r="I8069" s="101"/>
    </row>
    <row r="8070" spans="9:9" x14ac:dyDescent="0.3">
      <c r="I8070" s="101"/>
    </row>
    <row r="8071" spans="9:9" x14ac:dyDescent="0.3">
      <c r="I8071" s="101"/>
    </row>
    <row r="8072" spans="9:9" x14ac:dyDescent="0.3">
      <c r="I8072" s="101"/>
    </row>
    <row r="8073" spans="9:9" x14ac:dyDescent="0.3">
      <c r="I8073" s="101"/>
    </row>
    <row r="8074" spans="9:9" x14ac:dyDescent="0.3">
      <c r="I8074" s="101"/>
    </row>
    <row r="8075" spans="9:9" x14ac:dyDescent="0.3">
      <c r="I8075" s="101"/>
    </row>
    <row r="8076" spans="9:9" x14ac:dyDescent="0.3">
      <c r="I8076" s="101"/>
    </row>
    <row r="8077" spans="9:9" x14ac:dyDescent="0.3">
      <c r="I8077" s="101"/>
    </row>
    <row r="8078" spans="9:9" x14ac:dyDescent="0.3">
      <c r="I8078" s="101"/>
    </row>
    <row r="8079" spans="9:9" x14ac:dyDescent="0.3">
      <c r="I8079" s="101"/>
    </row>
    <row r="8080" spans="9:9" x14ac:dyDescent="0.3">
      <c r="I8080" s="101"/>
    </row>
    <row r="8081" spans="9:9" x14ac:dyDescent="0.3">
      <c r="I8081" s="101"/>
    </row>
    <row r="8082" spans="9:9" x14ac:dyDescent="0.3">
      <c r="I8082" s="101"/>
    </row>
    <row r="8083" spans="9:9" x14ac:dyDescent="0.3">
      <c r="I8083" s="101"/>
    </row>
    <row r="8084" spans="9:9" x14ac:dyDescent="0.3">
      <c r="I8084" s="101"/>
    </row>
    <row r="8085" spans="9:9" x14ac:dyDescent="0.3">
      <c r="I8085" s="101"/>
    </row>
    <row r="8086" spans="9:9" x14ac:dyDescent="0.3">
      <c r="I8086" s="101"/>
    </row>
    <row r="8087" spans="9:9" x14ac:dyDescent="0.3">
      <c r="I8087" s="101"/>
    </row>
    <row r="8088" spans="9:9" x14ac:dyDescent="0.3">
      <c r="I8088" s="101"/>
    </row>
    <row r="8089" spans="9:9" x14ac:dyDescent="0.3">
      <c r="I8089" s="101"/>
    </row>
    <row r="8090" spans="9:9" x14ac:dyDescent="0.3">
      <c r="I8090" s="101"/>
    </row>
    <row r="8091" spans="9:9" x14ac:dyDescent="0.3">
      <c r="I8091" s="101"/>
    </row>
    <row r="8092" spans="9:9" x14ac:dyDescent="0.3">
      <c r="I8092" s="101"/>
    </row>
    <row r="8093" spans="9:9" x14ac:dyDescent="0.3">
      <c r="I8093" s="101"/>
    </row>
    <row r="8094" spans="9:9" x14ac:dyDescent="0.3">
      <c r="I8094" s="101"/>
    </row>
    <row r="8095" spans="9:9" x14ac:dyDescent="0.3">
      <c r="I8095" s="101"/>
    </row>
    <row r="8096" spans="9:9" x14ac:dyDescent="0.3">
      <c r="I8096" s="101"/>
    </row>
    <row r="8097" spans="9:9" x14ac:dyDescent="0.3">
      <c r="I8097" s="101"/>
    </row>
    <row r="8098" spans="9:9" x14ac:dyDescent="0.3">
      <c r="I8098" s="101"/>
    </row>
    <row r="8099" spans="9:9" x14ac:dyDescent="0.3">
      <c r="I8099" s="101"/>
    </row>
    <row r="8100" spans="9:9" x14ac:dyDescent="0.3">
      <c r="I8100" s="101"/>
    </row>
    <row r="8101" spans="9:9" x14ac:dyDescent="0.3">
      <c r="I8101" s="101"/>
    </row>
    <row r="8102" spans="9:9" x14ac:dyDescent="0.3">
      <c r="I8102" s="101"/>
    </row>
    <row r="8103" spans="9:9" x14ac:dyDescent="0.3">
      <c r="I8103" s="101"/>
    </row>
    <row r="8104" spans="9:9" x14ac:dyDescent="0.3">
      <c r="I8104" s="101"/>
    </row>
    <row r="8105" spans="9:9" x14ac:dyDescent="0.3">
      <c r="I8105" s="101"/>
    </row>
    <row r="8106" spans="9:9" x14ac:dyDescent="0.3">
      <c r="I8106" s="101"/>
    </row>
    <row r="8107" spans="9:9" x14ac:dyDescent="0.3">
      <c r="I8107" s="101"/>
    </row>
    <row r="8108" spans="9:9" x14ac:dyDescent="0.3">
      <c r="I8108" s="101"/>
    </row>
    <row r="8109" spans="9:9" x14ac:dyDescent="0.3">
      <c r="I8109" s="101"/>
    </row>
    <row r="8110" spans="9:9" x14ac:dyDescent="0.3">
      <c r="I8110" s="101"/>
    </row>
    <row r="8111" spans="9:9" x14ac:dyDescent="0.3">
      <c r="I8111" s="101"/>
    </row>
    <row r="8112" spans="9:9" x14ac:dyDescent="0.3">
      <c r="I8112" s="101"/>
    </row>
    <row r="8113" spans="9:9" x14ac:dyDescent="0.3">
      <c r="I8113" s="101"/>
    </row>
    <row r="8114" spans="9:9" x14ac:dyDescent="0.3">
      <c r="I8114" s="101"/>
    </row>
    <row r="8115" spans="9:9" x14ac:dyDescent="0.3">
      <c r="I8115" s="101"/>
    </row>
    <row r="8116" spans="9:9" x14ac:dyDescent="0.3">
      <c r="I8116" s="101"/>
    </row>
    <row r="8117" spans="9:9" x14ac:dyDescent="0.3">
      <c r="I8117" s="101"/>
    </row>
    <row r="8118" spans="9:9" x14ac:dyDescent="0.3">
      <c r="I8118" s="101"/>
    </row>
    <row r="8119" spans="9:9" x14ac:dyDescent="0.3">
      <c r="I8119" s="101"/>
    </row>
    <row r="8120" spans="9:9" x14ac:dyDescent="0.3">
      <c r="I8120" s="101"/>
    </row>
    <row r="8121" spans="9:9" x14ac:dyDescent="0.3">
      <c r="I8121" s="101"/>
    </row>
    <row r="8122" spans="9:9" x14ac:dyDescent="0.3">
      <c r="I8122" s="101"/>
    </row>
    <row r="8123" spans="9:9" x14ac:dyDescent="0.3">
      <c r="I8123" s="101"/>
    </row>
    <row r="8124" spans="9:9" x14ac:dyDescent="0.3">
      <c r="I8124" s="101"/>
    </row>
    <row r="8125" spans="9:9" x14ac:dyDescent="0.3">
      <c r="I8125" s="101"/>
    </row>
    <row r="8126" spans="9:9" x14ac:dyDescent="0.3">
      <c r="I8126" s="101"/>
    </row>
    <row r="8127" spans="9:9" x14ac:dyDescent="0.3">
      <c r="I8127" s="101"/>
    </row>
    <row r="8128" spans="9:9" x14ac:dyDescent="0.3">
      <c r="I8128" s="101"/>
    </row>
    <row r="8129" spans="9:9" x14ac:dyDescent="0.3">
      <c r="I8129" s="101"/>
    </row>
    <row r="8130" spans="9:9" x14ac:dyDescent="0.3">
      <c r="I8130" s="101"/>
    </row>
    <row r="8131" spans="9:9" x14ac:dyDescent="0.3">
      <c r="I8131" s="101"/>
    </row>
    <row r="8132" spans="9:9" x14ac:dyDescent="0.3">
      <c r="I8132" s="101"/>
    </row>
    <row r="8133" spans="9:9" x14ac:dyDescent="0.3">
      <c r="I8133" s="101"/>
    </row>
    <row r="8134" spans="9:9" x14ac:dyDescent="0.3">
      <c r="I8134" s="101"/>
    </row>
    <row r="8135" spans="9:9" x14ac:dyDescent="0.3">
      <c r="I8135" s="101"/>
    </row>
    <row r="8136" spans="9:9" x14ac:dyDescent="0.3">
      <c r="I8136" s="101"/>
    </row>
    <row r="8137" spans="9:9" x14ac:dyDescent="0.3">
      <c r="I8137" s="101"/>
    </row>
    <row r="8138" spans="9:9" x14ac:dyDescent="0.3">
      <c r="I8138" s="101"/>
    </row>
    <row r="8139" spans="9:9" x14ac:dyDescent="0.3">
      <c r="I8139" s="101"/>
    </row>
    <row r="8140" spans="9:9" x14ac:dyDescent="0.3">
      <c r="I8140" s="101"/>
    </row>
    <row r="8141" spans="9:9" x14ac:dyDescent="0.3">
      <c r="I8141" s="101"/>
    </row>
    <row r="8142" spans="9:9" x14ac:dyDescent="0.3">
      <c r="I8142" s="101"/>
    </row>
    <row r="8143" spans="9:9" x14ac:dyDescent="0.3">
      <c r="I8143" s="101"/>
    </row>
    <row r="8144" spans="9:9" x14ac:dyDescent="0.3">
      <c r="I8144" s="101"/>
    </row>
    <row r="8145" spans="9:9" x14ac:dyDescent="0.3">
      <c r="I8145" s="101"/>
    </row>
    <row r="8146" spans="9:9" x14ac:dyDescent="0.3">
      <c r="I8146" s="101"/>
    </row>
    <row r="8147" spans="9:9" x14ac:dyDescent="0.3">
      <c r="I8147" s="101"/>
    </row>
    <row r="8148" spans="9:9" x14ac:dyDescent="0.3">
      <c r="I8148" s="101"/>
    </row>
    <row r="8149" spans="9:9" x14ac:dyDescent="0.3">
      <c r="I8149" s="101"/>
    </row>
    <row r="8150" spans="9:9" x14ac:dyDescent="0.3">
      <c r="I8150" s="101"/>
    </row>
    <row r="8151" spans="9:9" x14ac:dyDescent="0.3">
      <c r="I8151" s="101"/>
    </row>
    <row r="8152" spans="9:9" x14ac:dyDescent="0.3">
      <c r="I8152" s="101"/>
    </row>
    <row r="8153" spans="9:9" x14ac:dyDescent="0.3">
      <c r="I8153" s="101"/>
    </row>
    <row r="8154" spans="9:9" x14ac:dyDescent="0.3">
      <c r="I8154" s="101"/>
    </row>
    <row r="8155" spans="9:9" x14ac:dyDescent="0.3">
      <c r="I8155" s="101"/>
    </row>
    <row r="8156" spans="9:9" x14ac:dyDescent="0.3">
      <c r="I8156" s="101"/>
    </row>
    <row r="8157" spans="9:9" x14ac:dyDescent="0.3">
      <c r="I8157" s="101"/>
    </row>
    <row r="8158" spans="9:9" x14ac:dyDescent="0.3">
      <c r="I8158" s="101"/>
    </row>
    <row r="8159" spans="9:9" x14ac:dyDescent="0.3">
      <c r="I8159" s="101"/>
    </row>
    <row r="8160" spans="9:9" x14ac:dyDescent="0.3">
      <c r="I8160" s="101"/>
    </row>
    <row r="8161" spans="9:9" x14ac:dyDescent="0.3">
      <c r="I8161" s="101"/>
    </row>
    <row r="8162" spans="9:9" x14ac:dyDescent="0.3">
      <c r="I8162" s="101"/>
    </row>
    <row r="8163" spans="9:9" x14ac:dyDescent="0.3">
      <c r="I8163" s="101"/>
    </row>
    <row r="8164" spans="9:9" x14ac:dyDescent="0.3">
      <c r="I8164" s="101"/>
    </row>
    <row r="8165" spans="9:9" x14ac:dyDescent="0.3">
      <c r="I8165" s="101"/>
    </row>
    <row r="8166" spans="9:9" x14ac:dyDescent="0.3">
      <c r="I8166" s="101"/>
    </row>
    <row r="8167" spans="9:9" x14ac:dyDescent="0.3">
      <c r="I8167" s="101"/>
    </row>
    <row r="8168" spans="9:9" x14ac:dyDescent="0.3">
      <c r="I8168" s="101"/>
    </row>
    <row r="8169" spans="9:9" x14ac:dyDescent="0.3">
      <c r="I8169" s="101"/>
    </row>
    <row r="8170" spans="9:9" x14ac:dyDescent="0.3">
      <c r="I8170" s="101"/>
    </row>
    <row r="8171" spans="9:9" x14ac:dyDescent="0.3">
      <c r="I8171" s="101"/>
    </row>
    <row r="8172" spans="9:9" x14ac:dyDescent="0.3">
      <c r="I8172" s="101"/>
    </row>
    <row r="8173" spans="9:9" x14ac:dyDescent="0.3">
      <c r="I8173" s="101"/>
    </row>
    <row r="8174" spans="9:9" x14ac:dyDescent="0.3">
      <c r="I8174" s="101"/>
    </row>
    <row r="8175" spans="9:9" x14ac:dyDescent="0.3">
      <c r="I8175" s="101"/>
    </row>
    <row r="8176" spans="9:9" x14ac:dyDescent="0.3">
      <c r="I8176" s="101"/>
    </row>
    <row r="8177" spans="9:9" x14ac:dyDescent="0.3">
      <c r="I8177" s="101"/>
    </row>
    <row r="8178" spans="9:9" x14ac:dyDescent="0.3">
      <c r="I8178" s="101"/>
    </row>
    <row r="8179" spans="9:9" x14ac:dyDescent="0.3">
      <c r="I8179" s="101"/>
    </row>
    <row r="8180" spans="9:9" x14ac:dyDescent="0.3">
      <c r="I8180" s="101"/>
    </row>
    <row r="8181" spans="9:9" x14ac:dyDescent="0.3">
      <c r="I8181" s="101"/>
    </row>
    <row r="8182" spans="9:9" x14ac:dyDescent="0.3">
      <c r="I8182" s="101"/>
    </row>
    <row r="8183" spans="9:9" x14ac:dyDescent="0.3">
      <c r="I8183" s="101"/>
    </row>
    <row r="8184" spans="9:9" x14ac:dyDescent="0.3">
      <c r="I8184" s="101"/>
    </row>
    <row r="8185" spans="9:9" x14ac:dyDescent="0.3">
      <c r="I8185" s="101"/>
    </row>
    <row r="8186" spans="9:9" x14ac:dyDescent="0.3">
      <c r="I8186" s="101"/>
    </row>
    <row r="8187" spans="9:9" x14ac:dyDescent="0.3">
      <c r="I8187" s="101"/>
    </row>
    <row r="8188" spans="9:9" x14ac:dyDescent="0.3">
      <c r="I8188" s="101"/>
    </row>
    <row r="8189" spans="9:9" x14ac:dyDescent="0.3">
      <c r="I8189" s="101"/>
    </row>
    <row r="8190" spans="9:9" x14ac:dyDescent="0.3">
      <c r="I8190" s="101"/>
    </row>
    <row r="8191" spans="9:9" x14ac:dyDescent="0.3">
      <c r="I8191" s="101"/>
    </row>
    <row r="8192" spans="9:9" x14ac:dyDescent="0.3">
      <c r="I8192" s="101"/>
    </row>
    <row r="8193" spans="9:9" x14ac:dyDescent="0.3">
      <c r="I8193" s="101"/>
    </row>
    <row r="8194" spans="9:9" x14ac:dyDescent="0.3">
      <c r="I8194" s="101"/>
    </row>
    <row r="8195" spans="9:9" x14ac:dyDescent="0.3">
      <c r="I8195" s="101"/>
    </row>
    <row r="8196" spans="9:9" x14ac:dyDescent="0.3">
      <c r="I8196" s="101"/>
    </row>
    <row r="8197" spans="9:9" x14ac:dyDescent="0.3">
      <c r="I8197" s="101"/>
    </row>
    <row r="8198" spans="9:9" x14ac:dyDescent="0.3">
      <c r="I8198" s="101"/>
    </row>
    <row r="8199" spans="9:9" x14ac:dyDescent="0.3">
      <c r="I8199" s="101"/>
    </row>
    <row r="8200" spans="9:9" x14ac:dyDescent="0.3">
      <c r="I8200" s="101"/>
    </row>
    <row r="8201" spans="9:9" x14ac:dyDescent="0.3">
      <c r="I8201" s="101"/>
    </row>
    <row r="8202" spans="9:9" x14ac:dyDescent="0.3">
      <c r="I8202" s="101"/>
    </row>
    <row r="8203" spans="9:9" x14ac:dyDescent="0.3">
      <c r="I8203" s="101"/>
    </row>
    <row r="8204" spans="9:9" x14ac:dyDescent="0.3">
      <c r="I8204" s="101"/>
    </row>
    <row r="8205" spans="9:9" x14ac:dyDescent="0.3">
      <c r="I8205" s="101"/>
    </row>
    <row r="8206" spans="9:9" x14ac:dyDescent="0.3">
      <c r="I8206" s="101"/>
    </row>
    <row r="8207" spans="9:9" x14ac:dyDescent="0.3">
      <c r="I8207" s="101"/>
    </row>
    <row r="8208" spans="9:9" x14ac:dyDescent="0.3">
      <c r="I8208" s="101"/>
    </row>
    <row r="8209" spans="9:9" x14ac:dyDescent="0.3">
      <c r="I8209" s="101"/>
    </row>
    <row r="8210" spans="9:9" x14ac:dyDescent="0.3">
      <c r="I8210" s="101"/>
    </row>
    <row r="8211" spans="9:9" x14ac:dyDescent="0.3">
      <c r="I8211" s="101"/>
    </row>
    <row r="8212" spans="9:9" x14ac:dyDescent="0.3">
      <c r="I8212" s="101"/>
    </row>
    <row r="8213" spans="9:9" x14ac:dyDescent="0.3">
      <c r="I8213" s="101"/>
    </row>
    <row r="8214" spans="9:9" x14ac:dyDescent="0.3">
      <c r="I8214" s="101"/>
    </row>
    <row r="8215" spans="9:9" x14ac:dyDescent="0.3">
      <c r="I8215" s="101"/>
    </row>
    <row r="8216" spans="9:9" x14ac:dyDescent="0.3">
      <c r="I8216" s="101"/>
    </row>
    <row r="8217" spans="9:9" x14ac:dyDescent="0.3">
      <c r="I8217" s="101"/>
    </row>
    <row r="8218" spans="9:9" x14ac:dyDescent="0.3">
      <c r="I8218" s="101"/>
    </row>
    <row r="8219" spans="9:9" x14ac:dyDescent="0.3">
      <c r="I8219" s="101"/>
    </row>
    <row r="8220" spans="9:9" x14ac:dyDescent="0.3">
      <c r="I8220" s="101"/>
    </row>
    <row r="8221" spans="9:9" x14ac:dyDescent="0.3">
      <c r="I8221" s="101"/>
    </row>
    <row r="8222" spans="9:9" x14ac:dyDescent="0.3">
      <c r="I8222" s="101"/>
    </row>
    <row r="8223" spans="9:9" x14ac:dyDescent="0.3">
      <c r="I8223" s="101"/>
    </row>
    <row r="8224" spans="9:9" x14ac:dyDescent="0.3">
      <c r="I8224" s="101"/>
    </row>
    <row r="8225" spans="9:9" x14ac:dyDescent="0.3">
      <c r="I8225" s="101"/>
    </row>
    <row r="8226" spans="9:9" x14ac:dyDescent="0.3">
      <c r="I8226" s="101"/>
    </row>
    <row r="8227" spans="9:9" x14ac:dyDescent="0.3">
      <c r="I8227" s="101"/>
    </row>
    <row r="8228" spans="9:9" x14ac:dyDescent="0.3">
      <c r="I8228" s="101"/>
    </row>
    <row r="8229" spans="9:9" x14ac:dyDescent="0.3">
      <c r="I8229" s="101"/>
    </row>
    <row r="8230" spans="9:9" x14ac:dyDescent="0.3">
      <c r="I8230" s="101"/>
    </row>
    <row r="8231" spans="9:9" x14ac:dyDescent="0.3">
      <c r="I8231" s="101"/>
    </row>
    <row r="8232" spans="9:9" x14ac:dyDescent="0.3">
      <c r="I8232" s="101"/>
    </row>
    <row r="8233" spans="9:9" x14ac:dyDescent="0.3">
      <c r="I8233" s="101"/>
    </row>
    <row r="8234" spans="9:9" x14ac:dyDescent="0.3">
      <c r="I8234" s="101"/>
    </row>
    <row r="8235" spans="9:9" x14ac:dyDescent="0.3">
      <c r="I8235" s="101"/>
    </row>
    <row r="8236" spans="9:9" x14ac:dyDescent="0.3">
      <c r="I8236" s="101"/>
    </row>
    <row r="8237" spans="9:9" x14ac:dyDescent="0.3">
      <c r="I8237" s="101"/>
    </row>
    <row r="8238" spans="9:9" x14ac:dyDescent="0.3">
      <c r="I8238" s="101"/>
    </row>
    <row r="8239" spans="9:9" x14ac:dyDescent="0.3">
      <c r="I8239" s="101"/>
    </row>
    <row r="8240" spans="9:9" x14ac:dyDescent="0.3">
      <c r="I8240" s="101"/>
    </row>
    <row r="8241" spans="9:9" x14ac:dyDescent="0.3">
      <c r="I8241" s="101"/>
    </row>
    <row r="8242" spans="9:9" x14ac:dyDescent="0.3">
      <c r="I8242" s="101"/>
    </row>
    <row r="8243" spans="9:9" x14ac:dyDescent="0.3">
      <c r="I8243" s="101"/>
    </row>
    <row r="8244" spans="9:9" x14ac:dyDescent="0.3">
      <c r="I8244" s="101"/>
    </row>
    <row r="8245" spans="9:9" x14ac:dyDescent="0.3">
      <c r="I8245" s="101"/>
    </row>
    <row r="8246" spans="9:9" x14ac:dyDescent="0.3">
      <c r="I8246" s="101"/>
    </row>
    <row r="8247" spans="9:9" x14ac:dyDescent="0.3">
      <c r="I8247" s="101"/>
    </row>
    <row r="8248" spans="9:9" x14ac:dyDescent="0.3">
      <c r="I8248" s="101"/>
    </row>
    <row r="8249" spans="9:9" x14ac:dyDescent="0.3">
      <c r="I8249" s="101"/>
    </row>
    <row r="8250" spans="9:9" x14ac:dyDescent="0.3">
      <c r="I8250" s="101"/>
    </row>
    <row r="8251" spans="9:9" x14ac:dyDescent="0.3">
      <c r="I8251" s="101"/>
    </row>
    <row r="8252" spans="9:9" x14ac:dyDescent="0.3">
      <c r="I8252" s="101"/>
    </row>
    <row r="8253" spans="9:9" x14ac:dyDescent="0.3">
      <c r="I8253" s="101"/>
    </row>
    <row r="8254" spans="9:9" x14ac:dyDescent="0.3">
      <c r="I8254" s="101"/>
    </row>
    <row r="8255" spans="9:9" x14ac:dyDescent="0.3">
      <c r="I8255" s="101"/>
    </row>
    <row r="8256" spans="9:9" x14ac:dyDescent="0.3">
      <c r="I8256" s="101"/>
    </row>
    <row r="8257" spans="9:9" x14ac:dyDescent="0.3">
      <c r="I8257" s="101"/>
    </row>
    <row r="8258" spans="9:9" x14ac:dyDescent="0.3">
      <c r="I8258" s="101"/>
    </row>
    <row r="8259" spans="9:9" x14ac:dyDescent="0.3">
      <c r="I8259" s="101"/>
    </row>
    <row r="8260" spans="9:9" x14ac:dyDescent="0.3">
      <c r="I8260" s="101"/>
    </row>
    <row r="8261" spans="9:9" x14ac:dyDescent="0.3">
      <c r="I8261" s="101"/>
    </row>
    <row r="8262" spans="9:9" x14ac:dyDescent="0.3">
      <c r="I8262" s="101"/>
    </row>
    <row r="8263" spans="9:9" x14ac:dyDescent="0.3">
      <c r="I8263" s="101"/>
    </row>
    <row r="8264" spans="9:9" x14ac:dyDescent="0.3">
      <c r="I8264" s="101"/>
    </row>
    <row r="8265" spans="9:9" x14ac:dyDescent="0.3">
      <c r="I8265" s="101"/>
    </row>
    <row r="8266" spans="9:9" x14ac:dyDescent="0.3">
      <c r="I8266" s="101"/>
    </row>
    <row r="8267" spans="9:9" x14ac:dyDescent="0.3">
      <c r="I8267" s="101"/>
    </row>
    <row r="8268" spans="9:9" x14ac:dyDescent="0.3">
      <c r="I8268" s="101"/>
    </row>
    <row r="8269" spans="9:9" x14ac:dyDescent="0.3">
      <c r="I8269" s="101"/>
    </row>
    <row r="8270" spans="9:9" x14ac:dyDescent="0.3">
      <c r="I8270" s="101"/>
    </row>
    <row r="8271" spans="9:9" x14ac:dyDescent="0.3">
      <c r="I8271" s="101"/>
    </row>
    <row r="8272" spans="9:9" x14ac:dyDescent="0.3">
      <c r="I8272" s="101"/>
    </row>
    <row r="8273" spans="9:9" x14ac:dyDescent="0.3">
      <c r="I8273" s="101"/>
    </row>
    <row r="8274" spans="9:9" x14ac:dyDescent="0.3">
      <c r="I8274" s="101"/>
    </row>
    <row r="8275" spans="9:9" x14ac:dyDescent="0.3">
      <c r="I8275" s="101"/>
    </row>
    <row r="8276" spans="9:9" x14ac:dyDescent="0.3">
      <c r="I8276" s="101"/>
    </row>
    <row r="8277" spans="9:9" x14ac:dyDescent="0.3">
      <c r="I8277" s="101"/>
    </row>
    <row r="8278" spans="9:9" x14ac:dyDescent="0.3">
      <c r="I8278" s="101"/>
    </row>
    <row r="8279" spans="9:9" x14ac:dyDescent="0.3">
      <c r="I8279" s="101"/>
    </row>
    <row r="8280" spans="9:9" x14ac:dyDescent="0.3">
      <c r="I8280" s="101"/>
    </row>
    <row r="8281" spans="9:9" x14ac:dyDescent="0.3">
      <c r="I8281" s="101"/>
    </row>
    <row r="8282" spans="9:9" x14ac:dyDescent="0.3">
      <c r="I8282" s="101"/>
    </row>
    <row r="8283" spans="9:9" x14ac:dyDescent="0.3">
      <c r="I8283" s="101"/>
    </row>
    <row r="8284" spans="9:9" x14ac:dyDescent="0.3">
      <c r="I8284" s="101"/>
    </row>
    <row r="8285" spans="9:9" x14ac:dyDescent="0.3">
      <c r="I8285" s="101"/>
    </row>
    <row r="8286" spans="9:9" x14ac:dyDescent="0.3">
      <c r="I8286" s="101"/>
    </row>
    <row r="8287" spans="9:9" x14ac:dyDescent="0.3">
      <c r="I8287" s="101"/>
    </row>
    <row r="8288" spans="9:9" x14ac:dyDescent="0.3">
      <c r="I8288" s="101"/>
    </row>
    <row r="8289" spans="9:9" x14ac:dyDescent="0.3">
      <c r="I8289" s="101"/>
    </row>
    <row r="8290" spans="9:9" x14ac:dyDescent="0.3">
      <c r="I8290" s="101"/>
    </row>
    <row r="8291" spans="9:9" x14ac:dyDescent="0.3">
      <c r="I8291" s="101"/>
    </row>
    <row r="8292" spans="9:9" x14ac:dyDescent="0.3">
      <c r="I8292" s="101"/>
    </row>
    <row r="8293" spans="9:9" x14ac:dyDescent="0.3">
      <c r="I8293" s="101"/>
    </row>
    <row r="8294" spans="9:9" x14ac:dyDescent="0.3">
      <c r="I8294" s="101"/>
    </row>
    <row r="8295" spans="9:9" x14ac:dyDescent="0.3">
      <c r="I8295" s="101"/>
    </row>
    <row r="8296" spans="9:9" x14ac:dyDescent="0.3">
      <c r="I8296" s="101"/>
    </row>
    <row r="8297" spans="9:9" x14ac:dyDescent="0.3">
      <c r="I8297" s="101"/>
    </row>
    <row r="8298" spans="9:9" x14ac:dyDescent="0.3">
      <c r="I8298" s="101"/>
    </row>
    <row r="8299" spans="9:9" x14ac:dyDescent="0.3">
      <c r="I8299" s="101"/>
    </row>
    <row r="8300" spans="9:9" x14ac:dyDescent="0.3">
      <c r="I8300" s="101"/>
    </row>
    <row r="8301" spans="9:9" x14ac:dyDescent="0.3">
      <c r="I8301" s="101"/>
    </row>
    <row r="8302" spans="9:9" x14ac:dyDescent="0.3">
      <c r="I8302" s="101"/>
    </row>
    <row r="8303" spans="9:9" x14ac:dyDescent="0.3">
      <c r="I8303" s="101"/>
    </row>
    <row r="8304" spans="9:9" x14ac:dyDescent="0.3">
      <c r="I8304" s="101"/>
    </row>
    <row r="8305" spans="9:9" x14ac:dyDescent="0.3">
      <c r="I8305" s="101"/>
    </row>
    <row r="8306" spans="9:9" x14ac:dyDescent="0.3">
      <c r="I8306" s="101"/>
    </row>
    <row r="8307" spans="9:9" x14ac:dyDescent="0.3">
      <c r="I8307" s="101"/>
    </row>
    <row r="8308" spans="9:9" x14ac:dyDescent="0.3">
      <c r="I8308" s="101"/>
    </row>
    <row r="8309" spans="9:9" x14ac:dyDescent="0.3">
      <c r="I8309" s="101"/>
    </row>
    <row r="8310" spans="9:9" x14ac:dyDescent="0.3">
      <c r="I8310" s="101"/>
    </row>
    <row r="8311" spans="9:9" x14ac:dyDescent="0.3">
      <c r="I8311" s="101"/>
    </row>
    <row r="8312" spans="9:9" x14ac:dyDescent="0.3">
      <c r="I8312" s="101"/>
    </row>
    <row r="8313" spans="9:9" x14ac:dyDescent="0.3">
      <c r="I8313" s="101"/>
    </row>
    <row r="8314" spans="9:9" x14ac:dyDescent="0.3">
      <c r="I8314" s="101"/>
    </row>
    <row r="8315" spans="9:9" x14ac:dyDescent="0.3">
      <c r="I8315" s="101"/>
    </row>
    <row r="8316" spans="9:9" x14ac:dyDescent="0.3">
      <c r="I8316" s="101"/>
    </row>
    <row r="8317" spans="9:9" x14ac:dyDescent="0.3">
      <c r="I8317" s="101"/>
    </row>
    <row r="8318" spans="9:9" x14ac:dyDescent="0.3">
      <c r="I8318" s="101"/>
    </row>
    <row r="8319" spans="9:9" x14ac:dyDescent="0.3">
      <c r="I8319" s="101"/>
    </row>
    <row r="8320" spans="9:9" x14ac:dyDescent="0.3">
      <c r="I8320" s="101"/>
    </row>
    <row r="8321" spans="9:9" x14ac:dyDescent="0.3">
      <c r="I8321" s="101"/>
    </row>
    <row r="8322" spans="9:9" x14ac:dyDescent="0.3">
      <c r="I8322" s="101"/>
    </row>
    <row r="8323" spans="9:9" x14ac:dyDescent="0.3">
      <c r="I8323" s="101"/>
    </row>
    <row r="8324" spans="9:9" x14ac:dyDescent="0.3">
      <c r="I8324" s="101"/>
    </row>
    <row r="8325" spans="9:9" x14ac:dyDescent="0.3">
      <c r="I8325" s="101"/>
    </row>
    <row r="8326" spans="9:9" x14ac:dyDescent="0.3">
      <c r="I8326" s="101"/>
    </row>
    <row r="8327" spans="9:9" x14ac:dyDescent="0.3">
      <c r="I8327" s="101"/>
    </row>
    <row r="8328" spans="9:9" x14ac:dyDescent="0.3">
      <c r="I8328" s="101"/>
    </row>
    <row r="8329" spans="9:9" x14ac:dyDescent="0.3">
      <c r="I8329" s="101"/>
    </row>
    <row r="8330" spans="9:9" x14ac:dyDescent="0.3">
      <c r="I8330" s="101"/>
    </row>
    <row r="8331" spans="9:9" x14ac:dyDescent="0.3">
      <c r="I8331" s="101"/>
    </row>
    <row r="8332" spans="9:9" x14ac:dyDescent="0.3">
      <c r="I8332" s="101"/>
    </row>
    <row r="8333" spans="9:9" x14ac:dyDescent="0.3">
      <c r="I8333" s="101"/>
    </row>
    <row r="8334" spans="9:9" x14ac:dyDescent="0.3">
      <c r="I8334" s="101"/>
    </row>
    <row r="8335" spans="9:9" x14ac:dyDescent="0.3">
      <c r="I8335" s="101"/>
    </row>
    <row r="8336" spans="9:9" x14ac:dyDescent="0.3">
      <c r="I8336" s="101"/>
    </row>
    <row r="8337" spans="9:9" x14ac:dyDescent="0.3">
      <c r="I8337" s="101"/>
    </row>
    <row r="8338" spans="9:9" x14ac:dyDescent="0.3">
      <c r="I8338" s="101"/>
    </row>
    <row r="8339" spans="9:9" x14ac:dyDescent="0.3">
      <c r="I8339" s="101"/>
    </row>
    <row r="8340" spans="9:9" x14ac:dyDescent="0.3">
      <c r="I8340" s="101"/>
    </row>
    <row r="8341" spans="9:9" x14ac:dyDescent="0.3">
      <c r="I8341" s="101"/>
    </row>
    <row r="8342" spans="9:9" x14ac:dyDescent="0.3">
      <c r="I8342" s="101"/>
    </row>
    <row r="8343" spans="9:9" x14ac:dyDescent="0.3">
      <c r="I8343" s="101"/>
    </row>
    <row r="8344" spans="9:9" x14ac:dyDescent="0.3">
      <c r="I8344" s="101"/>
    </row>
    <row r="8345" spans="9:9" x14ac:dyDescent="0.3">
      <c r="I8345" s="101"/>
    </row>
    <row r="8346" spans="9:9" x14ac:dyDescent="0.3">
      <c r="I8346" s="101"/>
    </row>
    <row r="8347" spans="9:9" x14ac:dyDescent="0.3">
      <c r="I8347" s="101"/>
    </row>
    <row r="8348" spans="9:9" x14ac:dyDescent="0.3">
      <c r="I8348" s="101"/>
    </row>
    <row r="8349" spans="9:9" x14ac:dyDescent="0.3">
      <c r="I8349" s="101"/>
    </row>
    <row r="8350" spans="9:9" x14ac:dyDescent="0.3">
      <c r="I8350" s="101"/>
    </row>
    <row r="8351" spans="9:9" x14ac:dyDescent="0.3">
      <c r="I8351" s="101"/>
    </row>
    <row r="8352" spans="9:9" x14ac:dyDescent="0.3">
      <c r="I8352" s="101"/>
    </row>
    <row r="8353" spans="9:9" x14ac:dyDescent="0.3">
      <c r="I8353" s="101"/>
    </row>
    <row r="8354" spans="9:9" x14ac:dyDescent="0.3">
      <c r="I8354" s="101"/>
    </row>
    <row r="8355" spans="9:9" x14ac:dyDescent="0.3">
      <c r="I8355" s="101"/>
    </row>
    <row r="8356" spans="9:9" x14ac:dyDescent="0.3">
      <c r="I8356" s="101"/>
    </row>
    <row r="8357" spans="9:9" x14ac:dyDescent="0.3">
      <c r="I8357" s="101"/>
    </row>
    <row r="8358" spans="9:9" x14ac:dyDescent="0.3">
      <c r="I8358" s="101"/>
    </row>
    <row r="8359" spans="9:9" x14ac:dyDescent="0.3">
      <c r="I8359" s="101"/>
    </row>
    <row r="8360" spans="9:9" x14ac:dyDescent="0.3">
      <c r="I8360" s="101"/>
    </row>
    <row r="8361" spans="9:9" x14ac:dyDescent="0.3">
      <c r="I8361" s="101"/>
    </row>
    <row r="8362" spans="9:9" x14ac:dyDescent="0.3">
      <c r="I8362" s="101"/>
    </row>
    <row r="8363" spans="9:9" x14ac:dyDescent="0.3">
      <c r="I8363" s="101"/>
    </row>
    <row r="8364" spans="9:9" x14ac:dyDescent="0.3">
      <c r="I8364" s="101"/>
    </row>
    <row r="8365" spans="9:9" x14ac:dyDescent="0.3">
      <c r="I8365" s="101"/>
    </row>
    <row r="8366" spans="9:9" x14ac:dyDescent="0.3">
      <c r="I8366" s="101"/>
    </row>
    <row r="8367" spans="9:9" x14ac:dyDescent="0.3">
      <c r="I8367" s="101"/>
    </row>
    <row r="8368" spans="9:9" x14ac:dyDescent="0.3">
      <c r="I8368" s="101"/>
    </row>
    <row r="8369" spans="9:9" x14ac:dyDescent="0.3">
      <c r="I8369" s="101"/>
    </row>
    <row r="8370" spans="9:9" x14ac:dyDescent="0.3">
      <c r="I8370" s="101"/>
    </row>
    <row r="8371" spans="9:9" x14ac:dyDescent="0.3">
      <c r="I8371" s="101"/>
    </row>
    <row r="8372" spans="9:9" x14ac:dyDescent="0.3">
      <c r="I8372" s="101"/>
    </row>
    <row r="8373" spans="9:9" x14ac:dyDescent="0.3">
      <c r="I8373" s="101"/>
    </row>
    <row r="8374" spans="9:9" x14ac:dyDescent="0.3">
      <c r="I8374" s="101"/>
    </row>
    <row r="8375" spans="9:9" x14ac:dyDescent="0.3">
      <c r="I8375" s="101"/>
    </row>
    <row r="8376" spans="9:9" x14ac:dyDescent="0.3">
      <c r="I8376" s="101"/>
    </row>
    <row r="8377" spans="9:9" x14ac:dyDescent="0.3">
      <c r="I8377" s="101"/>
    </row>
    <row r="8378" spans="9:9" x14ac:dyDescent="0.3">
      <c r="I8378" s="101"/>
    </row>
    <row r="8379" spans="9:9" x14ac:dyDescent="0.3">
      <c r="I8379" s="101"/>
    </row>
    <row r="8380" spans="9:9" x14ac:dyDescent="0.3">
      <c r="I8380" s="101"/>
    </row>
    <row r="8381" spans="9:9" x14ac:dyDescent="0.3">
      <c r="I8381" s="101"/>
    </row>
    <row r="8382" spans="9:9" x14ac:dyDescent="0.3">
      <c r="I8382" s="101"/>
    </row>
    <row r="8383" spans="9:9" x14ac:dyDescent="0.3">
      <c r="I8383" s="101"/>
    </row>
    <row r="8384" spans="9:9" x14ac:dyDescent="0.3">
      <c r="I8384" s="101"/>
    </row>
    <row r="8385" spans="9:9" x14ac:dyDescent="0.3">
      <c r="I8385" s="101"/>
    </row>
    <row r="8386" spans="9:9" x14ac:dyDescent="0.3">
      <c r="I8386" s="101"/>
    </row>
    <row r="8387" spans="9:9" x14ac:dyDescent="0.3">
      <c r="I8387" s="101"/>
    </row>
    <row r="8388" spans="9:9" x14ac:dyDescent="0.3">
      <c r="I8388" s="101"/>
    </row>
    <row r="8389" spans="9:9" x14ac:dyDescent="0.3">
      <c r="I8389" s="101"/>
    </row>
    <row r="8390" spans="9:9" x14ac:dyDescent="0.3">
      <c r="I8390" s="101"/>
    </row>
    <row r="8391" spans="9:9" x14ac:dyDescent="0.3">
      <c r="I8391" s="101"/>
    </row>
    <row r="8392" spans="9:9" x14ac:dyDescent="0.3">
      <c r="I8392" s="101"/>
    </row>
    <row r="8393" spans="9:9" x14ac:dyDescent="0.3">
      <c r="I8393" s="101"/>
    </row>
    <row r="8394" spans="9:9" x14ac:dyDescent="0.3">
      <c r="I8394" s="101"/>
    </row>
    <row r="8395" spans="9:9" x14ac:dyDescent="0.3">
      <c r="I8395" s="101"/>
    </row>
    <row r="8396" spans="9:9" x14ac:dyDescent="0.3">
      <c r="I8396" s="101"/>
    </row>
    <row r="8397" spans="9:9" x14ac:dyDescent="0.3">
      <c r="I8397" s="101"/>
    </row>
    <row r="8398" spans="9:9" x14ac:dyDescent="0.3">
      <c r="I8398" s="101"/>
    </row>
    <row r="8399" spans="9:9" x14ac:dyDescent="0.3">
      <c r="I8399" s="101"/>
    </row>
    <row r="8400" spans="9:9" x14ac:dyDescent="0.3">
      <c r="I8400" s="101"/>
    </row>
    <row r="8401" spans="9:9" x14ac:dyDescent="0.3">
      <c r="I8401" s="101"/>
    </row>
    <row r="8402" spans="9:9" x14ac:dyDescent="0.3">
      <c r="I8402" s="101"/>
    </row>
    <row r="8403" spans="9:9" x14ac:dyDescent="0.3">
      <c r="I8403" s="101"/>
    </row>
    <row r="8404" spans="9:9" x14ac:dyDescent="0.3">
      <c r="I8404" s="101"/>
    </row>
    <row r="8405" spans="9:9" x14ac:dyDescent="0.3">
      <c r="I8405" s="101"/>
    </row>
    <row r="8406" spans="9:9" x14ac:dyDescent="0.3">
      <c r="I8406" s="101"/>
    </row>
    <row r="8407" spans="9:9" x14ac:dyDescent="0.3">
      <c r="I8407" s="101"/>
    </row>
    <row r="8408" spans="9:9" x14ac:dyDescent="0.3">
      <c r="I8408" s="101"/>
    </row>
    <row r="8409" spans="9:9" x14ac:dyDescent="0.3">
      <c r="I8409" s="101"/>
    </row>
    <row r="8410" spans="9:9" x14ac:dyDescent="0.3">
      <c r="I8410" s="101"/>
    </row>
    <row r="8411" spans="9:9" x14ac:dyDescent="0.3">
      <c r="I8411" s="101"/>
    </row>
    <row r="8412" spans="9:9" x14ac:dyDescent="0.3">
      <c r="I8412" s="101"/>
    </row>
    <row r="8413" spans="9:9" x14ac:dyDescent="0.3">
      <c r="I8413" s="101"/>
    </row>
    <row r="8414" spans="9:9" x14ac:dyDescent="0.3">
      <c r="I8414" s="101"/>
    </row>
    <row r="8415" spans="9:9" x14ac:dyDescent="0.3">
      <c r="I8415" s="101"/>
    </row>
    <row r="8416" spans="9:9" x14ac:dyDescent="0.3">
      <c r="I8416" s="101"/>
    </row>
    <row r="8417" spans="9:9" x14ac:dyDescent="0.3">
      <c r="I8417" s="101"/>
    </row>
    <row r="8418" spans="9:9" x14ac:dyDescent="0.3">
      <c r="I8418" s="101"/>
    </row>
    <row r="8419" spans="9:9" x14ac:dyDescent="0.3">
      <c r="I8419" s="101"/>
    </row>
    <row r="8420" spans="9:9" x14ac:dyDescent="0.3">
      <c r="I8420" s="101"/>
    </row>
    <row r="8421" spans="9:9" x14ac:dyDescent="0.3">
      <c r="I8421" s="101"/>
    </row>
    <row r="8422" spans="9:9" x14ac:dyDescent="0.3">
      <c r="I8422" s="101"/>
    </row>
    <row r="8423" spans="9:9" x14ac:dyDescent="0.3">
      <c r="I8423" s="101"/>
    </row>
    <row r="8424" spans="9:9" x14ac:dyDescent="0.3">
      <c r="I8424" s="101"/>
    </row>
    <row r="8425" spans="9:9" x14ac:dyDescent="0.3">
      <c r="I8425" s="101"/>
    </row>
    <row r="8426" spans="9:9" x14ac:dyDescent="0.3">
      <c r="I8426" s="101"/>
    </row>
    <row r="8427" spans="9:9" x14ac:dyDescent="0.3">
      <c r="I8427" s="101"/>
    </row>
    <row r="8428" spans="9:9" x14ac:dyDescent="0.3">
      <c r="I8428" s="101"/>
    </row>
    <row r="8429" spans="9:9" x14ac:dyDescent="0.3">
      <c r="I8429" s="101"/>
    </row>
    <row r="8430" spans="9:9" x14ac:dyDescent="0.3">
      <c r="I8430" s="101"/>
    </row>
    <row r="8431" spans="9:9" x14ac:dyDescent="0.3">
      <c r="I8431" s="101"/>
    </row>
    <row r="8432" spans="9:9" x14ac:dyDescent="0.3">
      <c r="I8432" s="101"/>
    </row>
    <row r="8433" spans="9:9" x14ac:dyDescent="0.3">
      <c r="I8433" s="101"/>
    </row>
    <row r="8434" spans="9:9" x14ac:dyDescent="0.3">
      <c r="I8434" s="101"/>
    </row>
    <row r="8435" spans="9:9" x14ac:dyDescent="0.3">
      <c r="I8435" s="101"/>
    </row>
    <row r="8436" spans="9:9" x14ac:dyDescent="0.3">
      <c r="I8436" s="101"/>
    </row>
    <row r="8437" spans="9:9" x14ac:dyDescent="0.3">
      <c r="I8437" s="101"/>
    </row>
    <row r="8438" spans="9:9" x14ac:dyDescent="0.3">
      <c r="I8438" s="101"/>
    </row>
    <row r="8439" spans="9:9" x14ac:dyDescent="0.3">
      <c r="I8439" s="101"/>
    </row>
    <row r="8440" spans="9:9" x14ac:dyDescent="0.3">
      <c r="I8440" s="101"/>
    </row>
    <row r="8441" spans="9:9" x14ac:dyDescent="0.3">
      <c r="I8441" s="101"/>
    </row>
    <row r="8442" spans="9:9" x14ac:dyDescent="0.3">
      <c r="I8442" s="101"/>
    </row>
    <row r="8443" spans="9:9" x14ac:dyDescent="0.3">
      <c r="I8443" s="101"/>
    </row>
    <row r="8444" spans="9:9" x14ac:dyDescent="0.3">
      <c r="I8444" s="101"/>
    </row>
    <row r="8445" spans="9:9" x14ac:dyDescent="0.3">
      <c r="I8445" s="101"/>
    </row>
    <row r="8446" spans="9:9" x14ac:dyDescent="0.3">
      <c r="I8446" s="101"/>
    </row>
    <row r="8447" spans="9:9" x14ac:dyDescent="0.3">
      <c r="I8447" s="101"/>
    </row>
    <row r="8448" spans="9:9" x14ac:dyDescent="0.3">
      <c r="I8448" s="101"/>
    </row>
    <row r="8449" spans="9:9" x14ac:dyDescent="0.3">
      <c r="I8449" s="101"/>
    </row>
    <row r="8450" spans="9:9" x14ac:dyDescent="0.3">
      <c r="I8450" s="101"/>
    </row>
    <row r="8451" spans="9:9" x14ac:dyDescent="0.3">
      <c r="I8451" s="101"/>
    </row>
    <row r="8452" spans="9:9" x14ac:dyDescent="0.3">
      <c r="I8452" s="101"/>
    </row>
    <row r="8453" spans="9:9" x14ac:dyDescent="0.3">
      <c r="I8453" s="101"/>
    </row>
    <row r="8454" spans="9:9" x14ac:dyDescent="0.3">
      <c r="I8454" s="101"/>
    </row>
    <row r="8455" spans="9:9" x14ac:dyDescent="0.3">
      <c r="I8455" s="101"/>
    </row>
    <row r="8456" spans="9:9" x14ac:dyDescent="0.3">
      <c r="I8456" s="101"/>
    </row>
    <row r="8457" spans="9:9" x14ac:dyDescent="0.3">
      <c r="I8457" s="101"/>
    </row>
    <row r="8458" spans="9:9" x14ac:dyDescent="0.3">
      <c r="I8458" s="101"/>
    </row>
    <row r="8459" spans="9:9" x14ac:dyDescent="0.3">
      <c r="I8459" s="101"/>
    </row>
    <row r="8460" spans="9:9" x14ac:dyDescent="0.3">
      <c r="I8460" s="101"/>
    </row>
    <row r="8461" spans="9:9" x14ac:dyDescent="0.3">
      <c r="I8461" s="101"/>
    </row>
    <row r="8462" spans="9:9" x14ac:dyDescent="0.3">
      <c r="I8462" s="101"/>
    </row>
    <row r="8463" spans="9:9" x14ac:dyDescent="0.3">
      <c r="I8463" s="101"/>
    </row>
    <row r="8464" spans="9:9" x14ac:dyDescent="0.3">
      <c r="I8464" s="101"/>
    </row>
    <row r="8465" spans="9:9" x14ac:dyDescent="0.3">
      <c r="I8465" s="101"/>
    </row>
    <row r="8466" spans="9:9" x14ac:dyDescent="0.3">
      <c r="I8466" s="101"/>
    </row>
    <row r="8467" spans="9:9" x14ac:dyDescent="0.3">
      <c r="I8467" s="101"/>
    </row>
    <row r="8468" spans="9:9" x14ac:dyDescent="0.3">
      <c r="I8468" s="101"/>
    </row>
    <row r="8469" spans="9:9" x14ac:dyDescent="0.3">
      <c r="I8469" s="101"/>
    </row>
    <row r="8470" spans="9:9" x14ac:dyDescent="0.3">
      <c r="I8470" s="101"/>
    </row>
    <row r="8471" spans="9:9" x14ac:dyDescent="0.3">
      <c r="I8471" s="101"/>
    </row>
    <row r="8472" spans="9:9" x14ac:dyDescent="0.3">
      <c r="I8472" s="101"/>
    </row>
    <row r="8473" spans="9:9" x14ac:dyDescent="0.3">
      <c r="I8473" s="101"/>
    </row>
    <row r="8474" spans="9:9" x14ac:dyDescent="0.3">
      <c r="I8474" s="101"/>
    </row>
    <row r="8475" spans="9:9" x14ac:dyDescent="0.3">
      <c r="I8475" s="101"/>
    </row>
    <row r="8476" spans="9:9" x14ac:dyDescent="0.3">
      <c r="I8476" s="101"/>
    </row>
    <row r="8477" spans="9:9" x14ac:dyDescent="0.3">
      <c r="I8477" s="101"/>
    </row>
    <row r="8478" spans="9:9" x14ac:dyDescent="0.3">
      <c r="I8478" s="101"/>
    </row>
    <row r="8479" spans="9:9" x14ac:dyDescent="0.3">
      <c r="I8479" s="101"/>
    </row>
    <row r="8480" spans="9:9" x14ac:dyDescent="0.3">
      <c r="I8480" s="101"/>
    </row>
    <row r="8481" spans="9:9" x14ac:dyDescent="0.3">
      <c r="I8481" s="101"/>
    </row>
    <row r="8482" spans="9:9" x14ac:dyDescent="0.3">
      <c r="I8482" s="101"/>
    </row>
    <row r="8483" spans="9:9" x14ac:dyDescent="0.3">
      <c r="I8483" s="101"/>
    </row>
    <row r="8484" spans="9:9" x14ac:dyDescent="0.3">
      <c r="I8484" s="101"/>
    </row>
    <row r="8485" spans="9:9" x14ac:dyDescent="0.3">
      <c r="I8485" s="101"/>
    </row>
    <row r="8486" spans="9:9" x14ac:dyDescent="0.3">
      <c r="I8486" s="101"/>
    </row>
    <row r="8487" spans="9:9" x14ac:dyDescent="0.3">
      <c r="I8487" s="101"/>
    </row>
    <row r="8488" spans="9:9" x14ac:dyDescent="0.3">
      <c r="I8488" s="101"/>
    </row>
    <row r="8489" spans="9:9" x14ac:dyDescent="0.3">
      <c r="I8489" s="101"/>
    </row>
    <row r="8490" spans="9:9" x14ac:dyDescent="0.3">
      <c r="I8490" s="101"/>
    </row>
    <row r="8491" spans="9:9" x14ac:dyDescent="0.3">
      <c r="I8491" s="101"/>
    </row>
    <row r="8492" spans="9:9" x14ac:dyDescent="0.3">
      <c r="I8492" s="101"/>
    </row>
    <row r="8493" spans="9:9" x14ac:dyDescent="0.3">
      <c r="I8493" s="101"/>
    </row>
    <row r="8494" spans="9:9" x14ac:dyDescent="0.3">
      <c r="I8494" s="101"/>
    </row>
    <row r="8495" spans="9:9" x14ac:dyDescent="0.3">
      <c r="I8495" s="101"/>
    </row>
    <row r="8496" spans="9:9" x14ac:dyDescent="0.3">
      <c r="I8496" s="101"/>
    </row>
    <row r="8497" spans="9:9" x14ac:dyDescent="0.3">
      <c r="I8497" s="101"/>
    </row>
    <row r="8498" spans="9:9" x14ac:dyDescent="0.3">
      <c r="I8498" s="101"/>
    </row>
    <row r="8499" spans="9:9" x14ac:dyDescent="0.3">
      <c r="I8499" s="101"/>
    </row>
    <row r="8500" spans="9:9" x14ac:dyDescent="0.3">
      <c r="I8500" s="101"/>
    </row>
    <row r="8501" spans="9:9" x14ac:dyDescent="0.3">
      <c r="I8501" s="101"/>
    </row>
    <row r="8502" spans="9:9" x14ac:dyDescent="0.3">
      <c r="I8502" s="101"/>
    </row>
    <row r="8503" spans="9:9" x14ac:dyDescent="0.3">
      <c r="I8503" s="101"/>
    </row>
    <row r="8504" spans="9:9" x14ac:dyDescent="0.3">
      <c r="I8504" s="101"/>
    </row>
    <row r="8505" spans="9:9" x14ac:dyDescent="0.3">
      <c r="I8505" s="101"/>
    </row>
    <row r="8506" spans="9:9" x14ac:dyDescent="0.3">
      <c r="I8506" s="101"/>
    </row>
    <row r="8507" spans="9:9" x14ac:dyDescent="0.3">
      <c r="I8507" s="101"/>
    </row>
    <row r="8508" spans="9:9" x14ac:dyDescent="0.3">
      <c r="I8508" s="101"/>
    </row>
    <row r="8509" spans="9:9" x14ac:dyDescent="0.3">
      <c r="I8509" s="101"/>
    </row>
    <row r="8510" spans="9:9" x14ac:dyDescent="0.3">
      <c r="I8510" s="101"/>
    </row>
    <row r="8511" spans="9:9" x14ac:dyDescent="0.3">
      <c r="I8511" s="101"/>
    </row>
    <row r="8512" spans="9:9" x14ac:dyDescent="0.3">
      <c r="I8512" s="101"/>
    </row>
    <row r="8513" spans="9:9" x14ac:dyDescent="0.3">
      <c r="I8513" s="101"/>
    </row>
    <row r="8514" spans="9:9" x14ac:dyDescent="0.3">
      <c r="I8514" s="101"/>
    </row>
    <row r="8515" spans="9:9" x14ac:dyDescent="0.3">
      <c r="I8515" s="101"/>
    </row>
    <row r="8516" spans="9:9" x14ac:dyDescent="0.3">
      <c r="I8516" s="101"/>
    </row>
    <row r="8517" spans="9:9" x14ac:dyDescent="0.3">
      <c r="I8517" s="101"/>
    </row>
    <row r="8518" spans="9:9" x14ac:dyDescent="0.3">
      <c r="I8518" s="101"/>
    </row>
    <row r="8519" spans="9:9" x14ac:dyDescent="0.3">
      <c r="I8519" s="101"/>
    </row>
    <row r="8520" spans="9:9" x14ac:dyDescent="0.3">
      <c r="I8520" s="101"/>
    </row>
    <row r="8521" spans="9:9" x14ac:dyDescent="0.3">
      <c r="I8521" s="101"/>
    </row>
    <row r="8522" spans="9:9" x14ac:dyDescent="0.3">
      <c r="I8522" s="101"/>
    </row>
    <row r="8523" spans="9:9" x14ac:dyDescent="0.3">
      <c r="I8523" s="101"/>
    </row>
    <row r="8524" spans="9:9" x14ac:dyDescent="0.3">
      <c r="I8524" s="101"/>
    </row>
    <row r="8525" spans="9:9" x14ac:dyDescent="0.3">
      <c r="I8525" s="101"/>
    </row>
    <row r="8526" spans="9:9" x14ac:dyDescent="0.3">
      <c r="I8526" s="101"/>
    </row>
    <row r="8527" spans="9:9" x14ac:dyDescent="0.3">
      <c r="I8527" s="101"/>
    </row>
    <row r="8528" spans="9:9" x14ac:dyDescent="0.3">
      <c r="I8528" s="101"/>
    </row>
    <row r="8529" spans="9:9" x14ac:dyDescent="0.3">
      <c r="I8529" s="101"/>
    </row>
    <row r="8530" spans="9:9" x14ac:dyDescent="0.3">
      <c r="I8530" s="101"/>
    </row>
    <row r="8531" spans="9:9" x14ac:dyDescent="0.3">
      <c r="I8531" s="101"/>
    </row>
    <row r="8532" spans="9:9" x14ac:dyDescent="0.3">
      <c r="I8532" s="101"/>
    </row>
    <row r="8533" spans="9:9" x14ac:dyDescent="0.3">
      <c r="I8533" s="101"/>
    </row>
    <row r="8534" spans="9:9" x14ac:dyDescent="0.3">
      <c r="I8534" s="101"/>
    </row>
    <row r="8535" spans="9:9" x14ac:dyDescent="0.3">
      <c r="I8535" s="101"/>
    </row>
    <row r="8536" spans="9:9" x14ac:dyDescent="0.3">
      <c r="I8536" s="101"/>
    </row>
    <row r="8537" spans="9:9" x14ac:dyDescent="0.3">
      <c r="I8537" s="101"/>
    </row>
    <row r="8538" spans="9:9" x14ac:dyDescent="0.3">
      <c r="I8538" s="101"/>
    </row>
    <row r="8539" spans="9:9" x14ac:dyDescent="0.3">
      <c r="I8539" s="101"/>
    </row>
    <row r="8540" spans="9:9" x14ac:dyDescent="0.3">
      <c r="I8540" s="101"/>
    </row>
    <row r="8541" spans="9:9" x14ac:dyDescent="0.3">
      <c r="I8541" s="101"/>
    </row>
    <row r="8542" spans="9:9" x14ac:dyDescent="0.3">
      <c r="I8542" s="101"/>
    </row>
    <row r="8543" spans="9:9" x14ac:dyDescent="0.3">
      <c r="I8543" s="101"/>
    </row>
    <row r="8544" spans="9:9" x14ac:dyDescent="0.3">
      <c r="I8544" s="101"/>
    </row>
    <row r="8545" spans="9:9" x14ac:dyDescent="0.3">
      <c r="I8545" s="101"/>
    </row>
    <row r="8546" spans="9:9" x14ac:dyDescent="0.3">
      <c r="I8546" s="101"/>
    </row>
    <row r="8547" spans="9:9" x14ac:dyDescent="0.3">
      <c r="I8547" s="101"/>
    </row>
    <row r="8548" spans="9:9" x14ac:dyDescent="0.3">
      <c r="I8548" s="101"/>
    </row>
    <row r="8549" spans="9:9" x14ac:dyDescent="0.3">
      <c r="I8549" s="101"/>
    </row>
    <row r="8550" spans="9:9" x14ac:dyDescent="0.3">
      <c r="I8550" s="101"/>
    </row>
    <row r="8551" spans="9:9" x14ac:dyDescent="0.3">
      <c r="I8551" s="101"/>
    </row>
    <row r="8552" spans="9:9" x14ac:dyDescent="0.3">
      <c r="I8552" s="101"/>
    </row>
    <row r="8553" spans="9:9" x14ac:dyDescent="0.3">
      <c r="I8553" s="101"/>
    </row>
    <row r="8554" spans="9:9" x14ac:dyDescent="0.3">
      <c r="I8554" s="101"/>
    </row>
    <row r="8555" spans="9:9" x14ac:dyDescent="0.3">
      <c r="I8555" s="101"/>
    </row>
    <row r="8556" spans="9:9" x14ac:dyDescent="0.3">
      <c r="I8556" s="101"/>
    </row>
    <row r="8557" spans="9:9" x14ac:dyDescent="0.3">
      <c r="I8557" s="101"/>
    </row>
    <row r="8558" spans="9:9" x14ac:dyDescent="0.3">
      <c r="I8558" s="101"/>
    </row>
    <row r="8559" spans="9:9" x14ac:dyDescent="0.3">
      <c r="I8559" s="101"/>
    </row>
    <row r="8560" spans="9:9" x14ac:dyDescent="0.3">
      <c r="I8560" s="101"/>
    </row>
    <row r="8561" spans="9:9" x14ac:dyDescent="0.3">
      <c r="I8561" s="101"/>
    </row>
    <row r="8562" spans="9:9" x14ac:dyDescent="0.3">
      <c r="I8562" s="101"/>
    </row>
    <row r="8563" spans="9:9" x14ac:dyDescent="0.3">
      <c r="I8563" s="101"/>
    </row>
    <row r="8564" spans="9:9" x14ac:dyDescent="0.3">
      <c r="I8564" s="101"/>
    </row>
    <row r="8565" spans="9:9" x14ac:dyDescent="0.3">
      <c r="I8565" s="101"/>
    </row>
    <row r="8566" spans="9:9" x14ac:dyDescent="0.3">
      <c r="I8566" s="101"/>
    </row>
    <row r="8567" spans="9:9" x14ac:dyDescent="0.3">
      <c r="I8567" s="101"/>
    </row>
    <row r="8568" spans="9:9" x14ac:dyDescent="0.3">
      <c r="I8568" s="101"/>
    </row>
    <row r="8569" spans="9:9" x14ac:dyDescent="0.3">
      <c r="I8569" s="101"/>
    </row>
    <row r="8570" spans="9:9" x14ac:dyDescent="0.3">
      <c r="I8570" s="101"/>
    </row>
    <row r="8571" spans="9:9" x14ac:dyDescent="0.3">
      <c r="I8571" s="101"/>
    </row>
    <row r="8572" spans="9:9" x14ac:dyDescent="0.3">
      <c r="I8572" s="101"/>
    </row>
    <row r="8573" spans="9:9" x14ac:dyDescent="0.3">
      <c r="I8573" s="101"/>
    </row>
    <row r="8574" spans="9:9" x14ac:dyDescent="0.3">
      <c r="I8574" s="101"/>
    </row>
    <row r="8575" spans="9:9" x14ac:dyDescent="0.3">
      <c r="I8575" s="101"/>
    </row>
    <row r="8576" spans="9:9" x14ac:dyDescent="0.3">
      <c r="I8576" s="101"/>
    </row>
    <row r="8577" spans="9:9" x14ac:dyDescent="0.3">
      <c r="I8577" s="101"/>
    </row>
    <row r="8578" spans="9:9" x14ac:dyDescent="0.3">
      <c r="I8578" s="101"/>
    </row>
    <row r="8579" spans="9:9" x14ac:dyDescent="0.3">
      <c r="I8579" s="101"/>
    </row>
    <row r="8580" spans="9:9" x14ac:dyDescent="0.3">
      <c r="I8580" s="101"/>
    </row>
    <row r="8581" spans="9:9" x14ac:dyDescent="0.3">
      <c r="I8581" s="101"/>
    </row>
    <row r="8582" spans="9:9" x14ac:dyDescent="0.3">
      <c r="I8582" s="101"/>
    </row>
    <row r="8583" spans="9:9" x14ac:dyDescent="0.3">
      <c r="I8583" s="101"/>
    </row>
    <row r="8584" spans="9:9" x14ac:dyDescent="0.3">
      <c r="I8584" s="101"/>
    </row>
    <row r="8585" spans="9:9" x14ac:dyDescent="0.3">
      <c r="I8585" s="101"/>
    </row>
    <row r="8586" spans="9:9" x14ac:dyDescent="0.3">
      <c r="I8586" s="101"/>
    </row>
    <row r="8587" spans="9:9" x14ac:dyDescent="0.3">
      <c r="I8587" s="101"/>
    </row>
    <row r="8588" spans="9:9" x14ac:dyDescent="0.3">
      <c r="I8588" s="101"/>
    </row>
    <row r="8589" spans="9:9" x14ac:dyDescent="0.3">
      <c r="I8589" s="101"/>
    </row>
    <row r="8590" spans="9:9" x14ac:dyDescent="0.3">
      <c r="I8590" s="101"/>
    </row>
    <row r="8591" spans="9:9" x14ac:dyDescent="0.3">
      <c r="I8591" s="101"/>
    </row>
    <row r="8592" spans="9:9" x14ac:dyDescent="0.3">
      <c r="I8592" s="101"/>
    </row>
    <row r="8593" spans="9:9" x14ac:dyDescent="0.3">
      <c r="I8593" s="101"/>
    </row>
    <row r="8594" spans="9:9" x14ac:dyDescent="0.3">
      <c r="I8594" s="101"/>
    </row>
    <row r="8595" spans="9:9" x14ac:dyDescent="0.3">
      <c r="I8595" s="101"/>
    </row>
    <row r="8596" spans="9:9" x14ac:dyDescent="0.3">
      <c r="I8596" s="101"/>
    </row>
    <row r="8597" spans="9:9" x14ac:dyDescent="0.3">
      <c r="I8597" s="101"/>
    </row>
    <row r="8598" spans="9:9" x14ac:dyDescent="0.3">
      <c r="I8598" s="101"/>
    </row>
    <row r="8599" spans="9:9" x14ac:dyDescent="0.3">
      <c r="I8599" s="101"/>
    </row>
    <row r="8600" spans="9:9" x14ac:dyDescent="0.3">
      <c r="I8600" s="101"/>
    </row>
    <row r="8601" spans="9:9" x14ac:dyDescent="0.3">
      <c r="I8601" s="101"/>
    </row>
    <row r="8602" spans="9:9" x14ac:dyDescent="0.3">
      <c r="I8602" s="101"/>
    </row>
    <row r="8603" spans="9:9" x14ac:dyDescent="0.3">
      <c r="I8603" s="101"/>
    </row>
    <row r="8604" spans="9:9" x14ac:dyDescent="0.3">
      <c r="I8604" s="101"/>
    </row>
    <row r="8605" spans="9:9" x14ac:dyDescent="0.3">
      <c r="I8605" s="101"/>
    </row>
    <row r="8606" spans="9:9" x14ac:dyDescent="0.3">
      <c r="I8606" s="101"/>
    </row>
    <row r="8607" spans="9:9" x14ac:dyDescent="0.3">
      <c r="I8607" s="101"/>
    </row>
    <row r="8608" spans="9:9" x14ac:dyDescent="0.3">
      <c r="I8608" s="101"/>
    </row>
    <row r="8609" spans="9:9" x14ac:dyDescent="0.3">
      <c r="I8609" s="101"/>
    </row>
    <row r="8610" spans="9:9" x14ac:dyDescent="0.3">
      <c r="I8610" s="101"/>
    </row>
    <row r="8611" spans="9:9" x14ac:dyDescent="0.3">
      <c r="I8611" s="101"/>
    </row>
    <row r="8612" spans="9:9" x14ac:dyDescent="0.3">
      <c r="I8612" s="101"/>
    </row>
    <row r="8613" spans="9:9" x14ac:dyDescent="0.3">
      <c r="I8613" s="101"/>
    </row>
    <row r="8614" spans="9:9" x14ac:dyDescent="0.3">
      <c r="I8614" s="101"/>
    </row>
    <row r="8615" spans="9:9" x14ac:dyDescent="0.3">
      <c r="I8615" s="101"/>
    </row>
    <row r="8616" spans="9:9" x14ac:dyDescent="0.3">
      <c r="I8616" s="101"/>
    </row>
    <row r="8617" spans="9:9" x14ac:dyDescent="0.3">
      <c r="I8617" s="101"/>
    </row>
    <row r="8618" spans="9:9" x14ac:dyDescent="0.3">
      <c r="I8618" s="101"/>
    </row>
    <row r="8619" spans="9:9" x14ac:dyDescent="0.3">
      <c r="I8619" s="101"/>
    </row>
    <row r="8620" spans="9:9" x14ac:dyDescent="0.3">
      <c r="I8620" s="101"/>
    </row>
    <row r="8621" spans="9:9" x14ac:dyDescent="0.3">
      <c r="I8621" s="101"/>
    </row>
    <row r="8622" spans="9:9" x14ac:dyDescent="0.3">
      <c r="I8622" s="101"/>
    </row>
    <row r="8623" spans="9:9" x14ac:dyDescent="0.3">
      <c r="I8623" s="101"/>
    </row>
    <row r="8624" spans="9:9" x14ac:dyDescent="0.3">
      <c r="I8624" s="101"/>
    </row>
    <row r="8625" spans="9:9" x14ac:dyDescent="0.3">
      <c r="I8625" s="101"/>
    </row>
    <row r="8626" spans="9:9" x14ac:dyDescent="0.3">
      <c r="I8626" s="101"/>
    </row>
    <row r="8627" spans="9:9" x14ac:dyDescent="0.3">
      <c r="I8627" s="101"/>
    </row>
    <row r="8628" spans="9:9" x14ac:dyDescent="0.3">
      <c r="I8628" s="101"/>
    </row>
    <row r="8629" spans="9:9" x14ac:dyDescent="0.3">
      <c r="I8629" s="101"/>
    </row>
    <row r="8630" spans="9:9" x14ac:dyDescent="0.3">
      <c r="I8630" s="101"/>
    </row>
    <row r="8631" spans="9:9" x14ac:dyDescent="0.3">
      <c r="I8631" s="101"/>
    </row>
    <row r="8632" spans="9:9" x14ac:dyDescent="0.3">
      <c r="I8632" s="101"/>
    </row>
    <row r="8633" spans="9:9" x14ac:dyDescent="0.3">
      <c r="I8633" s="101"/>
    </row>
    <row r="8634" spans="9:9" x14ac:dyDescent="0.3">
      <c r="I8634" s="101"/>
    </row>
    <row r="8635" spans="9:9" x14ac:dyDescent="0.3">
      <c r="I8635" s="101"/>
    </row>
    <row r="8636" spans="9:9" x14ac:dyDescent="0.3">
      <c r="I8636" s="101"/>
    </row>
    <row r="8637" spans="9:9" x14ac:dyDescent="0.3">
      <c r="I8637" s="101"/>
    </row>
    <row r="8638" spans="9:9" x14ac:dyDescent="0.3">
      <c r="I8638" s="101"/>
    </row>
    <row r="8639" spans="9:9" x14ac:dyDescent="0.3">
      <c r="I8639" s="101"/>
    </row>
    <row r="8640" spans="9:9" x14ac:dyDescent="0.3">
      <c r="I8640" s="101"/>
    </row>
    <row r="8641" spans="9:9" x14ac:dyDescent="0.3">
      <c r="I8641" s="101"/>
    </row>
    <row r="8642" spans="9:9" x14ac:dyDescent="0.3">
      <c r="I8642" s="101"/>
    </row>
    <row r="8643" spans="9:9" x14ac:dyDescent="0.3">
      <c r="I8643" s="101"/>
    </row>
    <row r="8644" spans="9:9" x14ac:dyDescent="0.3">
      <c r="I8644" s="101"/>
    </row>
    <row r="8645" spans="9:9" x14ac:dyDescent="0.3">
      <c r="I8645" s="101"/>
    </row>
    <row r="8646" spans="9:9" x14ac:dyDescent="0.3">
      <c r="I8646" s="101"/>
    </row>
    <row r="8647" spans="9:9" x14ac:dyDescent="0.3">
      <c r="I8647" s="101"/>
    </row>
    <row r="8648" spans="9:9" x14ac:dyDescent="0.3">
      <c r="I8648" s="101"/>
    </row>
    <row r="8649" spans="9:9" x14ac:dyDescent="0.3">
      <c r="I8649" s="101"/>
    </row>
    <row r="8650" spans="9:9" x14ac:dyDescent="0.3">
      <c r="I8650" s="101"/>
    </row>
    <row r="8651" spans="9:9" x14ac:dyDescent="0.3">
      <c r="I8651" s="101"/>
    </row>
    <row r="8652" spans="9:9" x14ac:dyDescent="0.3">
      <c r="I8652" s="101"/>
    </row>
    <row r="8653" spans="9:9" x14ac:dyDescent="0.3">
      <c r="I8653" s="101"/>
    </row>
    <row r="8654" spans="9:9" x14ac:dyDescent="0.3">
      <c r="I8654" s="101"/>
    </row>
    <row r="8655" spans="9:9" x14ac:dyDescent="0.3">
      <c r="I8655" s="101"/>
    </row>
    <row r="8656" spans="9:9" x14ac:dyDescent="0.3">
      <c r="I8656" s="101"/>
    </row>
    <row r="8657" spans="9:9" x14ac:dyDescent="0.3">
      <c r="I8657" s="101"/>
    </row>
    <row r="8658" spans="9:9" x14ac:dyDescent="0.3">
      <c r="I8658" s="101"/>
    </row>
    <row r="8659" spans="9:9" x14ac:dyDescent="0.3">
      <c r="I8659" s="101"/>
    </row>
    <row r="8660" spans="9:9" x14ac:dyDescent="0.3">
      <c r="I8660" s="101"/>
    </row>
    <row r="8661" spans="9:9" x14ac:dyDescent="0.3">
      <c r="I8661" s="101"/>
    </row>
    <row r="8662" spans="9:9" x14ac:dyDescent="0.3">
      <c r="I8662" s="101"/>
    </row>
    <row r="8663" spans="9:9" x14ac:dyDescent="0.3">
      <c r="I8663" s="101"/>
    </row>
    <row r="8664" spans="9:9" x14ac:dyDescent="0.3">
      <c r="I8664" s="101"/>
    </row>
    <row r="8665" spans="9:9" x14ac:dyDescent="0.3">
      <c r="I8665" s="101"/>
    </row>
    <row r="8666" spans="9:9" x14ac:dyDescent="0.3">
      <c r="I8666" s="101"/>
    </row>
    <row r="8667" spans="9:9" x14ac:dyDescent="0.3">
      <c r="I8667" s="101"/>
    </row>
    <row r="8668" spans="9:9" x14ac:dyDescent="0.3">
      <c r="I8668" s="101"/>
    </row>
    <row r="8669" spans="9:9" x14ac:dyDescent="0.3">
      <c r="I8669" s="101"/>
    </row>
    <row r="8670" spans="9:9" x14ac:dyDescent="0.3">
      <c r="I8670" s="101"/>
    </row>
    <row r="8671" spans="9:9" x14ac:dyDescent="0.3">
      <c r="I8671" s="101"/>
    </row>
    <row r="8672" spans="9:9" x14ac:dyDescent="0.3">
      <c r="I8672" s="101"/>
    </row>
    <row r="8673" spans="9:9" x14ac:dyDescent="0.3">
      <c r="I8673" s="101"/>
    </row>
    <row r="8674" spans="9:9" x14ac:dyDescent="0.3">
      <c r="I8674" s="101"/>
    </row>
    <row r="8675" spans="9:9" x14ac:dyDescent="0.3">
      <c r="I8675" s="101"/>
    </row>
    <row r="8676" spans="9:9" x14ac:dyDescent="0.3">
      <c r="I8676" s="101"/>
    </row>
    <row r="8677" spans="9:9" x14ac:dyDescent="0.3">
      <c r="I8677" s="101"/>
    </row>
    <row r="8678" spans="9:9" x14ac:dyDescent="0.3">
      <c r="I8678" s="101"/>
    </row>
    <row r="8679" spans="9:9" x14ac:dyDescent="0.3">
      <c r="I8679" s="101"/>
    </row>
    <row r="8680" spans="9:9" x14ac:dyDescent="0.3">
      <c r="I8680" s="101"/>
    </row>
    <row r="8681" spans="9:9" x14ac:dyDescent="0.3">
      <c r="I8681" s="101"/>
    </row>
    <row r="8682" spans="9:9" x14ac:dyDescent="0.3">
      <c r="I8682" s="101"/>
    </row>
    <row r="8683" spans="9:9" x14ac:dyDescent="0.3">
      <c r="I8683" s="101"/>
    </row>
    <row r="8684" spans="9:9" x14ac:dyDescent="0.3">
      <c r="I8684" s="101"/>
    </row>
    <row r="8685" spans="9:9" x14ac:dyDescent="0.3">
      <c r="I8685" s="101"/>
    </row>
    <row r="8686" spans="9:9" x14ac:dyDescent="0.3">
      <c r="I8686" s="101"/>
    </row>
    <row r="8687" spans="9:9" x14ac:dyDescent="0.3">
      <c r="I8687" s="101"/>
    </row>
    <row r="8688" spans="9:9" x14ac:dyDescent="0.3">
      <c r="I8688" s="101"/>
    </row>
    <row r="8689" spans="9:9" x14ac:dyDescent="0.3">
      <c r="I8689" s="101"/>
    </row>
    <row r="8690" spans="9:9" x14ac:dyDescent="0.3">
      <c r="I8690" s="101"/>
    </row>
    <row r="8691" spans="9:9" x14ac:dyDescent="0.3">
      <c r="I8691" s="101"/>
    </row>
    <row r="8692" spans="9:9" x14ac:dyDescent="0.3">
      <c r="I8692" s="101"/>
    </row>
    <row r="8693" spans="9:9" x14ac:dyDescent="0.3">
      <c r="I8693" s="101"/>
    </row>
    <row r="8694" spans="9:9" x14ac:dyDescent="0.3">
      <c r="I8694" s="101"/>
    </row>
    <row r="8695" spans="9:9" x14ac:dyDescent="0.3">
      <c r="I8695" s="101"/>
    </row>
    <row r="8696" spans="9:9" x14ac:dyDescent="0.3">
      <c r="I8696" s="101"/>
    </row>
    <row r="8697" spans="9:9" x14ac:dyDescent="0.3">
      <c r="I8697" s="101"/>
    </row>
    <row r="8698" spans="9:9" x14ac:dyDescent="0.3">
      <c r="I8698" s="101"/>
    </row>
    <row r="8699" spans="9:9" x14ac:dyDescent="0.3">
      <c r="I8699" s="101"/>
    </row>
    <row r="8700" spans="9:9" x14ac:dyDescent="0.3">
      <c r="I8700" s="101"/>
    </row>
    <row r="8701" spans="9:9" x14ac:dyDescent="0.3">
      <c r="I8701" s="101"/>
    </row>
    <row r="8702" spans="9:9" x14ac:dyDescent="0.3">
      <c r="I8702" s="101"/>
    </row>
    <row r="8703" spans="9:9" x14ac:dyDescent="0.3">
      <c r="I8703" s="101"/>
    </row>
    <row r="8704" spans="9:9" x14ac:dyDescent="0.3">
      <c r="I8704" s="101"/>
    </row>
    <row r="8705" spans="9:9" x14ac:dyDescent="0.3">
      <c r="I8705" s="101"/>
    </row>
    <row r="8706" spans="9:9" x14ac:dyDescent="0.3">
      <c r="I8706" s="101"/>
    </row>
    <row r="8707" spans="9:9" x14ac:dyDescent="0.3">
      <c r="I8707" s="101"/>
    </row>
    <row r="8708" spans="9:9" x14ac:dyDescent="0.3">
      <c r="I8708" s="101"/>
    </row>
    <row r="8709" spans="9:9" x14ac:dyDescent="0.3">
      <c r="I8709" s="101"/>
    </row>
    <row r="8710" spans="9:9" x14ac:dyDescent="0.3">
      <c r="I8710" s="101"/>
    </row>
    <row r="8711" spans="9:9" x14ac:dyDescent="0.3">
      <c r="I8711" s="101"/>
    </row>
    <row r="8712" spans="9:9" x14ac:dyDescent="0.3">
      <c r="I8712" s="101"/>
    </row>
    <row r="8713" spans="9:9" x14ac:dyDescent="0.3">
      <c r="I8713" s="101"/>
    </row>
    <row r="8714" spans="9:9" x14ac:dyDescent="0.3">
      <c r="I8714" s="101"/>
    </row>
    <row r="8715" spans="9:9" x14ac:dyDescent="0.3">
      <c r="I8715" s="101"/>
    </row>
    <row r="8716" spans="9:9" x14ac:dyDescent="0.3">
      <c r="I8716" s="101"/>
    </row>
    <row r="8717" spans="9:9" x14ac:dyDescent="0.3">
      <c r="I8717" s="101"/>
    </row>
    <row r="8718" spans="9:9" x14ac:dyDescent="0.3">
      <c r="I8718" s="101"/>
    </row>
    <row r="8719" spans="9:9" x14ac:dyDescent="0.3">
      <c r="I8719" s="101"/>
    </row>
    <row r="8720" spans="9:9" x14ac:dyDescent="0.3">
      <c r="I8720" s="101"/>
    </row>
    <row r="8721" spans="9:9" x14ac:dyDescent="0.3">
      <c r="I8721" s="101"/>
    </row>
    <row r="8722" spans="9:9" x14ac:dyDescent="0.3">
      <c r="I8722" s="101"/>
    </row>
    <row r="8723" spans="9:9" x14ac:dyDescent="0.3">
      <c r="I8723" s="101"/>
    </row>
    <row r="8724" spans="9:9" x14ac:dyDescent="0.3">
      <c r="I8724" s="101"/>
    </row>
    <row r="8725" spans="9:9" x14ac:dyDescent="0.3">
      <c r="I8725" s="101"/>
    </row>
    <row r="8726" spans="9:9" x14ac:dyDescent="0.3">
      <c r="I8726" s="101"/>
    </row>
    <row r="8727" spans="9:9" x14ac:dyDescent="0.3">
      <c r="I8727" s="101"/>
    </row>
    <row r="8728" spans="9:9" x14ac:dyDescent="0.3">
      <c r="I8728" s="101"/>
    </row>
    <row r="8729" spans="9:9" x14ac:dyDescent="0.3">
      <c r="I8729" s="101"/>
    </row>
    <row r="8730" spans="9:9" x14ac:dyDescent="0.3">
      <c r="I8730" s="101"/>
    </row>
    <row r="8731" spans="9:9" x14ac:dyDescent="0.3">
      <c r="I8731" s="101"/>
    </row>
    <row r="8732" spans="9:9" x14ac:dyDescent="0.3">
      <c r="I8732" s="101"/>
    </row>
    <row r="8733" spans="9:9" x14ac:dyDescent="0.3">
      <c r="I8733" s="101"/>
    </row>
    <row r="8734" spans="9:9" x14ac:dyDescent="0.3">
      <c r="I8734" s="101"/>
    </row>
    <row r="8735" spans="9:9" x14ac:dyDescent="0.3">
      <c r="I8735" s="101"/>
    </row>
    <row r="8736" spans="9:9" x14ac:dyDescent="0.3">
      <c r="I8736" s="101"/>
    </row>
    <row r="8737" spans="9:9" x14ac:dyDescent="0.3">
      <c r="I8737" s="101"/>
    </row>
    <row r="8738" spans="9:9" x14ac:dyDescent="0.3">
      <c r="I8738" s="101"/>
    </row>
    <row r="8739" spans="9:9" x14ac:dyDescent="0.3">
      <c r="I8739" s="101"/>
    </row>
    <row r="8740" spans="9:9" x14ac:dyDescent="0.3">
      <c r="I8740" s="101"/>
    </row>
    <row r="8741" spans="9:9" x14ac:dyDescent="0.3">
      <c r="I8741" s="101"/>
    </row>
    <row r="8742" spans="9:9" x14ac:dyDescent="0.3">
      <c r="I8742" s="101"/>
    </row>
    <row r="8743" spans="9:9" x14ac:dyDescent="0.3">
      <c r="I8743" s="101"/>
    </row>
    <row r="8744" spans="9:9" x14ac:dyDescent="0.3">
      <c r="I8744" s="101"/>
    </row>
    <row r="8745" spans="9:9" x14ac:dyDescent="0.3">
      <c r="I8745" s="101"/>
    </row>
    <row r="8746" spans="9:9" x14ac:dyDescent="0.3">
      <c r="I8746" s="101"/>
    </row>
    <row r="8747" spans="9:9" x14ac:dyDescent="0.3">
      <c r="I8747" s="101"/>
    </row>
    <row r="8748" spans="9:9" x14ac:dyDescent="0.3">
      <c r="I8748" s="101"/>
    </row>
    <row r="8749" spans="9:9" x14ac:dyDescent="0.3">
      <c r="I8749" s="101"/>
    </row>
    <row r="8750" spans="9:9" x14ac:dyDescent="0.3">
      <c r="I8750" s="101"/>
    </row>
    <row r="8751" spans="9:9" x14ac:dyDescent="0.3">
      <c r="I8751" s="101"/>
    </row>
    <row r="8752" spans="9:9" x14ac:dyDescent="0.3">
      <c r="I8752" s="101"/>
    </row>
    <row r="8753" spans="9:9" x14ac:dyDescent="0.3">
      <c r="I8753" s="101"/>
    </row>
    <row r="8754" spans="9:9" x14ac:dyDescent="0.3">
      <c r="I8754" s="101"/>
    </row>
    <row r="8755" spans="9:9" x14ac:dyDescent="0.3">
      <c r="I8755" s="101"/>
    </row>
    <row r="8756" spans="9:9" x14ac:dyDescent="0.3">
      <c r="I8756" s="101"/>
    </row>
    <row r="8757" spans="9:9" x14ac:dyDescent="0.3">
      <c r="I8757" s="101"/>
    </row>
    <row r="8758" spans="9:9" x14ac:dyDescent="0.3">
      <c r="I8758" s="101"/>
    </row>
    <row r="8759" spans="9:9" x14ac:dyDescent="0.3">
      <c r="I8759" s="101"/>
    </row>
    <row r="8760" spans="9:9" x14ac:dyDescent="0.3">
      <c r="I8760" s="101"/>
    </row>
    <row r="8761" spans="9:9" x14ac:dyDescent="0.3">
      <c r="I8761" s="101"/>
    </row>
    <row r="8762" spans="9:9" x14ac:dyDescent="0.3">
      <c r="I8762" s="101"/>
    </row>
    <row r="8763" spans="9:9" x14ac:dyDescent="0.3">
      <c r="I8763" s="101"/>
    </row>
    <row r="8764" spans="9:9" x14ac:dyDescent="0.3">
      <c r="I8764" s="101"/>
    </row>
    <row r="8765" spans="9:9" x14ac:dyDescent="0.3">
      <c r="I8765" s="101"/>
    </row>
    <row r="8766" spans="9:9" x14ac:dyDescent="0.3">
      <c r="I8766" s="101"/>
    </row>
    <row r="8767" spans="9:9" x14ac:dyDescent="0.3">
      <c r="I8767" s="101"/>
    </row>
    <row r="8768" spans="9:9" x14ac:dyDescent="0.3">
      <c r="I8768" s="101"/>
    </row>
    <row r="8769" spans="9:9" x14ac:dyDescent="0.3">
      <c r="I8769" s="101"/>
    </row>
    <row r="8770" spans="9:9" x14ac:dyDescent="0.3">
      <c r="I8770" s="101"/>
    </row>
    <row r="8771" spans="9:9" x14ac:dyDescent="0.3">
      <c r="I8771" s="101"/>
    </row>
    <row r="8772" spans="9:9" x14ac:dyDescent="0.3">
      <c r="I8772" s="101"/>
    </row>
    <row r="8773" spans="9:9" x14ac:dyDescent="0.3">
      <c r="I8773" s="101"/>
    </row>
    <row r="8774" spans="9:9" x14ac:dyDescent="0.3">
      <c r="I8774" s="101"/>
    </row>
    <row r="8775" spans="9:9" x14ac:dyDescent="0.3">
      <c r="I8775" s="101"/>
    </row>
    <row r="8776" spans="9:9" x14ac:dyDescent="0.3">
      <c r="I8776" s="101"/>
    </row>
    <row r="8777" spans="9:9" x14ac:dyDescent="0.3">
      <c r="I8777" s="101"/>
    </row>
    <row r="8778" spans="9:9" x14ac:dyDescent="0.3">
      <c r="I8778" s="101"/>
    </row>
    <row r="8779" spans="9:9" x14ac:dyDescent="0.3">
      <c r="I8779" s="101"/>
    </row>
    <row r="8780" spans="9:9" x14ac:dyDescent="0.3">
      <c r="I8780" s="101"/>
    </row>
    <row r="8781" spans="9:9" x14ac:dyDescent="0.3">
      <c r="I8781" s="101"/>
    </row>
    <row r="8782" spans="9:9" x14ac:dyDescent="0.3">
      <c r="I8782" s="101"/>
    </row>
    <row r="8783" spans="9:9" x14ac:dyDescent="0.3">
      <c r="I8783" s="101"/>
    </row>
    <row r="8784" spans="9:9" x14ac:dyDescent="0.3">
      <c r="I8784" s="101"/>
    </row>
    <row r="8785" spans="9:9" x14ac:dyDescent="0.3">
      <c r="I8785" s="101"/>
    </row>
    <row r="8786" spans="9:9" x14ac:dyDescent="0.3">
      <c r="I8786" s="101"/>
    </row>
    <row r="8787" spans="9:9" x14ac:dyDescent="0.3">
      <c r="I8787" s="101"/>
    </row>
    <row r="8788" spans="9:9" x14ac:dyDescent="0.3">
      <c r="I8788" s="101"/>
    </row>
    <row r="8789" spans="9:9" x14ac:dyDescent="0.3">
      <c r="I8789" s="101"/>
    </row>
    <row r="8790" spans="9:9" x14ac:dyDescent="0.3">
      <c r="I8790" s="101"/>
    </row>
    <row r="8791" spans="9:9" x14ac:dyDescent="0.3">
      <c r="I8791" s="101"/>
    </row>
    <row r="8792" spans="9:9" x14ac:dyDescent="0.3">
      <c r="I8792" s="101"/>
    </row>
    <row r="8793" spans="9:9" x14ac:dyDescent="0.3">
      <c r="I8793" s="101"/>
    </row>
    <row r="8794" spans="9:9" x14ac:dyDescent="0.3">
      <c r="I8794" s="101"/>
    </row>
    <row r="8795" spans="9:9" x14ac:dyDescent="0.3">
      <c r="I8795" s="101"/>
    </row>
    <row r="8796" spans="9:9" x14ac:dyDescent="0.3">
      <c r="I8796" s="101"/>
    </row>
    <row r="8797" spans="9:9" x14ac:dyDescent="0.3">
      <c r="I8797" s="101"/>
    </row>
    <row r="8798" spans="9:9" x14ac:dyDescent="0.3">
      <c r="I8798" s="101"/>
    </row>
    <row r="8799" spans="9:9" x14ac:dyDescent="0.3">
      <c r="I8799" s="101"/>
    </row>
    <row r="8800" spans="9:9" x14ac:dyDescent="0.3">
      <c r="I8800" s="101"/>
    </row>
    <row r="8801" spans="9:9" x14ac:dyDescent="0.3">
      <c r="I8801" s="101"/>
    </row>
    <row r="8802" spans="9:9" x14ac:dyDescent="0.3">
      <c r="I8802" s="101"/>
    </row>
    <row r="8803" spans="9:9" x14ac:dyDescent="0.3">
      <c r="I8803" s="101"/>
    </row>
    <row r="8804" spans="9:9" x14ac:dyDescent="0.3">
      <c r="I8804" s="101"/>
    </row>
    <row r="8805" spans="9:9" x14ac:dyDescent="0.3">
      <c r="I8805" s="101"/>
    </row>
    <row r="8806" spans="9:9" x14ac:dyDescent="0.3">
      <c r="I8806" s="101"/>
    </row>
    <row r="8807" spans="9:9" x14ac:dyDescent="0.3">
      <c r="I8807" s="101"/>
    </row>
    <row r="8808" spans="9:9" x14ac:dyDescent="0.3">
      <c r="I8808" s="101"/>
    </row>
    <row r="8809" spans="9:9" x14ac:dyDescent="0.3">
      <c r="I8809" s="101"/>
    </row>
    <row r="8810" spans="9:9" x14ac:dyDescent="0.3">
      <c r="I8810" s="101"/>
    </row>
    <row r="8811" spans="9:9" x14ac:dyDescent="0.3">
      <c r="I8811" s="101"/>
    </row>
    <row r="8812" spans="9:9" x14ac:dyDescent="0.3">
      <c r="I8812" s="101"/>
    </row>
    <row r="8813" spans="9:9" x14ac:dyDescent="0.3">
      <c r="I8813" s="101"/>
    </row>
    <row r="8814" spans="9:9" x14ac:dyDescent="0.3">
      <c r="I8814" s="101"/>
    </row>
    <row r="8815" spans="9:9" x14ac:dyDescent="0.3">
      <c r="I8815" s="101"/>
    </row>
    <row r="8816" spans="9:9" x14ac:dyDescent="0.3">
      <c r="I8816" s="101"/>
    </row>
    <row r="8817" spans="9:9" x14ac:dyDescent="0.3">
      <c r="I8817" s="101"/>
    </row>
    <row r="8818" spans="9:9" x14ac:dyDescent="0.3">
      <c r="I8818" s="101"/>
    </row>
    <row r="8819" spans="9:9" x14ac:dyDescent="0.3">
      <c r="I8819" s="101"/>
    </row>
    <row r="8820" spans="9:9" x14ac:dyDescent="0.3">
      <c r="I8820" s="101"/>
    </row>
    <row r="8821" spans="9:9" x14ac:dyDescent="0.3">
      <c r="I8821" s="101"/>
    </row>
    <row r="8822" spans="9:9" x14ac:dyDescent="0.3">
      <c r="I8822" s="101"/>
    </row>
    <row r="8823" spans="9:9" x14ac:dyDescent="0.3">
      <c r="I8823" s="101"/>
    </row>
    <row r="8824" spans="9:9" x14ac:dyDescent="0.3">
      <c r="I8824" s="101"/>
    </row>
    <row r="8825" spans="9:9" x14ac:dyDescent="0.3">
      <c r="I8825" s="101"/>
    </row>
    <row r="8826" spans="9:9" x14ac:dyDescent="0.3">
      <c r="I8826" s="101"/>
    </row>
    <row r="8827" spans="9:9" x14ac:dyDescent="0.3">
      <c r="I8827" s="101"/>
    </row>
    <row r="8828" spans="9:9" x14ac:dyDescent="0.3">
      <c r="I8828" s="101"/>
    </row>
    <row r="8829" spans="9:9" x14ac:dyDescent="0.3">
      <c r="I8829" s="101"/>
    </row>
    <row r="8830" spans="9:9" x14ac:dyDescent="0.3">
      <c r="I8830" s="101"/>
    </row>
    <row r="8831" spans="9:9" x14ac:dyDescent="0.3">
      <c r="I8831" s="101"/>
    </row>
    <row r="8832" spans="9:9" x14ac:dyDescent="0.3">
      <c r="I8832" s="101"/>
    </row>
    <row r="8833" spans="9:9" x14ac:dyDescent="0.3">
      <c r="I8833" s="101"/>
    </row>
    <row r="8834" spans="9:9" x14ac:dyDescent="0.3">
      <c r="I8834" s="101"/>
    </row>
    <row r="8835" spans="9:9" x14ac:dyDescent="0.3">
      <c r="I8835" s="101"/>
    </row>
    <row r="8836" spans="9:9" x14ac:dyDescent="0.3">
      <c r="I8836" s="101"/>
    </row>
    <row r="8837" spans="9:9" x14ac:dyDescent="0.3">
      <c r="I8837" s="101"/>
    </row>
    <row r="8838" spans="9:9" x14ac:dyDescent="0.3">
      <c r="I8838" s="101"/>
    </row>
    <row r="8839" spans="9:9" x14ac:dyDescent="0.3">
      <c r="I8839" s="101"/>
    </row>
    <row r="8840" spans="9:9" x14ac:dyDescent="0.3">
      <c r="I8840" s="101"/>
    </row>
    <row r="8841" spans="9:9" x14ac:dyDescent="0.3">
      <c r="I8841" s="101"/>
    </row>
    <row r="8842" spans="9:9" x14ac:dyDescent="0.3">
      <c r="I8842" s="101"/>
    </row>
    <row r="8843" spans="9:9" x14ac:dyDescent="0.3">
      <c r="I8843" s="101"/>
    </row>
    <row r="8844" spans="9:9" x14ac:dyDescent="0.3">
      <c r="I8844" s="101"/>
    </row>
    <row r="8845" spans="9:9" x14ac:dyDescent="0.3">
      <c r="I8845" s="101"/>
    </row>
    <row r="8846" spans="9:9" x14ac:dyDescent="0.3">
      <c r="I8846" s="101"/>
    </row>
    <row r="8847" spans="9:9" x14ac:dyDescent="0.3">
      <c r="I8847" s="101"/>
    </row>
    <row r="8848" spans="9:9" x14ac:dyDescent="0.3">
      <c r="I8848" s="101"/>
    </row>
    <row r="8849" spans="9:9" x14ac:dyDescent="0.3">
      <c r="I8849" s="101"/>
    </row>
    <row r="8850" spans="9:9" x14ac:dyDescent="0.3">
      <c r="I8850" s="101"/>
    </row>
    <row r="8851" spans="9:9" x14ac:dyDescent="0.3">
      <c r="I8851" s="101"/>
    </row>
    <row r="8852" spans="9:9" x14ac:dyDescent="0.3">
      <c r="I8852" s="101"/>
    </row>
    <row r="8853" spans="9:9" x14ac:dyDescent="0.3">
      <c r="I8853" s="101"/>
    </row>
    <row r="8854" spans="9:9" x14ac:dyDescent="0.3">
      <c r="I8854" s="101"/>
    </row>
    <row r="8855" spans="9:9" x14ac:dyDescent="0.3">
      <c r="I8855" s="101"/>
    </row>
    <row r="8856" spans="9:9" x14ac:dyDescent="0.3">
      <c r="I8856" s="101"/>
    </row>
    <row r="8857" spans="9:9" x14ac:dyDescent="0.3">
      <c r="I8857" s="101"/>
    </row>
    <row r="8858" spans="9:9" x14ac:dyDescent="0.3">
      <c r="I8858" s="101"/>
    </row>
    <row r="8859" spans="9:9" x14ac:dyDescent="0.3">
      <c r="I8859" s="101"/>
    </row>
    <row r="8860" spans="9:9" x14ac:dyDescent="0.3">
      <c r="I8860" s="101"/>
    </row>
    <row r="8861" spans="9:9" x14ac:dyDescent="0.3">
      <c r="I8861" s="101"/>
    </row>
    <row r="8862" spans="9:9" x14ac:dyDescent="0.3">
      <c r="I8862" s="101"/>
    </row>
    <row r="8863" spans="9:9" x14ac:dyDescent="0.3">
      <c r="I8863" s="101"/>
    </row>
    <row r="8864" spans="9:9" x14ac:dyDescent="0.3">
      <c r="I8864" s="101"/>
    </row>
    <row r="8865" spans="9:9" x14ac:dyDescent="0.3">
      <c r="I8865" s="101"/>
    </row>
    <row r="8866" spans="9:9" x14ac:dyDescent="0.3">
      <c r="I8866" s="101"/>
    </row>
    <row r="8867" spans="9:9" x14ac:dyDescent="0.3">
      <c r="I8867" s="101"/>
    </row>
    <row r="8868" spans="9:9" x14ac:dyDescent="0.3">
      <c r="I8868" s="101"/>
    </row>
    <row r="8869" spans="9:9" x14ac:dyDescent="0.3">
      <c r="I8869" s="101"/>
    </row>
    <row r="8870" spans="9:9" x14ac:dyDescent="0.3">
      <c r="I8870" s="101"/>
    </row>
    <row r="8871" spans="9:9" x14ac:dyDescent="0.3">
      <c r="I8871" s="101"/>
    </row>
    <row r="8872" spans="9:9" x14ac:dyDescent="0.3">
      <c r="I8872" s="101"/>
    </row>
    <row r="8873" spans="9:9" x14ac:dyDescent="0.3">
      <c r="I8873" s="101"/>
    </row>
    <row r="8874" spans="9:9" x14ac:dyDescent="0.3">
      <c r="I8874" s="101"/>
    </row>
    <row r="8875" spans="9:9" x14ac:dyDescent="0.3">
      <c r="I8875" s="101"/>
    </row>
    <row r="8876" spans="9:9" x14ac:dyDescent="0.3">
      <c r="I8876" s="101"/>
    </row>
    <row r="8877" spans="9:9" x14ac:dyDescent="0.3">
      <c r="I8877" s="101"/>
    </row>
    <row r="8878" spans="9:9" x14ac:dyDescent="0.3">
      <c r="I8878" s="101"/>
    </row>
    <row r="8879" spans="9:9" x14ac:dyDescent="0.3">
      <c r="I8879" s="101"/>
    </row>
    <row r="8880" spans="9:9" x14ac:dyDescent="0.3">
      <c r="I8880" s="101"/>
    </row>
    <row r="8881" spans="9:9" x14ac:dyDescent="0.3">
      <c r="I8881" s="101"/>
    </row>
    <row r="8882" spans="9:9" x14ac:dyDescent="0.3">
      <c r="I8882" s="101"/>
    </row>
    <row r="8883" spans="9:9" x14ac:dyDescent="0.3">
      <c r="I8883" s="101"/>
    </row>
    <row r="8884" spans="9:9" x14ac:dyDescent="0.3">
      <c r="I8884" s="101"/>
    </row>
    <row r="8885" spans="9:9" x14ac:dyDescent="0.3">
      <c r="I8885" s="101"/>
    </row>
    <row r="8886" spans="9:9" x14ac:dyDescent="0.3">
      <c r="I8886" s="101"/>
    </row>
    <row r="8887" spans="9:9" x14ac:dyDescent="0.3">
      <c r="I8887" s="101"/>
    </row>
    <row r="8888" spans="9:9" x14ac:dyDescent="0.3">
      <c r="I8888" s="101"/>
    </row>
    <row r="8889" spans="9:9" x14ac:dyDescent="0.3">
      <c r="I8889" s="101"/>
    </row>
    <row r="8890" spans="9:9" x14ac:dyDescent="0.3">
      <c r="I8890" s="101"/>
    </row>
    <row r="8891" spans="9:9" x14ac:dyDescent="0.3">
      <c r="I8891" s="101"/>
    </row>
    <row r="8892" spans="9:9" x14ac:dyDescent="0.3">
      <c r="I8892" s="101"/>
    </row>
    <row r="8893" spans="9:9" x14ac:dyDescent="0.3">
      <c r="I8893" s="101"/>
    </row>
    <row r="8894" spans="9:9" x14ac:dyDescent="0.3">
      <c r="I8894" s="101"/>
    </row>
    <row r="8895" spans="9:9" x14ac:dyDescent="0.3">
      <c r="I8895" s="101"/>
    </row>
    <row r="8896" spans="9:9" x14ac:dyDescent="0.3">
      <c r="I8896" s="101"/>
    </row>
    <row r="8897" spans="9:9" x14ac:dyDescent="0.3">
      <c r="I8897" s="101"/>
    </row>
    <row r="8898" spans="9:9" x14ac:dyDescent="0.3">
      <c r="I8898" s="101"/>
    </row>
    <row r="8899" spans="9:9" x14ac:dyDescent="0.3">
      <c r="I8899" s="101"/>
    </row>
    <row r="8900" spans="9:9" x14ac:dyDescent="0.3">
      <c r="I8900" s="101"/>
    </row>
    <row r="8901" spans="9:9" x14ac:dyDescent="0.3">
      <c r="I8901" s="101"/>
    </row>
    <row r="8902" spans="9:9" x14ac:dyDescent="0.3">
      <c r="I8902" s="101"/>
    </row>
    <row r="8903" spans="9:9" x14ac:dyDescent="0.3">
      <c r="I8903" s="101"/>
    </row>
    <row r="8904" spans="9:9" x14ac:dyDescent="0.3">
      <c r="I8904" s="101"/>
    </row>
    <row r="8905" spans="9:9" x14ac:dyDescent="0.3">
      <c r="I8905" s="101"/>
    </row>
    <row r="8906" spans="9:9" x14ac:dyDescent="0.3">
      <c r="I8906" s="101"/>
    </row>
    <row r="8907" spans="9:9" x14ac:dyDescent="0.3">
      <c r="I8907" s="101"/>
    </row>
    <row r="8908" spans="9:9" x14ac:dyDescent="0.3">
      <c r="I8908" s="101"/>
    </row>
    <row r="8909" spans="9:9" x14ac:dyDescent="0.3">
      <c r="I8909" s="101"/>
    </row>
    <row r="8910" spans="9:9" x14ac:dyDescent="0.3">
      <c r="I8910" s="101"/>
    </row>
    <row r="8911" spans="9:9" x14ac:dyDescent="0.3">
      <c r="I8911" s="101"/>
    </row>
    <row r="8912" spans="9:9" x14ac:dyDescent="0.3">
      <c r="I8912" s="101"/>
    </row>
    <row r="8913" spans="9:9" x14ac:dyDescent="0.3">
      <c r="I8913" s="101"/>
    </row>
    <row r="8914" spans="9:9" x14ac:dyDescent="0.3">
      <c r="I8914" s="101"/>
    </row>
    <row r="8915" spans="9:9" x14ac:dyDescent="0.3">
      <c r="I8915" s="101"/>
    </row>
    <row r="8916" spans="9:9" x14ac:dyDescent="0.3">
      <c r="I8916" s="101"/>
    </row>
    <row r="8917" spans="9:9" x14ac:dyDescent="0.3">
      <c r="I8917" s="101"/>
    </row>
    <row r="8918" spans="9:9" x14ac:dyDescent="0.3">
      <c r="I8918" s="101"/>
    </row>
    <row r="8919" spans="9:9" x14ac:dyDescent="0.3">
      <c r="I8919" s="101"/>
    </row>
    <row r="8920" spans="9:9" x14ac:dyDescent="0.3">
      <c r="I8920" s="101"/>
    </row>
    <row r="8921" spans="9:9" x14ac:dyDescent="0.3">
      <c r="I8921" s="101"/>
    </row>
    <row r="8922" spans="9:9" x14ac:dyDescent="0.3">
      <c r="I8922" s="101"/>
    </row>
    <row r="8923" spans="9:9" x14ac:dyDescent="0.3">
      <c r="I8923" s="101"/>
    </row>
    <row r="8924" spans="9:9" x14ac:dyDescent="0.3">
      <c r="I8924" s="101"/>
    </row>
    <row r="8925" spans="9:9" x14ac:dyDescent="0.3">
      <c r="I8925" s="101"/>
    </row>
    <row r="8926" spans="9:9" x14ac:dyDescent="0.3">
      <c r="I8926" s="101"/>
    </row>
    <row r="8927" spans="9:9" x14ac:dyDescent="0.3">
      <c r="I8927" s="101"/>
    </row>
    <row r="8928" spans="9:9" x14ac:dyDescent="0.3">
      <c r="I8928" s="101"/>
    </row>
    <row r="8929" spans="9:9" x14ac:dyDescent="0.3">
      <c r="I8929" s="101"/>
    </row>
    <row r="8930" spans="9:9" x14ac:dyDescent="0.3">
      <c r="I8930" s="101"/>
    </row>
    <row r="8931" spans="9:9" x14ac:dyDescent="0.3">
      <c r="I8931" s="101"/>
    </row>
    <row r="8932" spans="9:9" x14ac:dyDescent="0.3">
      <c r="I8932" s="101"/>
    </row>
    <row r="8933" spans="9:9" x14ac:dyDescent="0.3">
      <c r="I8933" s="101"/>
    </row>
    <row r="8934" spans="9:9" x14ac:dyDescent="0.3">
      <c r="I8934" s="101"/>
    </row>
    <row r="8935" spans="9:9" x14ac:dyDescent="0.3">
      <c r="I8935" s="101"/>
    </row>
    <row r="8936" spans="9:9" x14ac:dyDescent="0.3">
      <c r="I8936" s="101"/>
    </row>
    <row r="8937" spans="9:9" x14ac:dyDescent="0.3">
      <c r="I8937" s="101"/>
    </row>
    <row r="8938" spans="9:9" x14ac:dyDescent="0.3">
      <c r="I8938" s="101"/>
    </row>
    <row r="8939" spans="9:9" x14ac:dyDescent="0.3">
      <c r="I8939" s="101"/>
    </row>
    <row r="8940" spans="9:9" x14ac:dyDescent="0.3">
      <c r="I8940" s="101"/>
    </row>
    <row r="8941" spans="9:9" x14ac:dyDescent="0.3">
      <c r="I8941" s="101"/>
    </row>
    <row r="8942" spans="9:9" x14ac:dyDescent="0.3">
      <c r="I8942" s="101"/>
    </row>
    <row r="8943" spans="9:9" x14ac:dyDescent="0.3">
      <c r="I8943" s="101"/>
    </row>
    <row r="8944" spans="9:9" x14ac:dyDescent="0.3">
      <c r="I8944" s="101"/>
    </row>
    <row r="8945" spans="9:9" x14ac:dyDescent="0.3">
      <c r="I8945" s="101"/>
    </row>
    <row r="8946" spans="9:9" x14ac:dyDescent="0.3">
      <c r="I8946" s="101"/>
    </row>
    <row r="8947" spans="9:9" x14ac:dyDescent="0.3">
      <c r="I8947" s="101"/>
    </row>
    <row r="8948" spans="9:9" x14ac:dyDescent="0.3">
      <c r="I8948" s="101"/>
    </row>
    <row r="8949" spans="9:9" x14ac:dyDescent="0.3">
      <c r="I8949" s="101"/>
    </row>
    <row r="8950" spans="9:9" x14ac:dyDescent="0.3">
      <c r="I8950" s="101"/>
    </row>
    <row r="8951" spans="9:9" x14ac:dyDescent="0.3">
      <c r="I8951" s="101"/>
    </row>
    <row r="8952" spans="9:9" x14ac:dyDescent="0.3">
      <c r="I8952" s="101"/>
    </row>
    <row r="8953" spans="9:9" x14ac:dyDescent="0.3">
      <c r="I8953" s="101"/>
    </row>
    <row r="8954" spans="9:9" x14ac:dyDescent="0.3">
      <c r="I8954" s="101"/>
    </row>
    <row r="8955" spans="9:9" x14ac:dyDescent="0.3">
      <c r="I8955" s="101"/>
    </row>
    <row r="8956" spans="9:9" x14ac:dyDescent="0.3">
      <c r="I8956" s="101"/>
    </row>
    <row r="8957" spans="9:9" x14ac:dyDescent="0.3">
      <c r="I8957" s="101"/>
    </row>
    <row r="8958" spans="9:9" x14ac:dyDescent="0.3">
      <c r="I8958" s="101"/>
    </row>
    <row r="8959" spans="9:9" x14ac:dyDescent="0.3">
      <c r="I8959" s="101"/>
    </row>
    <row r="8960" spans="9:9" x14ac:dyDescent="0.3">
      <c r="I8960" s="101"/>
    </row>
    <row r="8961" spans="9:9" x14ac:dyDescent="0.3">
      <c r="I8961" s="101"/>
    </row>
    <row r="8962" spans="9:9" x14ac:dyDescent="0.3">
      <c r="I8962" s="101"/>
    </row>
    <row r="8963" spans="9:9" x14ac:dyDescent="0.3">
      <c r="I8963" s="101"/>
    </row>
    <row r="8964" spans="9:9" x14ac:dyDescent="0.3">
      <c r="I8964" s="101"/>
    </row>
    <row r="8965" spans="9:9" x14ac:dyDescent="0.3">
      <c r="I8965" s="101"/>
    </row>
    <row r="8966" spans="9:9" x14ac:dyDescent="0.3">
      <c r="I8966" s="101"/>
    </row>
    <row r="8967" spans="9:9" x14ac:dyDescent="0.3">
      <c r="I8967" s="101"/>
    </row>
    <row r="8968" spans="9:9" x14ac:dyDescent="0.3">
      <c r="I8968" s="101"/>
    </row>
    <row r="8969" spans="9:9" x14ac:dyDescent="0.3">
      <c r="I8969" s="101"/>
    </row>
    <row r="8970" spans="9:9" x14ac:dyDescent="0.3">
      <c r="I8970" s="101"/>
    </row>
    <row r="8971" spans="9:9" x14ac:dyDescent="0.3">
      <c r="I8971" s="101"/>
    </row>
    <row r="8972" spans="9:9" x14ac:dyDescent="0.3">
      <c r="I8972" s="101"/>
    </row>
    <row r="8973" spans="9:9" x14ac:dyDescent="0.3">
      <c r="I8973" s="101"/>
    </row>
    <row r="8974" spans="9:9" x14ac:dyDescent="0.3">
      <c r="I8974" s="101"/>
    </row>
    <row r="8975" spans="9:9" x14ac:dyDescent="0.3">
      <c r="I8975" s="101"/>
    </row>
    <row r="8976" spans="9:9" x14ac:dyDescent="0.3">
      <c r="I8976" s="101"/>
    </row>
    <row r="8977" spans="9:9" x14ac:dyDescent="0.3">
      <c r="I8977" s="101"/>
    </row>
    <row r="8978" spans="9:9" x14ac:dyDescent="0.3">
      <c r="I8978" s="101"/>
    </row>
    <row r="8979" spans="9:9" x14ac:dyDescent="0.3">
      <c r="I8979" s="101"/>
    </row>
    <row r="8980" spans="9:9" x14ac:dyDescent="0.3">
      <c r="I8980" s="101"/>
    </row>
    <row r="8981" spans="9:9" x14ac:dyDescent="0.3">
      <c r="I8981" s="101"/>
    </row>
    <row r="8982" spans="9:9" x14ac:dyDescent="0.3">
      <c r="I8982" s="101"/>
    </row>
    <row r="8983" spans="9:9" x14ac:dyDescent="0.3">
      <c r="I8983" s="101"/>
    </row>
    <row r="8984" spans="9:9" x14ac:dyDescent="0.3">
      <c r="I8984" s="101"/>
    </row>
    <row r="8985" spans="9:9" x14ac:dyDescent="0.3">
      <c r="I8985" s="101"/>
    </row>
    <row r="8986" spans="9:9" x14ac:dyDescent="0.3">
      <c r="I8986" s="101"/>
    </row>
    <row r="8987" spans="9:9" x14ac:dyDescent="0.3">
      <c r="I8987" s="101"/>
    </row>
    <row r="8988" spans="9:9" x14ac:dyDescent="0.3">
      <c r="I8988" s="101"/>
    </row>
    <row r="8989" spans="9:9" x14ac:dyDescent="0.3">
      <c r="I8989" s="101"/>
    </row>
    <row r="8990" spans="9:9" x14ac:dyDescent="0.3">
      <c r="I8990" s="101"/>
    </row>
    <row r="8991" spans="9:9" x14ac:dyDescent="0.3">
      <c r="I8991" s="101"/>
    </row>
    <row r="8992" spans="9:9" x14ac:dyDescent="0.3">
      <c r="I8992" s="101"/>
    </row>
    <row r="8993" spans="9:9" x14ac:dyDescent="0.3">
      <c r="I8993" s="101"/>
    </row>
    <row r="8994" spans="9:9" x14ac:dyDescent="0.3">
      <c r="I8994" s="101"/>
    </row>
    <row r="8995" spans="9:9" x14ac:dyDescent="0.3">
      <c r="I8995" s="101"/>
    </row>
    <row r="8996" spans="9:9" x14ac:dyDescent="0.3">
      <c r="I8996" s="101"/>
    </row>
    <row r="8997" spans="9:9" x14ac:dyDescent="0.3">
      <c r="I8997" s="101"/>
    </row>
    <row r="8998" spans="9:9" x14ac:dyDescent="0.3">
      <c r="I8998" s="101"/>
    </row>
    <row r="8999" spans="9:9" x14ac:dyDescent="0.3">
      <c r="I8999" s="101"/>
    </row>
    <row r="9000" spans="9:9" x14ac:dyDescent="0.3">
      <c r="I9000" s="101"/>
    </row>
    <row r="9001" spans="9:9" x14ac:dyDescent="0.3">
      <c r="I9001" s="101"/>
    </row>
    <row r="9002" spans="9:9" x14ac:dyDescent="0.3">
      <c r="I9002" s="101"/>
    </row>
    <row r="9003" spans="9:9" x14ac:dyDescent="0.3">
      <c r="I9003" s="101"/>
    </row>
    <row r="9004" spans="9:9" x14ac:dyDescent="0.3">
      <c r="I9004" s="101"/>
    </row>
    <row r="9005" spans="9:9" x14ac:dyDescent="0.3">
      <c r="I9005" s="101"/>
    </row>
    <row r="9006" spans="9:9" x14ac:dyDescent="0.3">
      <c r="I9006" s="101"/>
    </row>
    <row r="9007" spans="9:9" x14ac:dyDescent="0.3">
      <c r="I9007" s="101"/>
    </row>
    <row r="9008" spans="9:9" x14ac:dyDescent="0.3">
      <c r="I9008" s="101"/>
    </row>
    <row r="9009" spans="9:9" x14ac:dyDescent="0.3">
      <c r="I9009" s="101"/>
    </row>
    <row r="9010" spans="9:9" x14ac:dyDescent="0.3">
      <c r="I9010" s="101"/>
    </row>
    <row r="9011" spans="9:9" x14ac:dyDescent="0.3">
      <c r="I9011" s="101"/>
    </row>
    <row r="9012" spans="9:9" x14ac:dyDescent="0.3">
      <c r="I9012" s="101"/>
    </row>
    <row r="9013" spans="9:9" x14ac:dyDescent="0.3">
      <c r="I9013" s="101"/>
    </row>
    <row r="9014" spans="9:9" x14ac:dyDescent="0.3">
      <c r="I9014" s="101"/>
    </row>
    <row r="9015" spans="9:9" x14ac:dyDescent="0.3">
      <c r="I9015" s="101"/>
    </row>
    <row r="9016" spans="9:9" x14ac:dyDescent="0.3">
      <c r="I9016" s="101"/>
    </row>
    <row r="9017" spans="9:9" x14ac:dyDescent="0.3">
      <c r="I9017" s="101"/>
    </row>
    <row r="9018" spans="9:9" x14ac:dyDescent="0.3">
      <c r="I9018" s="101"/>
    </row>
    <row r="9019" spans="9:9" x14ac:dyDescent="0.3">
      <c r="I9019" s="101"/>
    </row>
    <row r="9020" spans="9:9" x14ac:dyDescent="0.3">
      <c r="I9020" s="101"/>
    </row>
    <row r="9021" spans="9:9" x14ac:dyDescent="0.3">
      <c r="I9021" s="101"/>
    </row>
    <row r="9022" spans="9:9" x14ac:dyDescent="0.3">
      <c r="I9022" s="101"/>
    </row>
    <row r="9023" spans="9:9" x14ac:dyDescent="0.3">
      <c r="I9023" s="101"/>
    </row>
    <row r="9024" spans="9:9" x14ac:dyDescent="0.3">
      <c r="I9024" s="101"/>
    </row>
    <row r="9025" spans="9:9" x14ac:dyDescent="0.3">
      <c r="I9025" s="101"/>
    </row>
    <row r="9026" spans="9:9" x14ac:dyDescent="0.3">
      <c r="I9026" s="101"/>
    </row>
    <row r="9027" spans="9:9" x14ac:dyDescent="0.3">
      <c r="I9027" s="101"/>
    </row>
    <row r="9028" spans="9:9" x14ac:dyDescent="0.3">
      <c r="I9028" s="101"/>
    </row>
    <row r="9029" spans="9:9" x14ac:dyDescent="0.3">
      <c r="I9029" s="101"/>
    </row>
    <row r="9030" spans="9:9" x14ac:dyDescent="0.3">
      <c r="I9030" s="101"/>
    </row>
    <row r="9031" spans="9:9" x14ac:dyDescent="0.3">
      <c r="I9031" s="101"/>
    </row>
    <row r="9032" spans="9:9" x14ac:dyDescent="0.3">
      <c r="I9032" s="101"/>
    </row>
    <row r="9033" spans="9:9" x14ac:dyDescent="0.3">
      <c r="I9033" s="101"/>
    </row>
    <row r="9034" spans="9:9" x14ac:dyDescent="0.3">
      <c r="I9034" s="101"/>
    </row>
    <row r="9035" spans="9:9" x14ac:dyDescent="0.3">
      <c r="I9035" s="101"/>
    </row>
    <row r="9036" spans="9:9" x14ac:dyDescent="0.3">
      <c r="I9036" s="101"/>
    </row>
    <row r="9037" spans="9:9" x14ac:dyDescent="0.3">
      <c r="I9037" s="101"/>
    </row>
    <row r="9038" spans="9:9" x14ac:dyDescent="0.3">
      <c r="I9038" s="101"/>
    </row>
    <row r="9039" spans="9:9" x14ac:dyDescent="0.3">
      <c r="I9039" s="101"/>
    </row>
    <row r="9040" spans="9:9" x14ac:dyDescent="0.3">
      <c r="I9040" s="101"/>
    </row>
    <row r="9041" spans="9:9" x14ac:dyDescent="0.3">
      <c r="I9041" s="101"/>
    </row>
    <row r="9042" spans="9:9" x14ac:dyDescent="0.3">
      <c r="I9042" s="101"/>
    </row>
    <row r="9043" spans="9:9" x14ac:dyDescent="0.3">
      <c r="I9043" s="101"/>
    </row>
    <row r="9044" spans="9:9" x14ac:dyDescent="0.3">
      <c r="I9044" s="101"/>
    </row>
    <row r="9045" spans="9:9" x14ac:dyDescent="0.3">
      <c r="I9045" s="101"/>
    </row>
    <row r="9046" spans="9:9" x14ac:dyDescent="0.3">
      <c r="I9046" s="101"/>
    </row>
    <row r="9047" spans="9:9" x14ac:dyDescent="0.3">
      <c r="I9047" s="101"/>
    </row>
    <row r="9048" spans="9:9" x14ac:dyDescent="0.3">
      <c r="I9048" s="101"/>
    </row>
    <row r="9049" spans="9:9" x14ac:dyDescent="0.3">
      <c r="I9049" s="101"/>
    </row>
    <row r="9050" spans="9:9" x14ac:dyDescent="0.3">
      <c r="I9050" s="101"/>
    </row>
    <row r="9051" spans="9:9" x14ac:dyDescent="0.3">
      <c r="I9051" s="101"/>
    </row>
    <row r="9052" spans="9:9" x14ac:dyDescent="0.3">
      <c r="I9052" s="101"/>
    </row>
    <row r="9053" spans="9:9" x14ac:dyDescent="0.3">
      <c r="I9053" s="101"/>
    </row>
    <row r="9054" spans="9:9" x14ac:dyDescent="0.3">
      <c r="I9054" s="101"/>
    </row>
    <row r="9055" spans="9:9" x14ac:dyDescent="0.3">
      <c r="I9055" s="101"/>
    </row>
    <row r="9056" spans="9:9" x14ac:dyDescent="0.3">
      <c r="I9056" s="101"/>
    </row>
    <row r="9057" spans="9:9" x14ac:dyDescent="0.3">
      <c r="I9057" s="101"/>
    </row>
    <row r="9058" spans="9:9" x14ac:dyDescent="0.3">
      <c r="I9058" s="101"/>
    </row>
    <row r="9059" spans="9:9" x14ac:dyDescent="0.3">
      <c r="I9059" s="101"/>
    </row>
    <row r="9060" spans="9:9" x14ac:dyDescent="0.3">
      <c r="I9060" s="101"/>
    </row>
    <row r="9061" spans="9:9" x14ac:dyDescent="0.3">
      <c r="I9061" s="101"/>
    </row>
    <row r="9062" spans="9:9" x14ac:dyDescent="0.3">
      <c r="I9062" s="101"/>
    </row>
    <row r="9063" spans="9:9" x14ac:dyDescent="0.3">
      <c r="I9063" s="101"/>
    </row>
    <row r="9064" spans="9:9" x14ac:dyDescent="0.3">
      <c r="I9064" s="101"/>
    </row>
    <row r="9065" spans="9:9" x14ac:dyDescent="0.3">
      <c r="I9065" s="101"/>
    </row>
    <row r="9066" spans="9:9" x14ac:dyDescent="0.3">
      <c r="I9066" s="101"/>
    </row>
    <row r="9067" spans="9:9" x14ac:dyDescent="0.3">
      <c r="I9067" s="101"/>
    </row>
    <row r="9068" spans="9:9" x14ac:dyDescent="0.3">
      <c r="I9068" s="101"/>
    </row>
    <row r="9069" spans="9:9" x14ac:dyDescent="0.3">
      <c r="I9069" s="101"/>
    </row>
    <row r="9070" spans="9:9" x14ac:dyDescent="0.3">
      <c r="I9070" s="101"/>
    </row>
    <row r="9071" spans="9:9" x14ac:dyDescent="0.3">
      <c r="I9071" s="101"/>
    </row>
    <row r="9072" spans="9:9" x14ac:dyDescent="0.3">
      <c r="I9072" s="101"/>
    </row>
    <row r="9073" spans="9:9" x14ac:dyDescent="0.3">
      <c r="I9073" s="101"/>
    </row>
    <row r="9074" spans="9:9" x14ac:dyDescent="0.3">
      <c r="I9074" s="101"/>
    </row>
    <row r="9075" spans="9:9" x14ac:dyDescent="0.3">
      <c r="I9075" s="101"/>
    </row>
    <row r="9076" spans="9:9" x14ac:dyDescent="0.3">
      <c r="I9076" s="101"/>
    </row>
    <row r="9077" spans="9:9" x14ac:dyDescent="0.3">
      <c r="I9077" s="101"/>
    </row>
    <row r="9078" spans="9:9" x14ac:dyDescent="0.3">
      <c r="I9078" s="101"/>
    </row>
    <row r="9079" spans="9:9" x14ac:dyDescent="0.3">
      <c r="I9079" s="101"/>
    </row>
    <row r="9080" spans="9:9" x14ac:dyDescent="0.3">
      <c r="I9080" s="101"/>
    </row>
    <row r="9081" spans="9:9" x14ac:dyDescent="0.3">
      <c r="I9081" s="101"/>
    </row>
    <row r="9082" spans="9:9" x14ac:dyDescent="0.3">
      <c r="I9082" s="101"/>
    </row>
    <row r="9083" spans="9:9" x14ac:dyDescent="0.3">
      <c r="I9083" s="101"/>
    </row>
    <row r="9084" spans="9:9" x14ac:dyDescent="0.3">
      <c r="I9084" s="101"/>
    </row>
    <row r="9085" spans="9:9" x14ac:dyDescent="0.3">
      <c r="I9085" s="101"/>
    </row>
    <row r="9086" spans="9:9" x14ac:dyDescent="0.3">
      <c r="I9086" s="101"/>
    </row>
    <row r="9087" spans="9:9" x14ac:dyDescent="0.3">
      <c r="I9087" s="101"/>
    </row>
    <row r="9088" spans="9:9" x14ac:dyDescent="0.3">
      <c r="I9088" s="101"/>
    </row>
    <row r="9089" spans="9:9" x14ac:dyDescent="0.3">
      <c r="I9089" s="101"/>
    </row>
    <row r="9090" spans="9:9" x14ac:dyDescent="0.3">
      <c r="I9090" s="101"/>
    </row>
    <row r="9091" spans="9:9" x14ac:dyDescent="0.3">
      <c r="I9091" s="101"/>
    </row>
    <row r="9092" spans="9:9" x14ac:dyDescent="0.3">
      <c r="I9092" s="101"/>
    </row>
    <row r="9093" spans="9:9" x14ac:dyDescent="0.3">
      <c r="I9093" s="101"/>
    </row>
    <row r="9094" spans="9:9" x14ac:dyDescent="0.3">
      <c r="I9094" s="101"/>
    </row>
    <row r="9095" spans="9:9" x14ac:dyDescent="0.3">
      <c r="I9095" s="101"/>
    </row>
    <row r="9096" spans="9:9" x14ac:dyDescent="0.3">
      <c r="I9096" s="101"/>
    </row>
    <row r="9097" spans="9:9" x14ac:dyDescent="0.3">
      <c r="I9097" s="101"/>
    </row>
    <row r="9098" spans="9:9" x14ac:dyDescent="0.3">
      <c r="I9098" s="101"/>
    </row>
    <row r="9099" spans="9:9" x14ac:dyDescent="0.3">
      <c r="I9099" s="101"/>
    </row>
    <row r="9100" spans="9:9" x14ac:dyDescent="0.3">
      <c r="I9100" s="101"/>
    </row>
    <row r="9101" spans="9:9" x14ac:dyDescent="0.3">
      <c r="I9101" s="101"/>
    </row>
    <row r="9102" spans="9:9" x14ac:dyDescent="0.3">
      <c r="I9102" s="101"/>
    </row>
    <row r="9103" spans="9:9" x14ac:dyDescent="0.3">
      <c r="I9103" s="101"/>
    </row>
    <row r="9104" spans="9:9" x14ac:dyDescent="0.3">
      <c r="I9104" s="101"/>
    </row>
    <row r="9105" spans="9:9" x14ac:dyDescent="0.3">
      <c r="I9105" s="101"/>
    </row>
    <row r="9106" spans="9:9" x14ac:dyDescent="0.3">
      <c r="I9106" s="101"/>
    </row>
    <row r="9107" spans="9:9" x14ac:dyDescent="0.3">
      <c r="I9107" s="101"/>
    </row>
    <row r="9108" spans="9:9" x14ac:dyDescent="0.3">
      <c r="I9108" s="101"/>
    </row>
    <row r="9109" spans="9:9" x14ac:dyDescent="0.3">
      <c r="I9109" s="101"/>
    </row>
    <row r="9110" spans="9:9" x14ac:dyDescent="0.3">
      <c r="I9110" s="101"/>
    </row>
    <row r="9111" spans="9:9" x14ac:dyDescent="0.3">
      <c r="I9111" s="101"/>
    </row>
    <row r="9112" spans="9:9" x14ac:dyDescent="0.3">
      <c r="I9112" s="101"/>
    </row>
    <row r="9113" spans="9:9" x14ac:dyDescent="0.3">
      <c r="I9113" s="101"/>
    </row>
    <row r="9114" spans="9:9" x14ac:dyDescent="0.3">
      <c r="I9114" s="101"/>
    </row>
    <row r="9115" spans="9:9" x14ac:dyDescent="0.3">
      <c r="I9115" s="101"/>
    </row>
    <row r="9116" spans="9:9" x14ac:dyDescent="0.3">
      <c r="I9116" s="101"/>
    </row>
    <row r="9117" spans="9:9" x14ac:dyDescent="0.3">
      <c r="I9117" s="101"/>
    </row>
    <row r="9118" spans="9:9" x14ac:dyDescent="0.3">
      <c r="I9118" s="101"/>
    </row>
    <row r="9119" spans="9:9" x14ac:dyDescent="0.3">
      <c r="I9119" s="101"/>
    </row>
    <row r="9120" spans="9:9" x14ac:dyDescent="0.3">
      <c r="I9120" s="101"/>
    </row>
    <row r="9121" spans="9:9" x14ac:dyDescent="0.3">
      <c r="I9121" s="101"/>
    </row>
    <row r="9122" spans="9:9" x14ac:dyDescent="0.3">
      <c r="I9122" s="101"/>
    </row>
    <row r="9123" spans="9:9" x14ac:dyDescent="0.3">
      <c r="I9123" s="101"/>
    </row>
    <row r="9124" spans="9:9" x14ac:dyDescent="0.3">
      <c r="I9124" s="101"/>
    </row>
    <row r="9125" spans="9:9" x14ac:dyDescent="0.3">
      <c r="I9125" s="101"/>
    </row>
    <row r="9126" spans="9:9" x14ac:dyDescent="0.3">
      <c r="I9126" s="101"/>
    </row>
    <row r="9127" spans="9:9" x14ac:dyDescent="0.3">
      <c r="I9127" s="101"/>
    </row>
    <row r="9128" spans="9:9" x14ac:dyDescent="0.3">
      <c r="I9128" s="101"/>
    </row>
    <row r="9129" spans="9:9" x14ac:dyDescent="0.3">
      <c r="I9129" s="101"/>
    </row>
    <row r="9130" spans="9:9" x14ac:dyDescent="0.3">
      <c r="I9130" s="101"/>
    </row>
    <row r="9131" spans="9:9" x14ac:dyDescent="0.3">
      <c r="I9131" s="101"/>
    </row>
    <row r="9132" spans="9:9" x14ac:dyDescent="0.3">
      <c r="I9132" s="101"/>
    </row>
    <row r="9133" spans="9:9" x14ac:dyDescent="0.3">
      <c r="I9133" s="101"/>
    </row>
    <row r="9134" spans="9:9" x14ac:dyDescent="0.3">
      <c r="I9134" s="101"/>
    </row>
    <row r="9135" spans="9:9" x14ac:dyDescent="0.3">
      <c r="I9135" s="101"/>
    </row>
    <row r="9136" spans="9:9" x14ac:dyDescent="0.3">
      <c r="I9136" s="101"/>
    </row>
    <row r="9137" spans="9:9" x14ac:dyDescent="0.3">
      <c r="I9137" s="101"/>
    </row>
    <row r="9138" spans="9:9" x14ac:dyDescent="0.3">
      <c r="I9138" s="101"/>
    </row>
    <row r="9139" spans="9:9" x14ac:dyDescent="0.3">
      <c r="I9139" s="101"/>
    </row>
    <row r="9140" spans="9:9" x14ac:dyDescent="0.3">
      <c r="I9140" s="101"/>
    </row>
    <row r="9141" spans="9:9" x14ac:dyDescent="0.3">
      <c r="I9141" s="101"/>
    </row>
    <row r="9142" spans="9:9" x14ac:dyDescent="0.3">
      <c r="I9142" s="101"/>
    </row>
    <row r="9143" spans="9:9" x14ac:dyDescent="0.3">
      <c r="I9143" s="101"/>
    </row>
    <row r="9144" spans="9:9" x14ac:dyDescent="0.3">
      <c r="I9144" s="101"/>
    </row>
    <row r="9145" spans="9:9" x14ac:dyDescent="0.3">
      <c r="I9145" s="101"/>
    </row>
    <row r="9146" spans="9:9" x14ac:dyDescent="0.3">
      <c r="I9146" s="101"/>
    </row>
    <row r="9147" spans="9:9" x14ac:dyDescent="0.3">
      <c r="I9147" s="101"/>
    </row>
    <row r="9148" spans="9:9" x14ac:dyDescent="0.3">
      <c r="I9148" s="101"/>
    </row>
    <row r="9149" spans="9:9" x14ac:dyDescent="0.3">
      <c r="I9149" s="101"/>
    </row>
    <row r="9150" spans="9:9" x14ac:dyDescent="0.3">
      <c r="I9150" s="101"/>
    </row>
    <row r="9151" spans="9:9" x14ac:dyDescent="0.3">
      <c r="I9151" s="101"/>
    </row>
    <row r="9152" spans="9:9" x14ac:dyDescent="0.3">
      <c r="I9152" s="101"/>
    </row>
    <row r="9153" spans="9:9" x14ac:dyDescent="0.3">
      <c r="I9153" s="101"/>
    </row>
    <row r="9154" spans="9:9" x14ac:dyDescent="0.3">
      <c r="I9154" s="101"/>
    </row>
    <row r="9155" spans="9:9" x14ac:dyDescent="0.3">
      <c r="I9155" s="101"/>
    </row>
    <row r="9156" spans="9:9" x14ac:dyDescent="0.3">
      <c r="I9156" s="101"/>
    </row>
    <row r="9157" spans="9:9" x14ac:dyDescent="0.3">
      <c r="I9157" s="101"/>
    </row>
    <row r="9158" spans="9:9" x14ac:dyDescent="0.3">
      <c r="I9158" s="101"/>
    </row>
    <row r="9159" spans="9:9" x14ac:dyDescent="0.3">
      <c r="I9159" s="101"/>
    </row>
    <row r="9160" spans="9:9" x14ac:dyDescent="0.3">
      <c r="I9160" s="101"/>
    </row>
    <row r="9161" spans="9:9" x14ac:dyDescent="0.3">
      <c r="I9161" s="101"/>
    </row>
    <row r="9162" spans="9:9" x14ac:dyDescent="0.3">
      <c r="I9162" s="101"/>
    </row>
    <row r="9163" spans="9:9" x14ac:dyDescent="0.3">
      <c r="I9163" s="101"/>
    </row>
    <row r="9164" spans="9:9" x14ac:dyDescent="0.3">
      <c r="I9164" s="101"/>
    </row>
    <row r="9165" spans="9:9" x14ac:dyDescent="0.3">
      <c r="I9165" s="101"/>
    </row>
    <row r="9166" spans="9:9" x14ac:dyDescent="0.3">
      <c r="I9166" s="101"/>
    </row>
    <row r="9167" spans="9:9" x14ac:dyDescent="0.3">
      <c r="I9167" s="101"/>
    </row>
    <row r="9168" spans="9:9" x14ac:dyDescent="0.3">
      <c r="I9168" s="101"/>
    </row>
    <row r="9169" spans="9:9" x14ac:dyDescent="0.3">
      <c r="I9169" s="101"/>
    </row>
    <row r="9170" spans="9:9" x14ac:dyDescent="0.3">
      <c r="I9170" s="101"/>
    </row>
    <row r="9171" spans="9:9" x14ac:dyDescent="0.3">
      <c r="I9171" s="101"/>
    </row>
    <row r="9172" spans="9:9" x14ac:dyDescent="0.3">
      <c r="I9172" s="101"/>
    </row>
    <row r="9173" spans="9:9" x14ac:dyDescent="0.3">
      <c r="I9173" s="101"/>
    </row>
    <row r="9174" spans="9:9" x14ac:dyDescent="0.3">
      <c r="I9174" s="101"/>
    </row>
    <row r="9175" spans="9:9" x14ac:dyDescent="0.3">
      <c r="I9175" s="101"/>
    </row>
    <row r="9176" spans="9:9" x14ac:dyDescent="0.3">
      <c r="I9176" s="101"/>
    </row>
    <row r="9177" spans="9:9" x14ac:dyDescent="0.3">
      <c r="I9177" s="101"/>
    </row>
    <row r="9178" spans="9:9" x14ac:dyDescent="0.3">
      <c r="I9178" s="101"/>
    </row>
    <row r="9179" spans="9:9" x14ac:dyDescent="0.3">
      <c r="I9179" s="101"/>
    </row>
    <row r="9180" spans="9:9" x14ac:dyDescent="0.3">
      <c r="I9180" s="101"/>
    </row>
    <row r="9181" spans="9:9" x14ac:dyDescent="0.3">
      <c r="I9181" s="101"/>
    </row>
    <row r="9182" spans="9:9" x14ac:dyDescent="0.3">
      <c r="I9182" s="101"/>
    </row>
    <row r="9183" spans="9:9" x14ac:dyDescent="0.3">
      <c r="I9183" s="101"/>
    </row>
    <row r="9184" spans="9:9" x14ac:dyDescent="0.3">
      <c r="I9184" s="101"/>
    </row>
    <row r="9185" spans="9:9" x14ac:dyDescent="0.3">
      <c r="I9185" s="101"/>
    </row>
    <row r="9186" spans="9:9" x14ac:dyDescent="0.3">
      <c r="I9186" s="101"/>
    </row>
    <row r="9187" spans="9:9" x14ac:dyDescent="0.3">
      <c r="I9187" s="101"/>
    </row>
    <row r="9188" spans="9:9" x14ac:dyDescent="0.3">
      <c r="I9188" s="101"/>
    </row>
    <row r="9189" spans="9:9" x14ac:dyDescent="0.3">
      <c r="I9189" s="101"/>
    </row>
    <row r="9190" spans="9:9" x14ac:dyDescent="0.3">
      <c r="I9190" s="101"/>
    </row>
    <row r="9191" spans="9:9" x14ac:dyDescent="0.3">
      <c r="I9191" s="101"/>
    </row>
    <row r="9192" spans="9:9" x14ac:dyDescent="0.3">
      <c r="I9192" s="101"/>
    </row>
    <row r="9193" spans="9:9" x14ac:dyDescent="0.3">
      <c r="I9193" s="101"/>
    </row>
    <row r="9194" spans="9:9" x14ac:dyDescent="0.3">
      <c r="I9194" s="101"/>
    </row>
    <row r="9195" spans="9:9" x14ac:dyDescent="0.3">
      <c r="I9195" s="101"/>
    </row>
    <row r="9196" spans="9:9" x14ac:dyDescent="0.3">
      <c r="I9196" s="101"/>
    </row>
    <row r="9197" spans="9:9" x14ac:dyDescent="0.3">
      <c r="I9197" s="101"/>
    </row>
    <row r="9198" spans="9:9" x14ac:dyDescent="0.3">
      <c r="I9198" s="101"/>
    </row>
    <row r="9199" spans="9:9" x14ac:dyDescent="0.3">
      <c r="I9199" s="101"/>
    </row>
    <row r="9200" spans="9:9" x14ac:dyDescent="0.3">
      <c r="I9200" s="101"/>
    </row>
    <row r="9201" spans="9:9" x14ac:dyDescent="0.3">
      <c r="I9201" s="101"/>
    </row>
    <row r="9202" spans="9:9" x14ac:dyDescent="0.3">
      <c r="I9202" s="101"/>
    </row>
    <row r="9203" spans="9:9" x14ac:dyDescent="0.3">
      <c r="I9203" s="101"/>
    </row>
    <row r="9204" spans="9:9" x14ac:dyDescent="0.3">
      <c r="I9204" s="101"/>
    </row>
    <row r="9205" spans="9:9" x14ac:dyDescent="0.3">
      <c r="I9205" s="101"/>
    </row>
    <row r="9206" spans="9:9" x14ac:dyDescent="0.3">
      <c r="I9206" s="101"/>
    </row>
    <row r="9207" spans="9:9" x14ac:dyDescent="0.3">
      <c r="I9207" s="101"/>
    </row>
    <row r="9208" spans="9:9" x14ac:dyDescent="0.3">
      <c r="I9208" s="101"/>
    </row>
    <row r="9209" spans="9:9" x14ac:dyDescent="0.3">
      <c r="I9209" s="101"/>
    </row>
    <row r="9210" spans="9:9" x14ac:dyDescent="0.3">
      <c r="I9210" s="101"/>
    </row>
    <row r="9211" spans="9:9" x14ac:dyDescent="0.3">
      <c r="I9211" s="101"/>
    </row>
    <row r="9212" spans="9:9" x14ac:dyDescent="0.3">
      <c r="I9212" s="101"/>
    </row>
    <row r="9213" spans="9:9" x14ac:dyDescent="0.3">
      <c r="I9213" s="101"/>
    </row>
    <row r="9214" spans="9:9" x14ac:dyDescent="0.3">
      <c r="I9214" s="101"/>
    </row>
    <row r="9215" spans="9:9" x14ac:dyDescent="0.3">
      <c r="I9215" s="101"/>
    </row>
    <row r="9216" spans="9:9" x14ac:dyDescent="0.3">
      <c r="I9216" s="101"/>
    </row>
    <row r="9217" spans="9:9" x14ac:dyDescent="0.3">
      <c r="I9217" s="101"/>
    </row>
    <row r="9218" spans="9:9" x14ac:dyDescent="0.3">
      <c r="I9218" s="101"/>
    </row>
    <row r="9219" spans="9:9" x14ac:dyDescent="0.3">
      <c r="I9219" s="101"/>
    </row>
    <row r="9220" spans="9:9" x14ac:dyDescent="0.3">
      <c r="I9220" s="101"/>
    </row>
    <row r="9221" spans="9:9" x14ac:dyDescent="0.3">
      <c r="I9221" s="101"/>
    </row>
    <row r="9222" spans="9:9" x14ac:dyDescent="0.3">
      <c r="I9222" s="101"/>
    </row>
    <row r="9223" spans="9:9" x14ac:dyDescent="0.3">
      <c r="I9223" s="101"/>
    </row>
    <row r="9224" spans="9:9" x14ac:dyDescent="0.3">
      <c r="I9224" s="101"/>
    </row>
    <row r="9225" spans="9:9" x14ac:dyDescent="0.3">
      <c r="I9225" s="101"/>
    </row>
    <row r="9226" spans="9:9" x14ac:dyDescent="0.3">
      <c r="I9226" s="101"/>
    </row>
    <row r="9227" spans="9:9" x14ac:dyDescent="0.3">
      <c r="I9227" s="101"/>
    </row>
    <row r="9228" spans="9:9" x14ac:dyDescent="0.3">
      <c r="I9228" s="101"/>
    </row>
    <row r="9229" spans="9:9" x14ac:dyDescent="0.3">
      <c r="I9229" s="101"/>
    </row>
    <row r="9230" spans="9:9" x14ac:dyDescent="0.3">
      <c r="I9230" s="101"/>
    </row>
    <row r="9231" spans="9:9" x14ac:dyDescent="0.3">
      <c r="I9231" s="101"/>
    </row>
    <row r="9232" spans="9:9" x14ac:dyDescent="0.3">
      <c r="I9232" s="101"/>
    </row>
    <row r="9233" spans="9:9" x14ac:dyDescent="0.3">
      <c r="I9233" s="101"/>
    </row>
    <row r="9234" spans="9:9" x14ac:dyDescent="0.3">
      <c r="I9234" s="101"/>
    </row>
    <row r="9235" spans="9:9" x14ac:dyDescent="0.3">
      <c r="I9235" s="101"/>
    </row>
    <row r="9236" spans="9:9" x14ac:dyDescent="0.3">
      <c r="I9236" s="101"/>
    </row>
    <row r="9237" spans="9:9" x14ac:dyDescent="0.3">
      <c r="I9237" s="101"/>
    </row>
    <row r="9238" spans="9:9" x14ac:dyDescent="0.3">
      <c r="I9238" s="101"/>
    </row>
    <row r="9239" spans="9:9" x14ac:dyDescent="0.3">
      <c r="I9239" s="101"/>
    </row>
    <row r="9240" spans="9:9" x14ac:dyDescent="0.3">
      <c r="I9240" s="101"/>
    </row>
    <row r="9241" spans="9:9" x14ac:dyDescent="0.3">
      <c r="I9241" s="101"/>
    </row>
    <row r="9242" spans="9:9" x14ac:dyDescent="0.3">
      <c r="I9242" s="101"/>
    </row>
    <row r="9243" spans="9:9" x14ac:dyDescent="0.3">
      <c r="I9243" s="101"/>
    </row>
    <row r="9244" spans="9:9" x14ac:dyDescent="0.3">
      <c r="I9244" s="101"/>
    </row>
    <row r="9245" spans="9:9" x14ac:dyDescent="0.3">
      <c r="I9245" s="101"/>
    </row>
    <row r="9246" spans="9:9" x14ac:dyDescent="0.3">
      <c r="I9246" s="101"/>
    </row>
    <row r="9247" spans="9:9" x14ac:dyDescent="0.3">
      <c r="I9247" s="101"/>
    </row>
    <row r="9248" spans="9:9" x14ac:dyDescent="0.3">
      <c r="I9248" s="101"/>
    </row>
    <row r="9249" spans="9:9" x14ac:dyDescent="0.3">
      <c r="I9249" s="101"/>
    </row>
    <row r="9250" spans="9:9" x14ac:dyDescent="0.3">
      <c r="I9250" s="101"/>
    </row>
    <row r="9251" spans="9:9" x14ac:dyDescent="0.3">
      <c r="I9251" s="101"/>
    </row>
    <row r="9252" spans="9:9" x14ac:dyDescent="0.3">
      <c r="I9252" s="101"/>
    </row>
    <row r="9253" spans="9:9" x14ac:dyDescent="0.3">
      <c r="I9253" s="101"/>
    </row>
    <row r="9254" spans="9:9" x14ac:dyDescent="0.3">
      <c r="I9254" s="101"/>
    </row>
    <row r="9255" spans="9:9" x14ac:dyDescent="0.3">
      <c r="I9255" s="101"/>
    </row>
    <row r="9256" spans="9:9" x14ac:dyDescent="0.3">
      <c r="I9256" s="101"/>
    </row>
    <row r="9257" spans="9:9" x14ac:dyDescent="0.3">
      <c r="I9257" s="101"/>
    </row>
    <row r="9258" spans="9:9" x14ac:dyDescent="0.3">
      <c r="I9258" s="101"/>
    </row>
    <row r="9259" spans="9:9" x14ac:dyDescent="0.3">
      <c r="I9259" s="101"/>
    </row>
    <row r="9260" spans="9:9" x14ac:dyDescent="0.3">
      <c r="I9260" s="101"/>
    </row>
    <row r="9261" spans="9:9" x14ac:dyDescent="0.3">
      <c r="I9261" s="101"/>
    </row>
    <row r="9262" spans="9:9" x14ac:dyDescent="0.3">
      <c r="I9262" s="101"/>
    </row>
    <row r="9263" spans="9:9" x14ac:dyDescent="0.3">
      <c r="I9263" s="101"/>
    </row>
    <row r="9264" spans="9:9" x14ac:dyDescent="0.3">
      <c r="I9264" s="101"/>
    </row>
    <row r="9265" spans="9:9" x14ac:dyDescent="0.3">
      <c r="I9265" s="101"/>
    </row>
    <row r="9266" spans="9:9" x14ac:dyDescent="0.3">
      <c r="I9266" s="101"/>
    </row>
    <row r="9267" spans="9:9" x14ac:dyDescent="0.3">
      <c r="I9267" s="101"/>
    </row>
    <row r="9268" spans="9:9" x14ac:dyDescent="0.3">
      <c r="I9268" s="101"/>
    </row>
    <row r="9269" spans="9:9" x14ac:dyDescent="0.3">
      <c r="I9269" s="101"/>
    </row>
    <row r="9270" spans="9:9" x14ac:dyDescent="0.3">
      <c r="I9270" s="101"/>
    </row>
    <row r="9271" spans="9:9" x14ac:dyDescent="0.3">
      <c r="I9271" s="101"/>
    </row>
    <row r="9272" spans="9:9" x14ac:dyDescent="0.3">
      <c r="I9272" s="101"/>
    </row>
    <row r="9273" spans="9:9" x14ac:dyDescent="0.3">
      <c r="I9273" s="101"/>
    </row>
    <row r="9274" spans="9:9" x14ac:dyDescent="0.3">
      <c r="I9274" s="101"/>
    </row>
    <row r="9275" spans="9:9" x14ac:dyDescent="0.3">
      <c r="I9275" s="101"/>
    </row>
    <row r="9276" spans="9:9" x14ac:dyDescent="0.3">
      <c r="I9276" s="101"/>
    </row>
    <row r="9277" spans="9:9" x14ac:dyDescent="0.3">
      <c r="I9277" s="101"/>
    </row>
    <row r="9278" spans="9:9" x14ac:dyDescent="0.3">
      <c r="I9278" s="101"/>
    </row>
    <row r="9279" spans="9:9" x14ac:dyDescent="0.3">
      <c r="I9279" s="101"/>
    </row>
    <row r="9280" spans="9:9" x14ac:dyDescent="0.3">
      <c r="I9280" s="101"/>
    </row>
    <row r="9281" spans="9:9" x14ac:dyDescent="0.3">
      <c r="I9281" s="101"/>
    </row>
    <row r="9282" spans="9:9" x14ac:dyDescent="0.3">
      <c r="I9282" s="101"/>
    </row>
    <row r="9283" spans="9:9" x14ac:dyDescent="0.3">
      <c r="I9283" s="101"/>
    </row>
    <row r="9284" spans="9:9" x14ac:dyDescent="0.3">
      <c r="I9284" s="101"/>
    </row>
    <row r="9285" spans="9:9" x14ac:dyDescent="0.3">
      <c r="I9285" s="101"/>
    </row>
    <row r="9286" spans="9:9" x14ac:dyDescent="0.3">
      <c r="I9286" s="101"/>
    </row>
    <row r="9287" spans="9:9" x14ac:dyDescent="0.3">
      <c r="I9287" s="101"/>
    </row>
    <row r="9288" spans="9:9" x14ac:dyDescent="0.3">
      <c r="I9288" s="101"/>
    </row>
    <row r="9289" spans="9:9" x14ac:dyDescent="0.3">
      <c r="I9289" s="101"/>
    </row>
    <row r="9290" spans="9:9" x14ac:dyDescent="0.3">
      <c r="I9290" s="101"/>
    </row>
    <row r="9291" spans="9:9" x14ac:dyDescent="0.3">
      <c r="I9291" s="101"/>
    </row>
    <row r="9292" spans="9:9" x14ac:dyDescent="0.3">
      <c r="I9292" s="101"/>
    </row>
    <row r="9293" spans="9:9" x14ac:dyDescent="0.3">
      <c r="I9293" s="101"/>
    </row>
    <row r="9294" spans="9:9" x14ac:dyDescent="0.3">
      <c r="I9294" s="101"/>
    </row>
    <row r="9295" spans="9:9" x14ac:dyDescent="0.3">
      <c r="I9295" s="101"/>
    </row>
    <row r="9296" spans="9:9" x14ac:dyDescent="0.3">
      <c r="I9296" s="101"/>
    </row>
    <row r="9297" spans="9:9" x14ac:dyDescent="0.3">
      <c r="I9297" s="101"/>
    </row>
    <row r="9298" spans="9:9" x14ac:dyDescent="0.3">
      <c r="I9298" s="101"/>
    </row>
    <row r="9299" spans="9:9" x14ac:dyDescent="0.3">
      <c r="I9299" s="101"/>
    </row>
    <row r="9300" spans="9:9" x14ac:dyDescent="0.3">
      <c r="I9300" s="101"/>
    </row>
    <row r="9301" spans="9:9" x14ac:dyDescent="0.3">
      <c r="I9301" s="101"/>
    </row>
    <row r="9302" spans="9:9" x14ac:dyDescent="0.3">
      <c r="I9302" s="101"/>
    </row>
    <row r="9303" spans="9:9" x14ac:dyDescent="0.3">
      <c r="I9303" s="101"/>
    </row>
    <row r="9304" spans="9:9" x14ac:dyDescent="0.3">
      <c r="I9304" s="101"/>
    </row>
    <row r="9305" spans="9:9" x14ac:dyDescent="0.3">
      <c r="I9305" s="101"/>
    </row>
    <row r="9306" spans="9:9" x14ac:dyDescent="0.3">
      <c r="I9306" s="101"/>
    </row>
    <row r="9307" spans="9:9" x14ac:dyDescent="0.3">
      <c r="I9307" s="101"/>
    </row>
    <row r="9308" spans="9:9" x14ac:dyDescent="0.3">
      <c r="I9308" s="101"/>
    </row>
    <row r="9309" spans="9:9" x14ac:dyDescent="0.3">
      <c r="I9309" s="101"/>
    </row>
    <row r="9310" spans="9:9" x14ac:dyDescent="0.3">
      <c r="I9310" s="101"/>
    </row>
    <row r="9311" spans="9:9" x14ac:dyDescent="0.3">
      <c r="I9311" s="101"/>
    </row>
    <row r="9312" spans="9:9" x14ac:dyDescent="0.3">
      <c r="I9312" s="101"/>
    </row>
    <row r="9313" spans="9:9" x14ac:dyDescent="0.3">
      <c r="I9313" s="101"/>
    </row>
    <row r="9314" spans="9:9" x14ac:dyDescent="0.3">
      <c r="I9314" s="101"/>
    </row>
    <row r="9315" spans="9:9" x14ac:dyDescent="0.3">
      <c r="I9315" s="101"/>
    </row>
    <row r="9316" spans="9:9" x14ac:dyDescent="0.3">
      <c r="I9316" s="101"/>
    </row>
    <row r="9317" spans="9:9" x14ac:dyDescent="0.3">
      <c r="I9317" s="101"/>
    </row>
    <row r="9318" spans="9:9" x14ac:dyDescent="0.3">
      <c r="I9318" s="101"/>
    </row>
    <row r="9319" spans="9:9" x14ac:dyDescent="0.3">
      <c r="I9319" s="101"/>
    </row>
    <row r="9320" spans="9:9" x14ac:dyDescent="0.3">
      <c r="I9320" s="101"/>
    </row>
    <row r="9321" spans="9:9" x14ac:dyDescent="0.3">
      <c r="I9321" s="101"/>
    </row>
    <row r="9322" spans="9:9" x14ac:dyDescent="0.3">
      <c r="I9322" s="101"/>
    </row>
    <row r="9323" spans="9:9" x14ac:dyDescent="0.3">
      <c r="I9323" s="101"/>
    </row>
    <row r="9324" spans="9:9" x14ac:dyDescent="0.3">
      <c r="I9324" s="101"/>
    </row>
    <row r="9325" spans="9:9" x14ac:dyDescent="0.3">
      <c r="I9325" s="101"/>
    </row>
    <row r="9326" spans="9:9" x14ac:dyDescent="0.3">
      <c r="I9326" s="101"/>
    </row>
    <row r="9327" spans="9:9" x14ac:dyDescent="0.3">
      <c r="I9327" s="101"/>
    </row>
    <row r="9328" spans="9:9" x14ac:dyDescent="0.3">
      <c r="I9328" s="101"/>
    </row>
    <row r="9329" spans="9:9" x14ac:dyDescent="0.3">
      <c r="I9329" s="101"/>
    </row>
    <row r="9330" spans="9:9" x14ac:dyDescent="0.3">
      <c r="I9330" s="101"/>
    </row>
    <row r="9331" spans="9:9" x14ac:dyDescent="0.3">
      <c r="I9331" s="101"/>
    </row>
    <row r="9332" spans="9:9" x14ac:dyDescent="0.3">
      <c r="I9332" s="101"/>
    </row>
    <row r="9333" spans="9:9" x14ac:dyDescent="0.3">
      <c r="I9333" s="101"/>
    </row>
    <row r="9334" spans="9:9" x14ac:dyDescent="0.3">
      <c r="I9334" s="101"/>
    </row>
    <row r="9335" spans="9:9" x14ac:dyDescent="0.3">
      <c r="I9335" s="101"/>
    </row>
    <row r="9336" spans="9:9" x14ac:dyDescent="0.3">
      <c r="I9336" s="101"/>
    </row>
    <row r="9337" spans="9:9" x14ac:dyDescent="0.3">
      <c r="I9337" s="101"/>
    </row>
    <row r="9338" spans="9:9" x14ac:dyDescent="0.3">
      <c r="I9338" s="101"/>
    </row>
    <row r="9339" spans="9:9" x14ac:dyDescent="0.3">
      <c r="I9339" s="101"/>
    </row>
    <row r="9340" spans="9:9" x14ac:dyDescent="0.3">
      <c r="I9340" s="101"/>
    </row>
    <row r="9341" spans="9:9" x14ac:dyDescent="0.3">
      <c r="I9341" s="101"/>
    </row>
    <row r="9342" spans="9:9" x14ac:dyDescent="0.3">
      <c r="I9342" s="101"/>
    </row>
    <row r="9343" spans="9:9" x14ac:dyDescent="0.3">
      <c r="I9343" s="101"/>
    </row>
    <row r="9344" spans="9:9" x14ac:dyDescent="0.3">
      <c r="I9344" s="101"/>
    </row>
    <row r="9345" spans="9:9" x14ac:dyDescent="0.3">
      <c r="I9345" s="101"/>
    </row>
    <row r="9346" spans="9:9" x14ac:dyDescent="0.3">
      <c r="I9346" s="101"/>
    </row>
    <row r="9347" spans="9:9" x14ac:dyDescent="0.3">
      <c r="I9347" s="101"/>
    </row>
    <row r="9348" spans="9:9" x14ac:dyDescent="0.3">
      <c r="I9348" s="101"/>
    </row>
    <row r="9349" spans="9:9" x14ac:dyDescent="0.3">
      <c r="I9349" s="101"/>
    </row>
    <row r="9350" spans="9:9" x14ac:dyDescent="0.3">
      <c r="I9350" s="101"/>
    </row>
    <row r="9351" spans="9:9" x14ac:dyDescent="0.3">
      <c r="I9351" s="101"/>
    </row>
    <row r="9352" spans="9:9" x14ac:dyDescent="0.3">
      <c r="I9352" s="101"/>
    </row>
    <row r="9353" spans="9:9" x14ac:dyDescent="0.3">
      <c r="I9353" s="101"/>
    </row>
    <row r="9354" spans="9:9" x14ac:dyDescent="0.3">
      <c r="I9354" s="101"/>
    </row>
    <row r="9355" spans="9:9" x14ac:dyDescent="0.3">
      <c r="I9355" s="101"/>
    </row>
    <row r="9356" spans="9:9" x14ac:dyDescent="0.3">
      <c r="I9356" s="101"/>
    </row>
    <row r="9357" spans="9:9" x14ac:dyDescent="0.3">
      <c r="I9357" s="101"/>
    </row>
    <row r="9358" spans="9:9" x14ac:dyDescent="0.3">
      <c r="I9358" s="101"/>
    </row>
    <row r="9359" spans="9:9" x14ac:dyDescent="0.3">
      <c r="I9359" s="101"/>
    </row>
    <row r="9360" spans="9:9" x14ac:dyDescent="0.3">
      <c r="I9360" s="101"/>
    </row>
    <row r="9361" spans="9:9" x14ac:dyDescent="0.3">
      <c r="I9361" s="101"/>
    </row>
    <row r="9362" spans="9:9" x14ac:dyDescent="0.3">
      <c r="I9362" s="101"/>
    </row>
    <row r="9363" spans="9:9" x14ac:dyDescent="0.3">
      <c r="I9363" s="101"/>
    </row>
    <row r="9364" spans="9:9" x14ac:dyDescent="0.3">
      <c r="I9364" s="101"/>
    </row>
    <row r="9365" spans="9:9" x14ac:dyDescent="0.3">
      <c r="I9365" s="101"/>
    </row>
    <row r="9366" spans="9:9" x14ac:dyDescent="0.3">
      <c r="I9366" s="101"/>
    </row>
    <row r="9367" spans="9:9" x14ac:dyDescent="0.3">
      <c r="I9367" s="101"/>
    </row>
    <row r="9368" spans="9:9" x14ac:dyDescent="0.3">
      <c r="I9368" s="101"/>
    </row>
    <row r="9369" spans="9:9" x14ac:dyDescent="0.3">
      <c r="I9369" s="101"/>
    </row>
    <row r="9370" spans="9:9" x14ac:dyDescent="0.3">
      <c r="I9370" s="101"/>
    </row>
    <row r="9371" spans="9:9" x14ac:dyDescent="0.3">
      <c r="I9371" s="101"/>
    </row>
    <row r="9372" spans="9:9" x14ac:dyDescent="0.3">
      <c r="I9372" s="101"/>
    </row>
    <row r="9373" spans="9:9" x14ac:dyDescent="0.3">
      <c r="I9373" s="101"/>
    </row>
    <row r="9374" spans="9:9" x14ac:dyDescent="0.3">
      <c r="I9374" s="101"/>
    </row>
    <row r="9375" spans="9:9" x14ac:dyDescent="0.3">
      <c r="I9375" s="101"/>
    </row>
    <row r="9376" spans="9:9" x14ac:dyDescent="0.3">
      <c r="I9376" s="101"/>
    </row>
    <row r="9377" spans="9:9" x14ac:dyDescent="0.3">
      <c r="I9377" s="101"/>
    </row>
    <row r="9378" spans="9:9" x14ac:dyDescent="0.3">
      <c r="I9378" s="101"/>
    </row>
    <row r="9379" spans="9:9" x14ac:dyDescent="0.3">
      <c r="I9379" s="101"/>
    </row>
    <row r="9380" spans="9:9" x14ac:dyDescent="0.3">
      <c r="I9380" s="101"/>
    </row>
    <row r="9381" spans="9:9" x14ac:dyDescent="0.3">
      <c r="I9381" s="101"/>
    </row>
    <row r="9382" spans="9:9" x14ac:dyDescent="0.3">
      <c r="I9382" s="101"/>
    </row>
    <row r="9383" spans="9:9" x14ac:dyDescent="0.3">
      <c r="I9383" s="101"/>
    </row>
    <row r="9384" spans="9:9" x14ac:dyDescent="0.3">
      <c r="I9384" s="101"/>
    </row>
    <row r="9385" spans="9:9" x14ac:dyDescent="0.3">
      <c r="I9385" s="101"/>
    </row>
    <row r="9386" spans="9:9" x14ac:dyDescent="0.3">
      <c r="I9386" s="101"/>
    </row>
    <row r="9387" spans="9:9" x14ac:dyDescent="0.3">
      <c r="I9387" s="101"/>
    </row>
    <row r="9388" spans="9:9" x14ac:dyDescent="0.3">
      <c r="I9388" s="101"/>
    </row>
    <row r="9389" spans="9:9" x14ac:dyDescent="0.3">
      <c r="I9389" s="101"/>
    </row>
    <row r="9390" spans="9:9" x14ac:dyDescent="0.3">
      <c r="I9390" s="101"/>
    </row>
    <row r="9391" spans="9:9" x14ac:dyDescent="0.3">
      <c r="I9391" s="101"/>
    </row>
    <row r="9392" spans="9:9" x14ac:dyDescent="0.3">
      <c r="I9392" s="101"/>
    </row>
    <row r="9393" spans="9:9" x14ac:dyDescent="0.3">
      <c r="I9393" s="101"/>
    </row>
    <row r="9394" spans="9:9" x14ac:dyDescent="0.3">
      <c r="I9394" s="101"/>
    </row>
    <row r="9395" spans="9:9" x14ac:dyDescent="0.3">
      <c r="I9395" s="101"/>
    </row>
    <row r="9396" spans="9:9" x14ac:dyDescent="0.3">
      <c r="I9396" s="101"/>
    </row>
    <row r="9397" spans="9:9" x14ac:dyDescent="0.3">
      <c r="I9397" s="101"/>
    </row>
    <row r="9398" spans="9:9" x14ac:dyDescent="0.3">
      <c r="I9398" s="101"/>
    </row>
    <row r="9399" spans="9:9" x14ac:dyDescent="0.3">
      <c r="I9399" s="101"/>
    </row>
    <row r="9400" spans="9:9" x14ac:dyDescent="0.3">
      <c r="I9400" s="101"/>
    </row>
    <row r="9401" spans="9:9" x14ac:dyDescent="0.3">
      <c r="I9401" s="101"/>
    </row>
    <row r="9402" spans="9:9" x14ac:dyDescent="0.3">
      <c r="I9402" s="101"/>
    </row>
    <row r="9403" spans="9:9" x14ac:dyDescent="0.3">
      <c r="I9403" s="101"/>
    </row>
    <row r="9404" spans="9:9" x14ac:dyDescent="0.3">
      <c r="I9404" s="101"/>
    </row>
    <row r="9405" spans="9:9" x14ac:dyDescent="0.3">
      <c r="I9405" s="101"/>
    </row>
    <row r="9406" spans="9:9" x14ac:dyDescent="0.3">
      <c r="I9406" s="101"/>
    </row>
    <row r="9407" spans="9:9" x14ac:dyDescent="0.3">
      <c r="I9407" s="101"/>
    </row>
    <row r="9408" spans="9:9" x14ac:dyDescent="0.3">
      <c r="I9408" s="101"/>
    </row>
    <row r="9409" spans="9:9" x14ac:dyDescent="0.3">
      <c r="I9409" s="101"/>
    </row>
    <row r="9410" spans="9:9" x14ac:dyDescent="0.3">
      <c r="I9410" s="101"/>
    </row>
    <row r="9411" spans="9:9" x14ac:dyDescent="0.3">
      <c r="I9411" s="101"/>
    </row>
    <row r="9412" spans="9:9" x14ac:dyDescent="0.3">
      <c r="I9412" s="101"/>
    </row>
    <row r="9413" spans="9:9" x14ac:dyDescent="0.3">
      <c r="I9413" s="101"/>
    </row>
    <row r="9414" spans="9:9" x14ac:dyDescent="0.3">
      <c r="I9414" s="101"/>
    </row>
    <row r="9415" spans="9:9" x14ac:dyDescent="0.3">
      <c r="I9415" s="101"/>
    </row>
    <row r="9416" spans="9:9" x14ac:dyDescent="0.3">
      <c r="I9416" s="101"/>
    </row>
    <row r="9417" spans="9:9" x14ac:dyDescent="0.3">
      <c r="I9417" s="101"/>
    </row>
    <row r="9418" spans="9:9" x14ac:dyDescent="0.3">
      <c r="I9418" s="101"/>
    </row>
    <row r="9419" spans="9:9" x14ac:dyDescent="0.3">
      <c r="I9419" s="101"/>
    </row>
    <row r="9420" spans="9:9" x14ac:dyDescent="0.3">
      <c r="I9420" s="101"/>
    </row>
    <row r="9421" spans="9:9" x14ac:dyDescent="0.3">
      <c r="I9421" s="101"/>
    </row>
    <row r="9422" spans="9:9" x14ac:dyDescent="0.3">
      <c r="I9422" s="101"/>
    </row>
    <row r="9423" spans="9:9" x14ac:dyDescent="0.3">
      <c r="I9423" s="101"/>
    </row>
    <row r="9424" spans="9:9" x14ac:dyDescent="0.3">
      <c r="I9424" s="101"/>
    </row>
    <row r="9425" spans="9:9" x14ac:dyDescent="0.3">
      <c r="I9425" s="101"/>
    </row>
    <row r="9426" spans="9:9" x14ac:dyDescent="0.3">
      <c r="I9426" s="101"/>
    </row>
    <row r="9427" spans="9:9" x14ac:dyDescent="0.3">
      <c r="I9427" s="101"/>
    </row>
    <row r="9428" spans="9:9" x14ac:dyDescent="0.3">
      <c r="I9428" s="101"/>
    </row>
    <row r="9429" spans="9:9" x14ac:dyDescent="0.3">
      <c r="I9429" s="101"/>
    </row>
    <row r="9430" spans="9:9" x14ac:dyDescent="0.3">
      <c r="I9430" s="101"/>
    </row>
    <row r="9431" spans="9:9" x14ac:dyDescent="0.3">
      <c r="I9431" s="101"/>
    </row>
    <row r="9432" spans="9:9" x14ac:dyDescent="0.3">
      <c r="I9432" s="101"/>
    </row>
    <row r="9433" spans="9:9" x14ac:dyDescent="0.3">
      <c r="I9433" s="101"/>
    </row>
    <row r="9434" spans="9:9" x14ac:dyDescent="0.3">
      <c r="I9434" s="101"/>
    </row>
    <row r="9435" spans="9:9" x14ac:dyDescent="0.3">
      <c r="I9435" s="101"/>
    </row>
    <row r="9436" spans="9:9" x14ac:dyDescent="0.3">
      <c r="I9436" s="101"/>
    </row>
    <row r="9437" spans="9:9" x14ac:dyDescent="0.3">
      <c r="I9437" s="101"/>
    </row>
    <row r="9438" spans="9:9" x14ac:dyDescent="0.3">
      <c r="I9438" s="101"/>
    </row>
    <row r="9439" spans="9:9" x14ac:dyDescent="0.3">
      <c r="I9439" s="101"/>
    </row>
    <row r="9440" spans="9:9" x14ac:dyDescent="0.3">
      <c r="I9440" s="101"/>
    </row>
    <row r="9441" spans="9:9" x14ac:dyDescent="0.3">
      <c r="I9441" s="101"/>
    </row>
    <row r="9442" spans="9:9" x14ac:dyDescent="0.3">
      <c r="I9442" s="101"/>
    </row>
    <row r="9443" spans="9:9" x14ac:dyDescent="0.3">
      <c r="I9443" s="101"/>
    </row>
    <row r="9444" spans="9:9" x14ac:dyDescent="0.3">
      <c r="I9444" s="101"/>
    </row>
    <row r="9445" spans="9:9" x14ac:dyDescent="0.3">
      <c r="I9445" s="101"/>
    </row>
    <row r="9446" spans="9:9" x14ac:dyDescent="0.3">
      <c r="I9446" s="101"/>
    </row>
    <row r="9447" spans="9:9" x14ac:dyDescent="0.3">
      <c r="I9447" s="101"/>
    </row>
    <row r="9448" spans="9:9" x14ac:dyDescent="0.3">
      <c r="I9448" s="101"/>
    </row>
    <row r="9449" spans="9:9" x14ac:dyDescent="0.3">
      <c r="I9449" s="101"/>
    </row>
    <row r="9450" spans="9:9" x14ac:dyDescent="0.3">
      <c r="I9450" s="101"/>
    </row>
    <row r="9451" spans="9:9" x14ac:dyDescent="0.3">
      <c r="I9451" s="101"/>
    </row>
    <row r="9452" spans="9:9" x14ac:dyDescent="0.3">
      <c r="I9452" s="101"/>
    </row>
    <row r="9453" spans="9:9" x14ac:dyDescent="0.3">
      <c r="I9453" s="101"/>
    </row>
    <row r="9454" spans="9:9" x14ac:dyDescent="0.3">
      <c r="I9454" s="101"/>
    </row>
    <row r="9455" spans="9:9" x14ac:dyDescent="0.3">
      <c r="I9455" s="101"/>
    </row>
    <row r="9456" spans="9:9" x14ac:dyDescent="0.3">
      <c r="I9456" s="101"/>
    </row>
    <row r="9457" spans="9:9" x14ac:dyDescent="0.3">
      <c r="I9457" s="101"/>
    </row>
    <row r="9458" spans="9:9" x14ac:dyDescent="0.3">
      <c r="I9458" s="101"/>
    </row>
    <row r="9459" spans="9:9" x14ac:dyDescent="0.3">
      <c r="I9459" s="101"/>
    </row>
    <row r="9460" spans="9:9" x14ac:dyDescent="0.3">
      <c r="I9460" s="101"/>
    </row>
    <row r="9461" spans="9:9" x14ac:dyDescent="0.3">
      <c r="I9461" s="101"/>
    </row>
    <row r="9462" spans="9:9" x14ac:dyDescent="0.3">
      <c r="I9462" s="101"/>
    </row>
    <row r="9463" spans="9:9" x14ac:dyDescent="0.3">
      <c r="I9463" s="101"/>
    </row>
    <row r="9464" spans="9:9" x14ac:dyDescent="0.3">
      <c r="I9464" s="101"/>
    </row>
    <row r="9465" spans="9:9" x14ac:dyDescent="0.3">
      <c r="I9465" s="101"/>
    </row>
    <row r="9466" spans="9:9" x14ac:dyDescent="0.3">
      <c r="I9466" s="101"/>
    </row>
    <row r="9467" spans="9:9" x14ac:dyDescent="0.3">
      <c r="I9467" s="101"/>
    </row>
    <row r="9468" spans="9:9" x14ac:dyDescent="0.3">
      <c r="I9468" s="101"/>
    </row>
    <row r="9469" spans="9:9" x14ac:dyDescent="0.3">
      <c r="I9469" s="101"/>
    </row>
    <row r="9470" spans="9:9" x14ac:dyDescent="0.3">
      <c r="I9470" s="101"/>
    </row>
    <row r="9471" spans="9:9" x14ac:dyDescent="0.3">
      <c r="I9471" s="101"/>
    </row>
    <row r="9472" spans="9:9" x14ac:dyDescent="0.3">
      <c r="I9472" s="101"/>
    </row>
    <row r="9473" spans="9:9" x14ac:dyDescent="0.3">
      <c r="I9473" s="101"/>
    </row>
    <row r="9474" spans="9:9" x14ac:dyDescent="0.3">
      <c r="I9474" s="101"/>
    </row>
    <row r="9475" spans="9:9" x14ac:dyDescent="0.3">
      <c r="I9475" s="101"/>
    </row>
    <row r="9476" spans="9:9" x14ac:dyDescent="0.3">
      <c r="I9476" s="101"/>
    </row>
    <row r="9477" spans="9:9" x14ac:dyDescent="0.3">
      <c r="I9477" s="101"/>
    </row>
    <row r="9478" spans="9:9" x14ac:dyDescent="0.3">
      <c r="I9478" s="101"/>
    </row>
    <row r="9479" spans="9:9" x14ac:dyDescent="0.3">
      <c r="I9479" s="101"/>
    </row>
    <row r="9480" spans="9:9" x14ac:dyDescent="0.3">
      <c r="I9480" s="101"/>
    </row>
    <row r="9481" spans="9:9" x14ac:dyDescent="0.3">
      <c r="I9481" s="101"/>
    </row>
    <row r="9482" spans="9:9" x14ac:dyDescent="0.3">
      <c r="I9482" s="101"/>
    </row>
    <row r="9483" spans="9:9" x14ac:dyDescent="0.3">
      <c r="I9483" s="101"/>
    </row>
    <row r="9484" spans="9:9" x14ac:dyDescent="0.3">
      <c r="I9484" s="101"/>
    </row>
    <row r="9485" spans="9:9" x14ac:dyDescent="0.3">
      <c r="I9485" s="101"/>
    </row>
    <row r="9486" spans="9:9" x14ac:dyDescent="0.3">
      <c r="I9486" s="101"/>
    </row>
    <row r="9487" spans="9:9" x14ac:dyDescent="0.3">
      <c r="I9487" s="101"/>
    </row>
    <row r="9488" spans="9:9" x14ac:dyDescent="0.3">
      <c r="I9488" s="101"/>
    </row>
    <row r="9489" spans="9:9" x14ac:dyDescent="0.3">
      <c r="I9489" s="101"/>
    </row>
    <row r="9490" spans="9:9" x14ac:dyDescent="0.3">
      <c r="I9490" s="101"/>
    </row>
    <row r="9491" spans="9:9" x14ac:dyDescent="0.3">
      <c r="I9491" s="101"/>
    </row>
    <row r="9492" spans="9:9" x14ac:dyDescent="0.3">
      <c r="I9492" s="101"/>
    </row>
    <row r="9493" spans="9:9" x14ac:dyDescent="0.3">
      <c r="I9493" s="101"/>
    </row>
    <row r="9494" spans="9:9" x14ac:dyDescent="0.3">
      <c r="I9494" s="101"/>
    </row>
    <row r="9495" spans="9:9" x14ac:dyDescent="0.3">
      <c r="I9495" s="101"/>
    </row>
    <row r="9496" spans="9:9" x14ac:dyDescent="0.3">
      <c r="I9496" s="101"/>
    </row>
    <row r="9497" spans="9:9" x14ac:dyDescent="0.3">
      <c r="I9497" s="101"/>
    </row>
    <row r="9498" spans="9:9" x14ac:dyDescent="0.3">
      <c r="I9498" s="101"/>
    </row>
    <row r="9499" spans="9:9" x14ac:dyDescent="0.3">
      <c r="I9499" s="101"/>
    </row>
    <row r="9500" spans="9:9" x14ac:dyDescent="0.3">
      <c r="I9500" s="101"/>
    </row>
    <row r="9501" spans="9:9" x14ac:dyDescent="0.3">
      <c r="I9501" s="101"/>
    </row>
    <row r="9502" spans="9:9" x14ac:dyDescent="0.3">
      <c r="I9502" s="101"/>
    </row>
    <row r="9503" spans="9:9" x14ac:dyDescent="0.3">
      <c r="I9503" s="101"/>
    </row>
    <row r="9504" spans="9:9" x14ac:dyDescent="0.3">
      <c r="I9504" s="101"/>
    </row>
    <row r="9505" spans="9:9" x14ac:dyDescent="0.3">
      <c r="I9505" s="101"/>
    </row>
    <row r="9506" spans="9:9" x14ac:dyDescent="0.3">
      <c r="I9506" s="101"/>
    </row>
    <row r="9507" spans="9:9" x14ac:dyDescent="0.3">
      <c r="I9507" s="101"/>
    </row>
    <row r="9508" spans="9:9" x14ac:dyDescent="0.3">
      <c r="I9508" s="101"/>
    </row>
    <row r="9509" spans="9:9" x14ac:dyDescent="0.3">
      <c r="I9509" s="101"/>
    </row>
    <row r="9510" spans="9:9" x14ac:dyDescent="0.3">
      <c r="I9510" s="101"/>
    </row>
    <row r="9511" spans="9:9" x14ac:dyDescent="0.3">
      <c r="I9511" s="101"/>
    </row>
    <row r="9512" spans="9:9" x14ac:dyDescent="0.3">
      <c r="I9512" s="101"/>
    </row>
    <row r="9513" spans="9:9" x14ac:dyDescent="0.3">
      <c r="I9513" s="101"/>
    </row>
    <row r="9514" spans="9:9" x14ac:dyDescent="0.3">
      <c r="I9514" s="101"/>
    </row>
    <row r="9515" spans="9:9" x14ac:dyDescent="0.3">
      <c r="I9515" s="101"/>
    </row>
    <row r="9516" spans="9:9" x14ac:dyDescent="0.3">
      <c r="I9516" s="101"/>
    </row>
    <row r="9517" spans="9:9" x14ac:dyDescent="0.3">
      <c r="I9517" s="101"/>
    </row>
    <row r="9518" spans="9:9" x14ac:dyDescent="0.3">
      <c r="I9518" s="101"/>
    </row>
    <row r="9519" spans="9:9" x14ac:dyDescent="0.3">
      <c r="I9519" s="101"/>
    </row>
    <row r="9520" spans="9:9" x14ac:dyDescent="0.3">
      <c r="I9520" s="101"/>
    </row>
    <row r="9521" spans="9:9" x14ac:dyDescent="0.3">
      <c r="I9521" s="101"/>
    </row>
    <row r="9522" spans="9:9" x14ac:dyDescent="0.3">
      <c r="I9522" s="101"/>
    </row>
    <row r="9523" spans="9:9" x14ac:dyDescent="0.3">
      <c r="I9523" s="101"/>
    </row>
    <row r="9524" spans="9:9" x14ac:dyDescent="0.3">
      <c r="I9524" s="101"/>
    </row>
    <row r="9525" spans="9:9" x14ac:dyDescent="0.3">
      <c r="I9525" s="101"/>
    </row>
    <row r="9526" spans="9:9" x14ac:dyDescent="0.3">
      <c r="I9526" s="101"/>
    </row>
    <row r="9527" spans="9:9" x14ac:dyDescent="0.3">
      <c r="I9527" s="101"/>
    </row>
    <row r="9528" spans="9:9" x14ac:dyDescent="0.3">
      <c r="I9528" s="101"/>
    </row>
    <row r="9529" spans="9:9" x14ac:dyDescent="0.3">
      <c r="I9529" s="101"/>
    </row>
    <row r="9530" spans="9:9" x14ac:dyDescent="0.3">
      <c r="I9530" s="101"/>
    </row>
    <row r="9531" spans="9:9" x14ac:dyDescent="0.3">
      <c r="I9531" s="101"/>
    </row>
    <row r="9532" spans="9:9" x14ac:dyDescent="0.3">
      <c r="I9532" s="101"/>
    </row>
    <row r="9533" spans="9:9" x14ac:dyDescent="0.3">
      <c r="I9533" s="101"/>
    </row>
    <row r="9534" spans="9:9" x14ac:dyDescent="0.3">
      <c r="I9534" s="101"/>
    </row>
    <row r="9535" spans="9:9" x14ac:dyDescent="0.3">
      <c r="I9535" s="101"/>
    </row>
    <row r="9536" spans="9:9" x14ac:dyDescent="0.3">
      <c r="I9536" s="101"/>
    </row>
    <row r="9537" spans="9:9" x14ac:dyDescent="0.3">
      <c r="I9537" s="101"/>
    </row>
    <row r="9538" spans="9:9" x14ac:dyDescent="0.3">
      <c r="I9538" s="101"/>
    </row>
    <row r="9539" spans="9:9" x14ac:dyDescent="0.3">
      <c r="I9539" s="101"/>
    </row>
    <row r="9540" spans="9:9" x14ac:dyDescent="0.3">
      <c r="I9540" s="101"/>
    </row>
    <row r="9541" spans="9:9" x14ac:dyDescent="0.3">
      <c r="I9541" s="101"/>
    </row>
    <row r="9542" spans="9:9" x14ac:dyDescent="0.3">
      <c r="I9542" s="101"/>
    </row>
    <row r="9543" spans="9:9" x14ac:dyDescent="0.3">
      <c r="I9543" s="101"/>
    </row>
    <row r="9544" spans="9:9" x14ac:dyDescent="0.3">
      <c r="I9544" s="101"/>
    </row>
    <row r="9545" spans="9:9" x14ac:dyDescent="0.3">
      <c r="I9545" s="101"/>
    </row>
    <row r="9546" spans="9:9" x14ac:dyDescent="0.3">
      <c r="I9546" s="101"/>
    </row>
    <row r="9547" spans="9:9" x14ac:dyDescent="0.3">
      <c r="I9547" s="101"/>
    </row>
    <row r="9548" spans="9:9" x14ac:dyDescent="0.3">
      <c r="I9548" s="101"/>
    </row>
    <row r="9549" spans="9:9" x14ac:dyDescent="0.3">
      <c r="I9549" s="101"/>
    </row>
    <row r="9550" spans="9:9" x14ac:dyDescent="0.3">
      <c r="I9550" s="101"/>
    </row>
    <row r="9551" spans="9:9" x14ac:dyDescent="0.3">
      <c r="I9551" s="101"/>
    </row>
    <row r="9552" spans="9:9" x14ac:dyDescent="0.3">
      <c r="I9552" s="101"/>
    </row>
    <row r="9553" spans="9:9" x14ac:dyDescent="0.3">
      <c r="I9553" s="101"/>
    </row>
    <row r="9554" spans="9:9" x14ac:dyDescent="0.3">
      <c r="I9554" s="101"/>
    </row>
    <row r="9555" spans="9:9" x14ac:dyDescent="0.3">
      <c r="I9555" s="101"/>
    </row>
    <row r="9556" spans="9:9" x14ac:dyDescent="0.3">
      <c r="I9556" s="101"/>
    </row>
    <row r="9557" spans="9:9" x14ac:dyDescent="0.3">
      <c r="I9557" s="101"/>
    </row>
    <row r="9558" spans="9:9" x14ac:dyDescent="0.3">
      <c r="I9558" s="101"/>
    </row>
    <row r="9559" spans="9:9" x14ac:dyDescent="0.3">
      <c r="I9559" s="101"/>
    </row>
    <row r="9560" spans="9:9" x14ac:dyDescent="0.3">
      <c r="I9560" s="101"/>
    </row>
    <row r="9561" spans="9:9" x14ac:dyDescent="0.3">
      <c r="I9561" s="101"/>
    </row>
    <row r="9562" spans="9:9" x14ac:dyDescent="0.3">
      <c r="I9562" s="101"/>
    </row>
    <row r="9563" spans="9:9" x14ac:dyDescent="0.3">
      <c r="I9563" s="101"/>
    </row>
    <row r="9564" spans="9:9" x14ac:dyDescent="0.3">
      <c r="I9564" s="101"/>
    </row>
    <row r="9565" spans="9:9" x14ac:dyDescent="0.3">
      <c r="I9565" s="101"/>
    </row>
    <row r="9566" spans="9:9" x14ac:dyDescent="0.3">
      <c r="I9566" s="101"/>
    </row>
    <row r="9567" spans="9:9" x14ac:dyDescent="0.3">
      <c r="I9567" s="101"/>
    </row>
    <row r="9568" spans="9:9" x14ac:dyDescent="0.3">
      <c r="I9568" s="101"/>
    </row>
    <row r="9569" spans="9:9" x14ac:dyDescent="0.3">
      <c r="I9569" s="101"/>
    </row>
    <row r="9570" spans="9:9" x14ac:dyDescent="0.3">
      <c r="I9570" s="101"/>
    </row>
    <row r="9571" spans="9:9" x14ac:dyDescent="0.3">
      <c r="I9571" s="101"/>
    </row>
    <row r="9572" spans="9:9" x14ac:dyDescent="0.3">
      <c r="I9572" s="101"/>
    </row>
    <row r="9573" spans="9:9" x14ac:dyDescent="0.3">
      <c r="I9573" s="101"/>
    </row>
    <row r="9574" spans="9:9" x14ac:dyDescent="0.3">
      <c r="I9574" s="101"/>
    </row>
    <row r="9575" spans="9:9" x14ac:dyDescent="0.3">
      <c r="I9575" s="101"/>
    </row>
    <row r="9576" spans="9:9" x14ac:dyDescent="0.3">
      <c r="I9576" s="101"/>
    </row>
    <row r="9577" spans="9:9" x14ac:dyDescent="0.3">
      <c r="I9577" s="101"/>
    </row>
    <row r="9578" spans="9:9" x14ac:dyDescent="0.3">
      <c r="I9578" s="101"/>
    </row>
    <row r="9579" spans="9:9" x14ac:dyDescent="0.3">
      <c r="I9579" s="101"/>
    </row>
    <row r="9580" spans="9:9" x14ac:dyDescent="0.3">
      <c r="I9580" s="101"/>
    </row>
    <row r="9581" spans="9:9" x14ac:dyDescent="0.3">
      <c r="I9581" s="101"/>
    </row>
    <row r="9582" spans="9:9" x14ac:dyDescent="0.3">
      <c r="I9582" s="101"/>
    </row>
    <row r="9583" spans="9:9" x14ac:dyDescent="0.3">
      <c r="I9583" s="101"/>
    </row>
    <row r="9584" spans="9:9" x14ac:dyDescent="0.3">
      <c r="I9584" s="101"/>
    </row>
    <row r="9585" spans="9:9" x14ac:dyDescent="0.3">
      <c r="I9585" s="101"/>
    </row>
    <row r="9586" spans="9:9" x14ac:dyDescent="0.3">
      <c r="I9586" s="101"/>
    </row>
    <row r="9587" spans="9:9" x14ac:dyDescent="0.3">
      <c r="I9587" s="101"/>
    </row>
    <row r="9588" spans="9:9" x14ac:dyDescent="0.3">
      <c r="I9588" s="101"/>
    </row>
    <row r="9589" spans="9:9" x14ac:dyDescent="0.3">
      <c r="I9589" s="101"/>
    </row>
    <row r="9590" spans="9:9" x14ac:dyDescent="0.3">
      <c r="I9590" s="101"/>
    </row>
    <row r="9591" spans="9:9" x14ac:dyDescent="0.3">
      <c r="I9591" s="101"/>
    </row>
    <row r="9592" spans="9:9" x14ac:dyDescent="0.3">
      <c r="I9592" s="101"/>
    </row>
    <row r="9593" spans="9:9" x14ac:dyDescent="0.3">
      <c r="I9593" s="101"/>
    </row>
    <row r="9594" spans="9:9" x14ac:dyDescent="0.3">
      <c r="I9594" s="101"/>
    </row>
    <row r="9595" spans="9:9" x14ac:dyDescent="0.3">
      <c r="I9595" s="101"/>
    </row>
    <row r="9596" spans="9:9" x14ac:dyDescent="0.3">
      <c r="I9596" s="101"/>
    </row>
    <row r="9597" spans="9:9" x14ac:dyDescent="0.3">
      <c r="I9597" s="101"/>
    </row>
    <row r="9598" spans="9:9" x14ac:dyDescent="0.3">
      <c r="I9598" s="101"/>
    </row>
    <row r="9599" spans="9:9" x14ac:dyDescent="0.3">
      <c r="I9599" s="101"/>
    </row>
    <row r="9600" spans="9:9" x14ac:dyDescent="0.3">
      <c r="I9600" s="101"/>
    </row>
    <row r="9601" spans="9:9" x14ac:dyDescent="0.3">
      <c r="I9601" s="101"/>
    </row>
    <row r="9602" spans="9:9" x14ac:dyDescent="0.3">
      <c r="I9602" s="101"/>
    </row>
    <row r="9603" spans="9:9" x14ac:dyDescent="0.3">
      <c r="I9603" s="101"/>
    </row>
    <row r="9604" spans="9:9" x14ac:dyDescent="0.3">
      <c r="I9604" s="101"/>
    </row>
    <row r="9605" spans="9:9" x14ac:dyDescent="0.3">
      <c r="I9605" s="101"/>
    </row>
    <row r="9606" spans="9:9" x14ac:dyDescent="0.3">
      <c r="I9606" s="101"/>
    </row>
    <row r="9607" spans="9:9" x14ac:dyDescent="0.3">
      <c r="I9607" s="101"/>
    </row>
    <row r="9608" spans="9:9" x14ac:dyDescent="0.3">
      <c r="I9608" s="101"/>
    </row>
    <row r="9609" spans="9:9" x14ac:dyDescent="0.3">
      <c r="I9609" s="101"/>
    </row>
    <row r="9610" spans="9:9" x14ac:dyDescent="0.3">
      <c r="I9610" s="101"/>
    </row>
    <row r="9611" spans="9:9" x14ac:dyDescent="0.3">
      <c r="I9611" s="101"/>
    </row>
    <row r="9612" spans="9:9" x14ac:dyDescent="0.3">
      <c r="I9612" s="101"/>
    </row>
    <row r="9613" spans="9:9" x14ac:dyDescent="0.3">
      <c r="I9613" s="101"/>
    </row>
    <row r="9614" spans="9:9" x14ac:dyDescent="0.3">
      <c r="I9614" s="101"/>
    </row>
    <row r="9615" spans="9:9" x14ac:dyDescent="0.3">
      <c r="I9615" s="101"/>
    </row>
    <row r="9616" spans="9:9" x14ac:dyDescent="0.3">
      <c r="I9616" s="101"/>
    </row>
    <row r="9617" spans="9:9" x14ac:dyDescent="0.3">
      <c r="I9617" s="101"/>
    </row>
    <row r="9618" spans="9:9" x14ac:dyDescent="0.3">
      <c r="I9618" s="101"/>
    </row>
    <row r="9619" spans="9:9" x14ac:dyDescent="0.3">
      <c r="I9619" s="101"/>
    </row>
    <row r="9620" spans="9:9" x14ac:dyDescent="0.3">
      <c r="I9620" s="101"/>
    </row>
    <row r="9621" spans="9:9" x14ac:dyDescent="0.3">
      <c r="I9621" s="101"/>
    </row>
    <row r="9622" spans="9:9" x14ac:dyDescent="0.3">
      <c r="I9622" s="101"/>
    </row>
    <row r="9623" spans="9:9" x14ac:dyDescent="0.3">
      <c r="I9623" s="101"/>
    </row>
    <row r="9624" spans="9:9" x14ac:dyDescent="0.3">
      <c r="I9624" s="101"/>
    </row>
    <row r="9625" spans="9:9" x14ac:dyDescent="0.3">
      <c r="I9625" s="101"/>
    </row>
    <row r="9626" spans="9:9" x14ac:dyDescent="0.3">
      <c r="I9626" s="101"/>
    </row>
    <row r="9627" spans="9:9" x14ac:dyDescent="0.3">
      <c r="I9627" s="101"/>
    </row>
    <row r="9628" spans="9:9" x14ac:dyDescent="0.3">
      <c r="I9628" s="101"/>
    </row>
    <row r="9629" spans="9:9" x14ac:dyDescent="0.3">
      <c r="I9629" s="101"/>
    </row>
    <row r="9630" spans="9:9" x14ac:dyDescent="0.3">
      <c r="I9630" s="101"/>
    </row>
    <row r="9631" spans="9:9" x14ac:dyDescent="0.3">
      <c r="I9631" s="101"/>
    </row>
    <row r="9632" spans="9:9" x14ac:dyDescent="0.3">
      <c r="I9632" s="101"/>
    </row>
    <row r="9633" spans="9:9" x14ac:dyDescent="0.3">
      <c r="I9633" s="101"/>
    </row>
    <row r="9634" spans="9:9" x14ac:dyDescent="0.3">
      <c r="I9634" s="101"/>
    </row>
    <row r="9635" spans="9:9" x14ac:dyDescent="0.3">
      <c r="I9635" s="101"/>
    </row>
    <row r="9636" spans="9:9" x14ac:dyDescent="0.3">
      <c r="I9636" s="101"/>
    </row>
    <row r="9637" spans="9:9" x14ac:dyDescent="0.3">
      <c r="I9637" s="101"/>
    </row>
    <row r="9638" spans="9:9" x14ac:dyDescent="0.3">
      <c r="I9638" s="101"/>
    </row>
    <row r="9639" spans="9:9" x14ac:dyDescent="0.3">
      <c r="I9639" s="101"/>
    </row>
    <row r="9640" spans="9:9" x14ac:dyDescent="0.3">
      <c r="I9640" s="101"/>
    </row>
    <row r="9641" spans="9:9" x14ac:dyDescent="0.3">
      <c r="I9641" s="101"/>
    </row>
    <row r="9642" spans="9:9" x14ac:dyDescent="0.3">
      <c r="I9642" s="101"/>
    </row>
    <row r="9643" spans="9:9" x14ac:dyDescent="0.3">
      <c r="I9643" s="101"/>
    </row>
    <row r="9644" spans="9:9" x14ac:dyDescent="0.3">
      <c r="I9644" s="101"/>
    </row>
    <row r="9645" spans="9:9" x14ac:dyDescent="0.3">
      <c r="I9645" s="101"/>
    </row>
    <row r="9646" spans="9:9" x14ac:dyDescent="0.3">
      <c r="I9646" s="101"/>
    </row>
    <row r="9647" spans="9:9" x14ac:dyDescent="0.3">
      <c r="I9647" s="101"/>
    </row>
    <row r="9648" spans="9:9" x14ac:dyDescent="0.3">
      <c r="I9648" s="101"/>
    </row>
    <row r="9649" spans="9:9" x14ac:dyDescent="0.3">
      <c r="I9649" s="101"/>
    </row>
    <row r="9650" spans="9:9" x14ac:dyDescent="0.3">
      <c r="I9650" s="101"/>
    </row>
    <row r="9651" spans="9:9" x14ac:dyDescent="0.3">
      <c r="I9651" s="101"/>
    </row>
    <row r="9652" spans="9:9" x14ac:dyDescent="0.3">
      <c r="I9652" s="101"/>
    </row>
    <row r="9653" spans="9:9" x14ac:dyDescent="0.3">
      <c r="I9653" s="101"/>
    </row>
    <row r="9654" spans="9:9" x14ac:dyDescent="0.3">
      <c r="I9654" s="101"/>
    </row>
    <row r="9655" spans="9:9" x14ac:dyDescent="0.3">
      <c r="I9655" s="101"/>
    </row>
    <row r="9656" spans="9:9" x14ac:dyDescent="0.3">
      <c r="I9656" s="101"/>
    </row>
    <row r="9657" spans="9:9" x14ac:dyDescent="0.3">
      <c r="I9657" s="101"/>
    </row>
    <row r="9658" spans="9:9" x14ac:dyDescent="0.3">
      <c r="I9658" s="101"/>
    </row>
    <row r="9659" spans="9:9" x14ac:dyDescent="0.3">
      <c r="I9659" s="101"/>
    </row>
    <row r="9660" spans="9:9" x14ac:dyDescent="0.3">
      <c r="I9660" s="101"/>
    </row>
    <row r="9661" spans="9:9" x14ac:dyDescent="0.3">
      <c r="I9661" s="101"/>
    </row>
    <row r="9662" spans="9:9" x14ac:dyDescent="0.3">
      <c r="I9662" s="101"/>
    </row>
    <row r="9663" spans="9:9" x14ac:dyDescent="0.3">
      <c r="I9663" s="101"/>
    </row>
    <row r="9664" spans="9:9" x14ac:dyDescent="0.3">
      <c r="I9664" s="101"/>
    </row>
    <row r="9665" spans="9:9" x14ac:dyDescent="0.3">
      <c r="I9665" s="101"/>
    </row>
    <row r="9666" spans="9:9" x14ac:dyDescent="0.3">
      <c r="I9666" s="101"/>
    </row>
    <row r="9667" spans="9:9" x14ac:dyDescent="0.3">
      <c r="I9667" s="101"/>
    </row>
    <row r="9668" spans="9:9" x14ac:dyDescent="0.3">
      <c r="I9668" s="101"/>
    </row>
    <row r="9669" spans="9:9" x14ac:dyDescent="0.3">
      <c r="I9669" s="101"/>
    </row>
    <row r="9670" spans="9:9" x14ac:dyDescent="0.3">
      <c r="I9670" s="101"/>
    </row>
    <row r="9671" spans="9:9" x14ac:dyDescent="0.3">
      <c r="I9671" s="101"/>
    </row>
    <row r="9672" spans="9:9" x14ac:dyDescent="0.3">
      <c r="I9672" s="101"/>
    </row>
    <row r="9673" spans="9:9" x14ac:dyDescent="0.3">
      <c r="I9673" s="101"/>
    </row>
    <row r="9674" spans="9:9" x14ac:dyDescent="0.3">
      <c r="I9674" s="101"/>
    </row>
    <row r="9675" spans="9:9" x14ac:dyDescent="0.3">
      <c r="I9675" s="101"/>
    </row>
    <row r="9676" spans="9:9" x14ac:dyDescent="0.3">
      <c r="I9676" s="101"/>
    </row>
    <row r="9677" spans="9:9" x14ac:dyDescent="0.3">
      <c r="I9677" s="101"/>
    </row>
    <row r="9678" spans="9:9" x14ac:dyDescent="0.3">
      <c r="I9678" s="101"/>
    </row>
    <row r="9679" spans="9:9" x14ac:dyDescent="0.3">
      <c r="I9679" s="101"/>
    </row>
    <row r="9680" spans="9:9" x14ac:dyDescent="0.3">
      <c r="I9680" s="101"/>
    </row>
    <row r="9681" spans="9:9" x14ac:dyDescent="0.3">
      <c r="I9681" s="101"/>
    </row>
    <row r="9682" spans="9:9" x14ac:dyDescent="0.3">
      <c r="I9682" s="101"/>
    </row>
    <row r="9683" spans="9:9" x14ac:dyDescent="0.3">
      <c r="I9683" s="101"/>
    </row>
    <row r="9684" spans="9:9" x14ac:dyDescent="0.3">
      <c r="I9684" s="101"/>
    </row>
    <row r="9685" spans="9:9" x14ac:dyDescent="0.3">
      <c r="I9685" s="101"/>
    </row>
    <row r="9686" spans="9:9" x14ac:dyDescent="0.3">
      <c r="I9686" s="101"/>
    </row>
    <row r="9687" spans="9:9" x14ac:dyDescent="0.3">
      <c r="I9687" s="101"/>
    </row>
    <row r="9688" spans="9:9" x14ac:dyDescent="0.3">
      <c r="I9688" s="101"/>
    </row>
    <row r="9689" spans="9:9" x14ac:dyDescent="0.3">
      <c r="I9689" s="101"/>
    </row>
    <row r="9690" spans="9:9" x14ac:dyDescent="0.3">
      <c r="I9690" s="101"/>
    </row>
    <row r="9691" spans="9:9" x14ac:dyDescent="0.3">
      <c r="I9691" s="101"/>
    </row>
    <row r="9692" spans="9:9" x14ac:dyDescent="0.3">
      <c r="I9692" s="101"/>
    </row>
    <row r="9693" spans="9:9" x14ac:dyDescent="0.3">
      <c r="I9693" s="101"/>
    </row>
    <row r="9694" spans="9:9" x14ac:dyDescent="0.3">
      <c r="I9694" s="101"/>
    </row>
    <row r="9695" spans="9:9" x14ac:dyDescent="0.3">
      <c r="I9695" s="101"/>
    </row>
    <row r="9696" spans="9:9" x14ac:dyDescent="0.3">
      <c r="I9696" s="101"/>
    </row>
    <row r="9697" spans="9:9" x14ac:dyDescent="0.3">
      <c r="I9697" s="101"/>
    </row>
    <row r="9698" spans="9:9" x14ac:dyDescent="0.3">
      <c r="I9698" s="101"/>
    </row>
    <row r="9699" spans="9:9" x14ac:dyDescent="0.3">
      <c r="I9699" s="101"/>
    </row>
    <row r="9700" spans="9:9" x14ac:dyDescent="0.3">
      <c r="I9700" s="101"/>
    </row>
    <row r="9701" spans="9:9" x14ac:dyDescent="0.3">
      <c r="I9701" s="101"/>
    </row>
    <row r="9702" spans="9:9" x14ac:dyDescent="0.3">
      <c r="I9702" s="101"/>
    </row>
    <row r="9703" spans="9:9" x14ac:dyDescent="0.3">
      <c r="I9703" s="101"/>
    </row>
    <row r="9704" spans="9:9" x14ac:dyDescent="0.3">
      <c r="I9704" s="101"/>
    </row>
    <row r="9705" spans="9:9" x14ac:dyDescent="0.3">
      <c r="I9705" s="101"/>
    </row>
    <row r="9706" spans="9:9" x14ac:dyDescent="0.3">
      <c r="I9706" s="101"/>
    </row>
    <row r="9707" spans="9:9" x14ac:dyDescent="0.3">
      <c r="I9707" s="101"/>
    </row>
    <row r="9708" spans="9:9" x14ac:dyDescent="0.3">
      <c r="I9708" s="101"/>
    </row>
    <row r="9709" spans="9:9" x14ac:dyDescent="0.3">
      <c r="I9709" s="101"/>
    </row>
    <row r="9710" spans="9:9" x14ac:dyDescent="0.3">
      <c r="I9710" s="101"/>
    </row>
    <row r="9711" spans="9:9" x14ac:dyDescent="0.3">
      <c r="I9711" s="101"/>
    </row>
    <row r="9712" spans="9:9" x14ac:dyDescent="0.3">
      <c r="I9712" s="101"/>
    </row>
    <row r="9713" spans="9:9" x14ac:dyDescent="0.3">
      <c r="I9713" s="101"/>
    </row>
    <row r="9714" spans="9:9" x14ac:dyDescent="0.3">
      <c r="I9714" s="101"/>
    </row>
    <row r="9715" spans="9:9" x14ac:dyDescent="0.3">
      <c r="I9715" s="101"/>
    </row>
    <row r="9716" spans="9:9" x14ac:dyDescent="0.3">
      <c r="I9716" s="101"/>
    </row>
    <row r="9717" spans="9:9" x14ac:dyDescent="0.3">
      <c r="I9717" s="101"/>
    </row>
    <row r="9718" spans="9:9" x14ac:dyDescent="0.3">
      <c r="I9718" s="101"/>
    </row>
    <row r="9719" spans="9:9" x14ac:dyDescent="0.3">
      <c r="I9719" s="101"/>
    </row>
    <row r="9720" spans="9:9" x14ac:dyDescent="0.3">
      <c r="I9720" s="101"/>
    </row>
    <row r="9721" spans="9:9" x14ac:dyDescent="0.3">
      <c r="I9721" s="101"/>
    </row>
    <row r="9722" spans="9:9" x14ac:dyDescent="0.3">
      <c r="I9722" s="101"/>
    </row>
    <row r="9723" spans="9:9" x14ac:dyDescent="0.3">
      <c r="I9723" s="101"/>
    </row>
    <row r="9724" spans="9:9" x14ac:dyDescent="0.3">
      <c r="I9724" s="101"/>
    </row>
    <row r="9725" spans="9:9" x14ac:dyDescent="0.3">
      <c r="I9725" s="101"/>
    </row>
    <row r="9726" spans="9:9" x14ac:dyDescent="0.3">
      <c r="I9726" s="101"/>
    </row>
    <row r="9727" spans="9:9" x14ac:dyDescent="0.3">
      <c r="I9727" s="101"/>
    </row>
    <row r="9728" spans="9:9" x14ac:dyDescent="0.3">
      <c r="I9728" s="101"/>
    </row>
    <row r="9729" spans="9:9" x14ac:dyDescent="0.3">
      <c r="I9729" s="101"/>
    </row>
    <row r="9730" spans="9:9" x14ac:dyDescent="0.3">
      <c r="I9730" s="101"/>
    </row>
    <row r="9731" spans="9:9" x14ac:dyDescent="0.3">
      <c r="I9731" s="101"/>
    </row>
    <row r="9732" spans="9:9" x14ac:dyDescent="0.3">
      <c r="I9732" s="101"/>
    </row>
    <row r="9733" spans="9:9" x14ac:dyDescent="0.3">
      <c r="I9733" s="101"/>
    </row>
    <row r="9734" spans="9:9" x14ac:dyDescent="0.3">
      <c r="I9734" s="101"/>
    </row>
    <row r="9735" spans="9:9" x14ac:dyDescent="0.3">
      <c r="I9735" s="101"/>
    </row>
    <row r="9736" spans="9:9" x14ac:dyDescent="0.3">
      <c r="I9736" s="101"/>
    </row>
    <row r="9737" spans="9:9" x14ac:dyDescent="0.3">
      <c r="I9737" s="101"/>
    </row>
    <row r="9738" spans="9:9" x14ac:dyDescent="0.3">
      <c r="I9738" s="101"/>
    </row>
    <row r="9739" spans="9:9" x14ac:dyDescent="0.3">
      <c r="I9739" s="101"/>
    </row>
    <row r="9740" spans="9:9" x14ac:dyDescent="0.3">
      <c r="I9740" s="101"/>
    </row>
    <row r="9741" spans="9:9" x14ac:dyDescent="0.3">
      <c r="I9741" s="101"/>
    </row>
    <row r="9742" spans="9:9" x14ac:dyDescent="0.3">
      <c r="I9742" s="101"/>
    </row>
    <row r="9743" spans="9:9" x14ac:dyDescent="0.3">
      <c r="I9743" s="101"/>
    </row>
    <row r="9744" spans="9:9" x14ac:dyDescent="0.3">
      <c r="I9744" s="101"/>
    </row>
    <row r="9745" spans="9:9" x14ac:dyDescent="0.3">
      <c r="I9745" s="101"/>
    </row>
    <row r="9746" spans="9:9" x14ac:dyDescent="0.3">
      <c r="I9746" s="101"/>
    </row>
    <row r="9747" spans="9:9" x14ac:dyDescent="0.3">
      <c r="I9747" s="101"/>
    </row>
    <row r="9748" spans="9:9" x14ac:dyDescent="0.3">
      <c r="I9748" s="101"/>
    </row>
    <row r="9749" spans="9:9" x14ac:dyDescent="0.3">
      <c r="I9749" s="101"/>
    </row>
    <row r="9750" spans="9:9" x14ac:dyDescent="0.3">
      <c r="I9750" s="101"/>
    </row>
    <row r="9751" spans="9:9" x14ac:dyDescent="0.3">
      <c r="I9751" s="101"/>
    </row>
    <row r="9752" spans="9:9" x14ac:dyDescent="0.3">
      <c r="I9752" s="101"/>
    </row>
    <row r="9753" spans="9:9" x14ac:dyDescent="0.3">
      <c r="I9753" s="101"/>
    </row>
    <row r="9754" spans="9:9" x14ac:dyDescent="0.3">
      <c r="I9754" s="101"/>
    </row>
    <row r="9755" spans="9:9" x14ac:dyDescent="0.3">
      <c r="I9755" s="101"/>
    </row>
    <row r="9756" spans="9:9" x14ac:dyDescent="0.3">
      <c r="I9756" s="101"/>
    </row>
    <row r="9757" spans="9:9" x14ac:dyDescent="0.3">
      <c r="I9757" s="101"/>
    </row>
    <row r="9758" spans="9:9" x14ac:dyDescent="0.3">
      <c r="I9758" s="101"/>
    </row>
    <row r="9759" spans="9:9" x14ac:dyDescent="0.3">
      <c r="I9759" s="101"/>
    </row>
    <row r="9760" spans="9:9" x14ac:dyDescent="0.3">
      <c r="I9760" s="101"/>
    </row>
    <row r="9761" spans="9:9" x14ac:dyDescent="0.3">
      <c r="I9761" s="101"/>
    </row>
    <row r="9762" spans="9:9" x14ac:dyDescent="0.3">
      <c r="I9762" s="101"/>
    </row>
    <row r="9763" spans="9:9" x14ac:dyDescent="0.3">
      <c r="I9763" s="101"/>
    </row>
    <row r="9764" spans="9:9" x14ac:dyDescent="0.3">
      <c r="I9764" s="101"/>
    </row>
    <row r="9765" spans="9:9" x14ac:dyDescent="0.3">
      <c r="I9765" s="101"/>
    </row>
    <row r="9766" spans="9:9" x14ac:dyDescent="0.3">
      <c r="I9766" s="101"/>
    </row>
    <row r="9767" spans="9:9" x14ac:dyDescent="0.3">
      <c r="I9767" s="101"/>
    </row>
    <row r="9768" spans="9:9" x14ac:dyDescent="0.3">
      <c r="I9768" s="101"/>
    </row>
    <row r="9769" spans="9:9" x14ac:dyDescent="0.3">
      <c r="I9769" s="101"/>
    </row>
    <row r="9770" spans="9:9" x14ac:dyDescent="0.3">
      <c r="I9770" s="101"/>
    </row>
    <row r="9771" spans="9:9" x14ac:dyDescent="0.3">
      <c r="I9771" s="101"/>
    </row>
    <row r="9772" spans="9:9" x14ac:dyDescent="0.3">
      <c r="I9772" s="101"/>
    </row>
    <row r="9773" spans="9:9" x14ac:dyDescent="0.3">
      <c r="I9773" s="101"/>
    </row>
    <row r="9774" spans="9:9" x14ac:dyDescent="0.3">
      <c r="I9774" s="101"/>
    </row>
    <row r="9775" spans="9:9" x14ac:dyDescent="0.3">
      <c r="I9775" s="101"/>
    </row>
    <row r="9776" spans="9:9" x14ac:dyDescent="0.3">
      <c r="I9776" s="101"/>
    </row>
    <row r="9777" spans="9:9" x14ac:dyDescent="0.3">
      <c r="I9777" s="101"/>
    </row>
    <row r="9778" spans="9:9" x14ac:dyDescent="0.3">
      <c r="I9778" s="101"/>
    </row>
    <row r="9779" spans="9:9" x14ac:dyDescent="0.3">
      <c r="I9779" s="101"/>
    </row>
    <row r="9780" spans="9:9" x14ac:dyDescent="0.3">
      <c r="I9780" s="101"/>
    </row>
    <row r="9781" spans="9:9" x14ac:dyDescent="0.3">
      <c r="I9781" s="101"/>
    </row>
    <row r="9782" spans="9:9" x14ac:dyDescent="0.3">
      <c r="I9782" s="101"/>
    </row>
    <row r="9783" spans="9:9" x14ac:dyDescent="0.3">
      <c r="I9783" s="101"/>
    </row>
    <row r="9784" spans="9:9" x14ac:dyDescent="0.3">
      <c r="I9784" s="101"/>
    </row>
    <row r="9785" spans="9:9" x14ac:dyDescent="0.3">
      <c r="I9785" s="101"/>
    </row>
    <row r="9786" spans="9:9" x14ac:dyDescent="0.3">
      <c r="I9786" s="101"/>
    </row>
    <row r="9787" spans="9:9" x14ac:dyDescent="0.3">
      <c r="I9787" s="101"/>
    </row>
    <row r="9788" spans="9:9" x14ac:dyDescent="0.3">
      <c r="I9788" s="101"/>
    </row>
    <row r="9789" spans="9:9" x14ac:dyDescent="0.3">
      <c r="I9789" s="101"/>
    </row>
    <row r="9790" spans="9:9" x14ac:dyDescent="0.3">
      <c r="I9790" s="101"/>
    </row>
    <row r="9791" spans="9:9" x14ac:dyDescent="0.3">
      <c r="I9791" s="101"/>
    </row>
    <row r="9792" spans="9:9" x14ac:dyDescent="0.3">
      <c r="I9792" s="101"/>
    </row>
    <row r="9793" spans="9:9" x14ac:dyDescent="0.3">
      <c r="I9793" s="101"/>
    </row>
    <row r="9794" spans="9:9" x14ac:dyDescent="0.3">
      <c r="I9794" s="101"/>
    </row>
    <row r="9795" spans="9:9" x14ac:dyDescent="0.3">
      <c r="I9795" s="101"/>
    </row>
    <row r="9796" spans="9:9" x14ac:dyDescent="0.3">
      <c r="I9796" s="101"/>
    </row>
    <row r="9797" spans="9:9" x14ac:dyDescent="0.3">
      <c r="I9797" s="101"/>
    </row>
    <row r="9798" spans="9:9" x14ac:dyDescent="0.3">
      <c r="I9798" s="101"/>
    </row>
    <row r="9799" spans="9:9" x14ac:dyDescent="0.3">
      <c r="I9799" s="101"/>
    </row>
    <row r="9800" spans="9:9" x14ac:dyDescent="0.3">
      <c r="I9800" s="101"/>
    </row>
    <row r="9801" spans="9:9" x14ac:dyDescent="0.3">
      <c r="I9801" s="101"/>
    </row>
    <row r="9802" spans="9:9" x14ac:dyDescent="0.3">
      <c r="I9802" s="101"/>
    </row>
    <row r="9803" spans="9:9" x14ac:dyDescent="0.3">
      <c r="I9803" s="101"/>
    </row>
    <row r="9804" spans="9:9" x14ac:dyDescent="0.3">
      <c r="I9804" s="101"/>
    </row>
    <row r="9805" spans="9:9" x14ac:dyDescent="0.3">
      <c r="I9805" s="101"/>
    </row>
    <row r="9806" spans="9:9" x14ac:dyDescent="0.3">
      <c r="I9806" s="101"/>
    </row>
    <row r="9807" spans="9:9" x14ac:dyDescent="0.3">
      <c r="I9807" s="101"/>
    </row>
    <row r="9808" spans="9:9" x14ac:dyDescent="0.3">
      <c r="I9808" s="101"/>
    </row>
    <row r="9809" spans="9:9" x14ac:dyDescent="0.3">
      <c r="I9809" s="101"/>
    </row>
    <row r="9810" spans="9:9" x14ac:dyDescent="0.3">
      <c r="I9810" s="101"/>
    </row>
    <row r="9811" spans="9:9" x14ac:dyDescent="0.3">
      <c r="I9811" s="101"/>
    </row>
    <row r="9812" spans="9:9" x14ac:dyDescent="0.3">
      <c r="I9812" s="101"/>
    </row>
    <row r="9813" spans="9:9" x14ac:dyDescent="0.3">
      <c r="I9813" s="101"/>
    </row>
    <row r="9814" spans="9:9" x14ac:dyDescent="0.3">
      <c r="I9814" s="101"/>
    </row>
    <row r="9815" spans="9:9" x14ac:dyDescent="0.3">
      <c r="I9815" s="101"/>
    </row>
    <row r="9816" spans="9:9" x14ac:dyDescent="0.3">
      <c r="I9816" s="101"/>
    </row>
    <row r="9817" spans="9:9" x14ac:dyDescent="0.3">
      <c r="I9817" s="101"/>
    </row>
    <row r="9818" spans="9:9" x14ac:dyDescent="0.3">
      <c r="I9818" s="101"/>
    </row>
    <row r="9819" spans="9:9" x14ac:dyDescent="0.3">
      <c r="I9819" s="101"/>
    </row>
    <row r="9820" spans="9:9" x14ac:dyDescent="0.3">
      <c r="I9820" s="101"/>
    </row>
    <row r="9821" spans="9:9" x14ac:dyDescent="0.3">
      <c r="I9821" s="101"/>
    </row>
    <row r="9822" spans="9:9" x14ac:dyDescent="0.3">
      <c r="I9822" s="101"/>
    </row>
    <row r="9823" spans="9:9" x14ac:dyDescent="0.3">
      <c r="I9823" s="101"/>
    </row>
    <row r="9824" spans="9:9" x14ac:dyDescent="0.3">
      <c r="I9824" s="101"/>
    </row>
    <row r="9825" spans="9:9" x14ac:dyDescent="0.3">
      <c r="I9825" s="101"/>
    </row>
    <row r="9826" spans="9:9" x14ac:dyDescent="0.3">
      <c r="I9826" s="101"/>
    </row>
    <row r="9827" spans="9:9" x14ac:dyDescent="0.3">
      <c r="I9827" s="101"/>
    </row>
    <row r="9828" spans="9:9" x14ac:dyDescent="0.3">
      <c r="I9828" s="101"/>
    </row>
    <row r="9829" spans="9:9" x14ac:dyDescent="0.3">
      <c r="I9829" s="101"/>
    </row>
    <row r="9830" spans="9:9" x14ac:dyDescent="0.3">
      <c r="I9830" s="101"/>
    </row>
    <row r="9831" spans="9:9" x14ac:dyDescent="0.3">
      <c r="I9831" s="101"/>
    </row>
    <row r="9832" spans="9:9" x14ac:dyDescent="0.3">
      <c r="I9832" s="101"/>
    </row>
    <row r="9833" spans="9:9" x14ac:dyDescent="0.3">
      <c r="I9833" s="101"/>
    </row>
    <row r="9834" spans="9:9" x14ac:dyDescent="0.3">
      <c r="I9834" s="101"/>
    </row>
    <row r="9835" spans="9:9" x14ac:dyDescent="0.3">
      <c r="I9835" s="101"/>
    </row>
    <row r="9836" spans="9:9" x14ac:dyDescent="0.3">
      <c r="I9836" s="101"/>
    </row>
    <row r="9837" spans="9:9" x14ac:dyDescent="0.3">
      <c r="I9837" s="101"/>
    </row>
    <row r="9838" spans="9:9" x14ac:dyDescent="0.3">
      <c r="I9838" s="101"/>
    </row>
    <row r="9839" spans="9:9" x14ac:dyDescent="0.3">
      <c r="I9839" s="101"/>
    </row>
    <row r="9840" spans="9:9" x14ac:dyDescent="0.3">
      <c r="I9840" s="101"/>
    </row>
    <row r="9841" spans="9:9" x14ac:dyDescent="0.3">
      <c r="I9841" s="101"/>
    </row>
    <row r="9842" spans="9:9" x14ac:dyDescent="0.3">
      <c r="I9842" s="101"/>
    </row>
    <row r="9843" spans="9:9" x14ac:dyDescent="0.3">
      <c r="I9843" s="101"/>
    </row>
    <row r="9844" spans="9:9" x14ac:dyDescent="0.3">
      <c r="I9844" s="101"/>
    </row>
    <row r="9845" spans="9:9" x14ac:dyDescent="0.3">
      <c r="I9845" s="101"/>
    </row>
    <row r="9846" spans="9:9" x14ac:dyDescent="0.3">
      <c r="I9846" s="101"/>
    </row>
    <row r="9847" spans="9:9" x14ac:dyDescent="0.3">
      <c r="I9847" s="101"/>
    </row>
    <row r="9848" spans="9:9" x14ac:dyDescent="0.3">
      <c r="I9848" s="101"/>
    </row>
    <row r="9849" spans="9:9" x14ac:dyDescent="0.3">
      <c r="I9849" s="101"/>
    </row>
    <row r="9850" spans="9:9" x14ac:dyDescent="0.3">
      <c r="I9850" s="101"/>
    </row>
    <row r="9851" spans="9:9" x14ac:dyDescent="0.3">
      <c r="I9851" s="101"/>
    </row>
    <row r="9852" spans="9:9" x14ac:dyDescent="0.3">
      <c r="I9852" s="101"/>
    </row>
    <row r="9853" spans="9:9" x14ac:dyDescent="0.3">
      <c r="I9853" s="101"/>
    </row>
    <row r="9854" spans="9:9" x14ac:dyDescent="0.3">
      <c r="I9854" s="101"/>
    </row>
    <row r="9855" spans="9:9" x14ac:dyDescent="0.3">
      <c r="I9855" s="101"/>
    </row>
    <row r="9856" spans="9:9" x14ac:dyDescent="0.3">
      <c r="I9856" s="101"/>
    </row>
    <row r="9857" spans="9:9" x14ac:dyDescent="0.3">
      <c r="I9857" s="101"/>
    </row>
    <row r="9858" spans="9:9" x14ac:dyDescent="0.3">
      <c r="I9858" s="101"/>
    </row>
    <row r="9859" spans="9:9" x14ac:dyDescent="0.3">
      <c r="I9859" s="101"/>
    </row>
    <row r="9860" spans="9:9" x14ac:dyDescent="0.3">
      <c r="I9860" s="101"/>
    </row>
    <row r="9861" spans="9:9" x14ac:dyDescent="0.3">
      <c r="I9861" s="101"/>
    </row>
    <row r="9862" spans="9:9" x14ac:dyDescent="0.3">
      <c r="I9862" s="101"/>
    </row>
    <row r="9863" spans="9:9" x14ac:dyDescent="0.3">
      <c r="I9863" s="101"/>
    </row>
    <row r="9864" spans="9:9" x14ac:dyDescent="0.3">
      <c r="I9864" s="101"/>
    </row>
    <row r="9865" spans="9:9" x14ac:dyDescent="0.3">
      <c r="I9865" s="101"/>
    </row>
    <row r="9866" spans="9:9" x14ac:dyDescent="0.3">
      <c r="I9866" s="101"/>
    </row>
    <row r="9867" spans="9:9" x14ac:dyDescent="0.3">
      <c r="I9867" s="101"/>
    </row>
    <row r="9868" spans="9:9" x14ac:dyDescent="0.3">
      <c r="I9868" s="101"/>
    </row>
    <row r="9869" spans="9:9" x14ac:dyDescent="0.3">
      <c r="I9869" s="101"/>
    </row>
    <row r="9870" spans="9:9" x14ac:dyDescent="0.3">
      <c r="I9870" s="101"/>
    </row>
    <row r="9871" spans="9:9" x14ac:dyDescent="0.3">
      <c r="I9871" s="101"/>
    </row>
    <row r="9872" spans="9:9" x14ac:dyDescent="0.3">
      <c r="I9872" s="101"/>
    </row>
    <row r="9873" spans="9:9" x14ac:dyDescent="0.3">
      <c r="I9873" s="101"/>
    </row>
    <row r="9874" spans="9:9" x14ac:dyDescent="0.3">
      <c r="I9874" s="101"/>
    </row>
    <row r="9875" spans="9:9" x14ac:dyDescent="0.3">
      <c r="I9875" s="101"/>
    </row>
    <row r="9876" spans="9:9" x14ac:dyDescent="0.3">
      <c r="I9876" s="101"/>
    </row>
    <row r="9877" spans="9:9" x14ac:dyDescent="0.3">
      <c r="I9877" s="101"/>
    </row>
    <row r="9878" spans="9:9" x14ac:dyDescent="0.3">
      <c r="I9878" s="101"/>
    </row>
    <row r="9879" spans="9:9" x14ac:dyDescent="0.3">
      <c r="I9879" s="101"/>
    </row>
    <row r="9880" spans="9:9" x14ac:dyDescent="0.3">
      <c r="I9880" s="101"/>
    </row>
    <row r="9881" spans="9:9" x14ac:dyDescent="0.3">
      <c r="I9881" s="101"/>
    </row>
    <row r="9882" spans="9:9" x14ac:dyDescent="0.3">
      <c r="I9882" s="101"/>
    </row>
    <row r="9883" spans="9:9" x14ac:dyDescent="0.3">
      <c r="I9883" s="101"/>
    </row>
    <row r="9884" spans="9:9" x14ac:dyDescent="0.3">
      <c r="I9884" s="101"/>
    </row>
    <row r="9885" spans="9:9" x14ac:dyDescent="0.3">
      <c r="I9885" s="101"/>
    </row>
    <row r="9886" spans="9:9" x14ac:dyDescent="0.3">
      <c r="I9886" s="101"/>
    </row>
    <row r="9887" spans="9:9" x14ac:dyDescent="0.3">
      <c r="I9887" s="101"/>
    </row>
    <row r="9888" spans="9:9" x14ac:dyDescent="0.3">
      <c r="I9888" s="101"/>
    </row>
    <row r="9889" spans="9:9" x14ac:dyDescent="0.3">
      <c r="I9889" s="101"/>
    </row>
    <row r="9890" spans="9:9" x14ac:dyDescent="0.3">
      <c r="I9890" s="101"/>
    </row>
    <row r="9891" spans="9:9" x14ac:dyDescent="0.3">
      <c r="I9891" s="101"/>
    </row>
    <row r="9892" spans="9:9" x14ac:dyDescent="0.3">
      <c r="I9892" s="101"/>
    </row>
    <row r="9893" spans="9:9" x14ac:dyDescent="0.3">
      <c r="I9893" s="101"/>
    </row>
    <row r="9894" spans="9:9" x14ac:dyDescent="0.3">
      <c r="I9894" s="101"/>
    </row>
    <row r="9895" spans="9:9" x14ac:dyDescent="0.3">
      <c r="I9895" s="101"/>
    </row>
    <row r="9896" spans="9:9" x14ac:dyDescent="0.3">
      <c r="I9896" s="101"/>
    </row>
    <row r="9897" spans="9:9" x14ac:dyDescent="0.3">
      <c r="I9897" s="101"/>
    </row>
    <row r="9898" spans="9:9" x14ac:dyDescent="0.3">
      <c r="I9898" s="101"/>
    </row>
    <row r="9899" spans="9:9" x14ac:dyDescent="0.3">
      <c r="I9899" s="101"/>
    </row>
    <row r="9900" spans="9:9" x14ac:dyDescent="0.3">
      <c r="I9900" s="101"/>
    </row>
    <row r="9901" spans="9:9" x14ac:dyDescent="0.3">
      <c r="I9901" s="101"/>
    </row>
    <row r="9902" spans="9:9" x14ac:dyDescent="0.3">
      <c r="I9902" s="101"/>
    </row>
    <row r="9903" spans="9:9" x14ac:dyDescent="0.3">
      <c r="I9903" s="101"/>
    </row>
    <row r="9904" spans="9:9" x14ac:dyDescent="0.3">
      <c r="I9904" s="101"/>
    </row>
    <row r="9905" spans="9:9" x14ac:dyDescent="0.3">
      <c r="I9905" s="101"/>
    </row>
    <row r="9906" spans="9:9" x14ac:dyDescent="0.3">
      <c r="I9906" s="101"/>
    </row>
    <row r="9907" spans="9:9" x14ac:dyDescent="0.3">
      <c r="I9907" s="101"/>
    </row>
    <row r="9908" spans="9:9" x14ac:dyDescent="0.3">
      <c r="I9908" s="101"/>
    </row>
    <row r="9909" spans="9:9" x14ac:dyDescent="0.3">
      <c r="I9909" s="101"/>
    </row>
    <row r="9910" spans="9:9" x14ac:dyDescent="0.3">
      <c r="I9910" s="101"/>
    </row>
    <row r="9911" spans="9:9" x14ac:dyDescent="0.3">
      <c r="I9911" s="101"/>
    </row>
    <row r="9912" spans="9:9" x14ac:dyDescent="0.3">
      <c r="I9912" s="101"/>
    </row>
    <row r="9913" spans="9:9" x14ac:dyDescent="0.3">
      <c r="I9913" s="101"/>
    </row>
    <row r="9914" spans="9:9" x14ac:dyDescent="0.3">
      <c r="I9914" s="101"/>
    </row>
    <row r="9915" spans="9:9" x14ac:dyDescent="0.3">
      <c r="I9915" s="101"/>
    </row>
    <row r="9916" spans="9:9" x14ac:dyDescent="0.3">
      <c r="I9916" s="101"/>
    </row>
    <row r="9917" spans="9:9" x14ac:dyDescent="0.3">
      <c r="I9917" s="101"/>
    </row>
    <row r="9918" spans="9:9" x14ac:dyDescent="0.3">
      <c r="I9918" s="101"/>
    </row>
    <row r="9919" spans="9:9" x14ac:dyDescent="0.3">
      <c r="I9919" s="101"/>
    </row>
    <row r="9920" spans="9:9" x14ac:dyDescent="0.3">
      <c r="I9920" s="101"/>
    </row>
    <row r="9921" spans="9:9" x14ac:dyDescent="0.3">
      <c r="I9921" s="101"/>
    </row>
    <row r="9922" spans="9:9" x14ac:dyDescent="0.3">
      <c r="I9922" s="101"/>
    </row>
    <row r="9923" spans="9:9" x14ac:dyDescent="0.3">
      <c r="I9923" s="101"/>
    </row>
    <row r="9924" spans="9:9" x14ac:dyDescent="0.3">
      <c r="I9924" s="101"/>
    </row>
    <row r="9925" spans="9:9" x14ac:dyDescent="0.3">
      <c r="I9925" s="101"/>
    </row>
    <row r="9926" spans="9:9" x14ac:dyDescent="0.3">
      <c r="I9926" s="101"/>
    </row>
    <row r="9927" spans="9:9" x14ac:dyDescent="0.3">
      <c r="I9927" s="101"/>
    </row>
    <row r="9928" spans="9:9" x14ac:dyDescent="0.3">
      <c r="I9928" s="101"/>
    </row>
    <row r="9929" spans="9:9" x14ac:dyDescent="0.3">
      <c r="I9929" s="101"/>
    </row>
    <row r="9930" spans="9:9" x14ac:dyDescent="0.3">
      <c r="I9930" s="101"/>
    </row>
    <row r="9931" spans="9:9" x14ac:dyDescent="0.3">
      <c r="I9931" s="101"/>
    </row>
    <row r="9932" spans="9:9" x14ac:dyDescent="0.3">
      <c r="I9932" s="101"/>
    </row>
    <row r="9933" spans="9:9" x14ac:dyDescent="0.3">
      <c r="I9933" s="101"/>
    </row>
    <row r="9934" spans="9:9" x14ac:dyDescent="0.3">
      <c r="I9934" s="101"/>
    </row>
    <row r="9935" spans="9:9" x14ac:dyDescent="0.3">
      <c r="I9935" s="101"/>
    </row>
    <row r="9936" spans="9:9" x14ac:dyDescent="0.3">
      <c r="I9936" s="101"/>
    </row>
    <row r="9937" spans="9:9" x14ac:dyDescent="0.3">
      <c r="I9937" s="101"/>
    </row>
    <row r="9938" spans="9:9" x14ac:dyDescent="0.3">
      <c r="I9938" s="101"/>
    </row>
    <row r="9939" spans="9:9" x14ac:dyDescent="0.3">
      <c r="I9939" s="101"/>
    </row>
    <row r="9940" spans="9:9" x14ac:dyDescent="0.3">
      <c r="I9940" s="101"/>
    </row>
    <row r="9941" spans="9:9" x14ac:dyDescent="0.3">
      <c r="I9941" s="101"/>
    </row>
    <row r="9942" spans="9:9" x14ac:dyDescent="0.3">
      <c r="I9942" s="101"/>
    </row>
    <row r="9943" spans="9:9" x14ac:dyDescent="0.3">
      <c r="I9943" s="101"/>
    </row>
    <row r="9944" spans="9:9" x14ac:dyDescent="0.3">
      <c r="I9944" s="101"/>
    </row>
    <row r="9945" spans="9:9" x14ac:dyDescent="0.3">
      <c r="I9945" s="101"/>
    </row>
    <row r="9946" spans="9:9" x14ac:dyDescent="0.3">
      <c r="I9946" s="101"/>
    </row>
    <row r="9947" spans="9:9" x14ac:dyDescent="0.3">
      <c r="I9947" s="101"/>
    </row>
    <row r="9948" spans="9:9" x14ac:dyDescent="0.3">
      <c r="I9948" s="101"/>
    </row>
    <row r="9949" spans="9:9" x14ac:dyDescent="0.3">
      <c r="I9949" s="101"/>
    </row>
    <row r="9950" spans="9:9" x14ac:dyDescent="0.3">
      <c r="I9950" s="101"/>
    </row>
    <row r="9951" spans="9:9" x14ac:dyDescent="0.3">
      <c r="I9951" s="101"/>
    </row>
    <row r="9952" spans="9:9" x14ac:dyDescent="0.3">
      <c r="I9952" s="101"/>
    </row>
    <row r="9953" spans="9:9" x14ac:dyDescent="0.3">
      <c r="I9953" s="101"/>
    </row>
    <row r="9954" spans="9:9" x14ac:dyDescent="0.3">
      <c r="I9954" s="101"/>
    </row>
    <row r="9955" spans="9:9" x14ac:dyDescent="0.3">
      <c r="I9955" s="101"/>
    </row>
    <row r="9956" spans="9:9" x14ac:dyDescent="0.3">
      <c r="I9956" s="101"/>
    </row>
    <row r="9957" spans="9:9" x14ac:dyDescent="0.3">
      <c r="I9957" s="101"/>
    </row>
    <row r="9958" spans="9:9" x14ac:dyDescent="0.3">
      <c r="I9958" s="101"/>
    </row>
    <row r="9959" spans="9:9" x14ac:dyDescent="0.3">
      <c r="I9959" s="101"/>
    </row>
    <row r="9960" spans="9:9" x14ac:dyDescent="0.3">
      <c r="I9960" s="101"/>
    </row>
    <row r="9961" spans="9:9" x14ac:dyDescent="0.3">
      <c r="I9961" s="101"/>
    </row>
    <row r="9962" spans="9:9" x14ac:dyDescent="0.3">
      <c r="I9962" s="101"/>
    </row>
    <row r="9963" spans="9:9" x14ac:dyDescent="0.3">
      <c r="I9963" s="101"/>
    </row>
    <row r="9964" spans="9:9" x14ac:dyDescent="0.3">
      <c r="I9964" s="101"/>
    </row>
    <row r="9965" spans="9:9" x14ac:dyDescent="0.3">
      <c r="I9965" s="101"/>
    </row>
    <row r="9966" spans="9:9" x14ac:dyDescent="0.3">
      <c r="I9966" s="101"/>
    </row>
    <row r="9967" spans="9:9" x14ac:dyDescent="0.3">
      <c r="I9967" s="101"/>
    </row>
    <row r="9968" spans="9:9" x14ac:dyDescent="0.3">
      <c r="I9968" s="101"/>
    </row>
    <row r="9969" spans="9:9" x14ac:dyDescent="0.3">
      <c r="I9969" s="101"/>
    </row>
    <row r="9970" spans="9:9" x14ac:dyDescent="0.3">
      <c r="I9970" s="101"/>
    </row>
    <row r="9971" spans="9:9" x14ac:dyDescent="0.3">
      <c r="I9971" s="101"/>
    </row>
    <row r="9972" spans="9:9" x14ac:dyDescent="0.3">
      <c r="I9972" s="101"/>
    </row>
    <row r="9973" spans="9:9" x14ac:dyDescent="0.3">
      <c r="I9973" s="101"/>
    </row>
    <row r="9974" spans="9:9" x14ac:dyDescent="0.3">
      <c r="I9974" s="101"/>
    </row>
    <row r="9975" spans="9:9" x14ac:dyDescent="0.3">
      <c r="I9975" s="101"/>
    </row>
    <row r="9976" spans="9:9" x14ac:dyDescent="0.3">
      <c r="I9976" s="101"/>
    </row>
    <row r="9977" spans="9:9" x14ac:dyDescent="0.3">
      <c r="I9977" s="101"/>
    </row>
    <row r="9978" spans="9:9" x14ac:dyDescent="0.3">
      <c r="I9978" s="101"/>
    </row>
    <row r="9979" spans="9:9" x14ac:dyDescent="0.3">
      <c r="I9979" s="101"/>
    </row>
    <row r="9980" spans="9:9" x14ac:dyDescent="0.3">
      <c r="I9980" s="101"/>
    </row>
    <row r="9981" spans="9:9" x14ac:dyDescent="0.3">
      <c r="I9981" s="101"/>
    </row>
    <row r="9982" spans="9:9" x14ac:dyDescent="0.3">
      <c r="I9982" s="101"/>
    </row>
    <row r="9983" spans="9:9" x14ac:dyDescent="0.3">
      <c r="I9983" s="101"/>
    </row>
    <row r="9984" spans="9:9" x14ac:dyDescent="0.3">
      <c r="I9984" s="101"/>
    </row>
    <row r="9985" spans="9:9" x14ac:dyDescent="0.3">
      <c r="I9985" s="101"/>
    </row>
    <row r="9986" spans="9:9" x14ac:dyDescent="0.3">
      <c r="I9986" s="101"/>
    </row>
    <row r="9987" spans="9:9" x14ac:dyDescent="0.3">
      <c r="I9987" s="101"/>
    </row>
    <row r="9988" spans="9:9" x14ac:dyDescent="0.3">
      <c r="I9988" s="101"/>
    </row>
    <row r="9989" spans="9:9" x14ac:dyDescent="0.3">
      <c r="I9989" s="101"/>
    </row>
    <row r="9990" spans="9:9" x14ac:dyDescent="0.3">
      <c r="I9990" s="101"/>
    </row>
    <row r="9991" spans="9:9" x14ac:dyDescent="0.3">
      <c r="I9991" s="101"/>
    </row>
    <row r="9992" spans="9:9" x14ac:dyDescent="0.3">
      <c r="I9992" s="101"/>
    </row>
    <row r="9993" spans="9:9" x14ac:dyDescent="0.3">
      <c r="I9993" s="101"/>
    </row>
    <row r="9994" spans="9:9" x14ac:dyDescent="0.3">
      <c r="I9994" s="101"/>
    </row>
    <row r="9995" spans="9:9" x14ac:dyDescent="0.3">
      <c r="I9995" s="101"/>
    </row>
    <row r="9996" spans="9:9" x14ac:dyDescent="0.3">
      <c r="I9996" s="101"/>
    </row>
    <row r="9997" spans="9:9" x14ac:dyDescent="0.3">
      <c r="I9997" s="101"/>
    </row>
    <row r="9998" spans="9:9" x14ac:dyDescent="0.3">
      <c r="I9998" s="101"/>
    </row>
    <row r="9999" spans="9:9" x14ac:dyDescent="0.3">
      <c r="I9999" s="101"/>
    </row>
    <row r="10000" spans="9:9" x14ac:dyDescent="0.3">
      <c r="I10000" s="101"/>
    </row>
    <row r="10001" spans="9:9" x14ac:dyDescent="0.3">
      <c r="I10001" s="101"/>
    </row>
    <row r="10002" spans="9:9" x14ac:dyDescent="0.3">
      <c r="I10002" s="101"/>
    </row>
    <row r="10003" spans="9:9" x14ac:dyDescent="0.3">
      <c r="I10003" s="101"/>
    </row>
    <row r="10004" spans="9:9" x14ac:dyDescent="0.3">
      <c r="I10004" s="101"/>
    </row>
    <row r="10005" spans="9:9" x14ac:dyDescent="0.3">
      <c r="I10005" s="101"/>
    </row>
    <row r="10006" spans="9:9" x14ac:dyDescent="0.3">
      <c r="I10006" s="101"/>
    </row>
    <row r="10007" spans="9:9" x14ac:dyDescent="0.3">
      <c r="I10007" s="101"/>
    </row>
    <row r="10008" spans="9:9" x14ac:dyDescent="0.3">
      <c r="I10008" s="101"/>
    </row>
    <row r="10009" spans="9:9" x14ac:dyDescent="0.3">
      <c r="I10009" s="101"/>
    </row>
    <row r="10010" spans="9:9" x14ac:dyDescent="0.3">
      <c r="I10010" s="101"/>
    </row>
    <row r="10011" spans="9:9" x14ac:dyDescent="0.3">
      <c r="I10011" s="101"/>
    </row>
    <row r="10012" spans="9:9" x14ac:dyDescent="0.3">
      <c r="I10012" s="101"/>
    </row>
    <row r="10013" spans="9:9" x14ac:dyDescent="0.3">
      <c r="I10013" s="101"/>
    </row>
    <row r="10014" spans="9:9" x14ac:dyDescent="0.3">
      <c r="I10014" s="101"/>
    </row>
    <row r="10015" spans="9:9" x14ac:dyDescent="0.3">
      <c r="I10015" s="101"/>
    </row>
    <row r="10016" spans="9:9" x14ac:dyDescent="0.3">
      <c r="I10016" s="101"/>
    </row>
    <row r="10017" spans="9:9" x14ac:dyDescent="0.3">
      <c r="I10017" s="101"/>
    </row>
    <row r="10018" spans="9:9" x14ac:dyDescent="0.3">
      <c r="I10018" s="101"/>
    </row>
    <row r="10019" spans="9:9" x14ac:dyDescent="0.3">
      <c r="I10019" s="101"/>
    </row>
    <row r="10020" spans="9:9" x14ac:dyDescent="0.3">
      <c r="I10020" s="101"/>
    </row>
    <row r="10021" spans="9:9" x14ac:dyDescent="0.3">
      <c r="I10021" s="101"/>
    </row>
    <row r="10022" spans="9:9" x14ac:dyDescent="0.3">
      <c r="I10022" s="101"/>
    </row>
    <row r="10023" spans="9:9" x14ac:dyDescent="0.3">
      <c r="I10023" s="101"/>
    </row>
    <row r="10024" spans="9:9" x14ac:dyDescent="0.3">
      <c r="I10024" s="101"/>
    </row>
    <row r="10025" spans="9:9" x14ac:dyDescent="0.3">
      <c r="I10025" s="101"/>
    </row>
    <row r="10026" spans="9:9" x14ac:dyDescent="0.3">
      <c r="I10026" s="101"/>
    </row>
    <row r="10027" spans="9:9" x14ac:dyDescent="0.3">
      <c r="I10027" s="101"/>
    </row>
    <row r="10028" spans="9:9" x14ac:dyDescent="0.3">
      <c r="I10028" s="101"/>
    </row>
    <row r="10029" spans="9:9" x14ac:dyDescent="0.3">
      <c r="I10029" s="101"/>
    </row>
    <row r="10030" spans="9:9" x14ac:dyDescent="0.3">
      <c r="I10030" s="101"/>
    </row>
    <row r="10031" spans="9:9" x14ac:dyDescent="0.3">
      <c r="I10031" s="101"/>
    </row>
    <row r="10032" spans="9:9" x14ac:dyDescent="0.3">
      <c r="I10032" s="101"/>
    </row>
    <row r="10033" spans="9:9" x14ac:dyDescent="0.3">
      <c r="I10033" s="101"/>
    </row>
    <row r="10034" spans="9:9" x14ac:dyDescent="0.3">
      <c r="I10034" s="101"/>
    </row>
    <row r="10035" spans="9:9" x14ac:dyDescent="0.3">
      <c r="I10035" s="101"/>
    </row>
    <row r="10036" spans="9:9" x14ac:dyDescent="0.3">
      <c r="I10036" s="101"/>
    </row>
    <row r="10037" spans="9:9" x14ac:dyDescent="0.3">
      <c r="I10037" s="101"/>
    </row>
    <row r="10038" spans="9:9" x14ac:dyDescent="0.3">
      <c r="I10038" s="101"/>
    </row>
    <row r="10039" spans="9:9" x14ac:dyDescent="0.3">
      <c r="I10039" s="101"/>
    </row>
    <row r="10040" spans="9:9" x14ac:dyDescent="0.3">
      <c r="I10040" s="101"/>
    </row>
    <row r="10041" spans="9:9" x14ac:dyDescent="0.3">
      <c r="I10041" s="101"/>
    </row>
    <row r="10042" spans="9:9" x14ac:dyDescent="0.3">
      <c r="I10042" s="101"/>
    </row>
    <row r="10043" spans="9:9" x14ac:dyDescent="0.3">
      <c r="I10043" s="101"/>
    </row>
    <row r="10044" spans="9:9" x14ac:dyDescent="0.3">
      <c r="I10044" s="101"/>
    </row>
    <row r="10045" spans="9:9" x14ac:dyDescent="0.3">
      <c r="I10045" s="101"/>
    </row>
    <row r="10046" spans="9:9" x14ac:dyDescent="0.3">
      <c r="I10046" s="101"/>
    </row>
    <row r="10047" spans="9:9" x14ac:dyDescent="0.3">
      <c r="I10047" s="101"/>
    </row>
    <row r="10048" spans="9:9" x14ac:dyDescent="0.3">
      <c r="I10048" s="101"/>
    </row>
    <row r="10049" spans="9:9" x14ac:dyDescent="0.3">
      <c r="I10049" s="101"/>
    </row>
    <row r="10050" spans="9:9" x14ac:dyDescent="0.3">
      <c r="I10050" s="101"/>
    </row>
    <row r="10051" spans="9:9" x14ac:dyDescent="0.3">
      <c r="I10051" s="101"/>
    </row>
    <row r="10052" spans="9:9" x14ac:dyDescent="0.3">
      <c r="I10052" s="101"/>
    </row>
    <row r="10053" spans="9:9" x14ac:dyDescent="0.3">
      <c r="I10053" s="101"/>
    </row>
    <row r="10054" spans="9:9" x14ac:dyDescent="0.3">
      <c r="I10054" s="101"/>
    </row>
    <row r="10055" spans="9:9" x14ac:dyDescent="0.3">
      <c r="I10055" s="101"/>
    </row>
    <row r="10056" spans="9:9" x14ac:dyDescent="0.3">
      <c r="I10056" s="101"/>
    </row>
    <row r="10057" spans="9:9" x14ac:dyDescent="0.3">
      <c r="I10057" s="101"/>
    </row>
    <row r="10058" spans="9:9" x14ac:dyDescent="0.3">
      <c r="I10058" s="101"/>
    </row>
    <row r="10059" spans="9:9" x14ac:dyDescent="0.3">
      <c r="I10059" s="101"/>
    </row>
    <row r="10060" spans="9:9" x14ac:dyDescent="0.3">
      <c r="I10060" s="101"/>
    </row>
    <row r="10061" spans="9:9" x14ac:dyDescent="0.3">
      <c r="I10061" s="101"/>
    </row>
    <row r="10062" spans="9:9" x14ac:dyDescent="0.3">
      <c r="I10062" s="101"/>
    </row>
    <row r="10063" spans="9:9" x14ac:dyDescent="0.3">
      <c r="I10063" s="101"/>
    </row>
    <row r="10064" spans="9:9" x14ac:dyDescent="0.3">
      <c r="I10064" s="101"/>
    </row>
    <row r="10065" spans="9:9" x14ac:dyDescent="0.3">
      <c r="I10065" s="101"/>
    </row>
    <row r="10066" spans="9:9" x14ac:dyDescent="0.3">
      <c r="I10066" s="101"/>
    </row>
    <row r="10067" spans="9:9" x14ac:dyDescent="0.3">
      <c r="I10067" s="101"/>
    </row>
    <row r="10068" spans="9:9" x14ac:dyDescent="0.3">
      <c r="I10068" s="101"/>
    </row>
    <row r="10069" spans="9:9" x14ac:dyDescent="0.3">
      <c r="I10069" s="101"/>
    </row>
    <row r="10070" spans="9:9" x14ac:dyDescent="0.3">
      <c r="I10070" s="101"/>
    </row>
    <row r="10071" spans="9:9" x14ac:dyDescent="0.3">
      <c r="I10071" s="101"/>
    </row>
    <row r="10072" spans="9:9" x14ac:dyDescent="0.3">
      <c r="I10072" s="101"/>
    </row>
    <row r="10073" spans="9:9" x14ac:dyDescent="0.3">
      <c r="I10073" s="101"/>
    </row>
    <row r="10074" spans="9:9" x14ac:dyDescent="0.3">
      <c r="I10074" s="101"/>
    </row>
    <row r="10075" spans="9:9" x14ac:dyDescent="0.3">
      <c r="I10075" s="101"/>
    </row>
    <row r="10076" spans="9:9" x14ac:dyDescent="0.3">
      <c r="I10076" s="101"/>
    </row>
    <row r="10077" spans="9:9" x14ac:dyDescent="0.3">
      <c r="I10077" s="101"/>
    </row>
    <row r="10078" spans="9:9" x14ac:dyDescent="0.3">
      <c r="I10078" s="101"/>
    </row>
    <row r="10079" spans="9:9" x14ac:dyDescent="0.3">
      <c r="I10079" s="101"/>
    </row>
    <row r="10080" spans="9:9" x14ac:dyDescent="0.3">
      <c r="I10080" s="101"/>
    </row>
    <row r="10081" spans="9:9" x14ac:dyDescent="0.3">
      <c r="I10081" s="101"/>
    </row>
    <row r="10082" spans="9:9" x14ac:dyDescent="0.3">
      <c r="I10082" s="101"/>
    </row>
    <row r="10083" spans="9:9" x14ac:dyDescent="0.3">
      <c r="I10083" s="101"/>
    </row>
    <row r="10084" spans="9:9" x14ac:dyDescent="0.3">
      <c r="I10084" s="101"/>
    </row>
    <row r="10085" spans="9:9" x14ac:dyDescent="0.3">
      <c r="I10085" s="101"/>
    </row>
    <row r="10086" spans="9:9" x14ac:dyDescent="0.3">
      <c r="I10086" s="101"/>
    </row>
    <row r="10087" spans="9:9" x14ac:dyDescent="0.3">
      <c r="I10087" s="101"/>
    </row>
    <row r="10088" spans="9:9" x14ac:dyDescent="0.3">
      <c r="I10088" s="101"/>
    </row>
    <row r="10089" spans="9:9" x14ac:dyDescent="0.3">
      <c r="I10089" s="101"/>
    </row>
    <row r="10090" spans="9:9" x14ac:dyDescent="0.3">
      <c r="I10090" s="101"/>
    </row>
    <row r="10091" spans="9:9" x14ac:dyDescent="0.3">
      <c r="I10091" s="101"/>
    </row>
    <row r="10092" spans="9:9" x14ac:dyDescent="0.3">
      <c r="I10092" s="101"/>
    </row>
    <row r="10093" spans="9:9" x14ac:dyDescent="0.3">
      <c r="I10093" s="101"/>
    </row>
    <row r="10094" spans="9:9" x14ac:dyDescent="0.3">
      <c r="I10094" s="101"/>
    </row>
    <row r="10095" spans="9:9" x14ac:dyDescent="0.3">
      <c r="I10095" s="101"/>
    </row>
    <row r="10096" spans="9:9" x14ac:dyDescent="0.3">
      <c r="I10096" s="101"/>
    </row>
    <row r="10097" spans="9:9" x14ac:dyDescent="0.3">
      <c r="I10097" s="101"/>
    </row>
    <row r="10098" spans="9:9" x14ac:dyDescent="0.3">
      <c r="I10098" s="101"/>
    </row>
    <row r="10099" spans="9:9" x14ac:dyDescent="0.3">
      <c r="I10099" s="101"/>
    </row>
    <row r="10100" spans="9:9" x14ac:dyDescent="0.3">
      <c r="I10100" s="101"/>
    </row>
    <row r="10101" spans="9:9" x14ac:dyDescent="0.3">
      <c r="I10101" s="101"/>
    </row>
    <row r="10102" spans="9:9" x14ac:dyDescent="0.3">
      <c r="I10102" s="101"/>
    </row>
    <row r="10103" spans="9:9" x14ac:dyDescent="0.3">
      <c r="I10103" s="101"/>
    </row>
    <row r="10104" spans="9:9" x14ac:dyDescent="0.3">
      <c r="I10104" s="101"/>
    </row>
    <row r="10105" spans="9:9" x14ac:dyDescent="0.3">
      <c r="I10105" s="101"/>
    </row>
    <row r="10106" spans="9:9" x14ac:dyDescent="0.3">
      <c r="I10106" s="101"/>
    </row>
    <row r="10107" spans="9:9" x14ac:dyDescent="0.3">
      <c r="I10107" s="101"/>
    </row>
    <row r="10108" spans="9:9" x14ac:dyDescent="0.3">
      <c r="I10108" s="101"/>
    </row>
    <row r="10109" spans="9:9" x14ac:dyDescent="0.3">
      <c r="I10109" s="101"/>
    </row>
    <row r="10110" spans="9:9" x14ac:dyDescent="0.3">
      <c r="I10110" s="101"/>
    </row>
    <row r="10111" spans="9:9" x14ac:dyDescent="0.3">
      <c r="I10111" s="101"/>
    </row>
    <row r="10112" spans="9:9" x14ac:dyDescent="0.3">
      <c r="I10112" s="101"/>
    </row>
    <row r="10113" spans="9:9" x14ac:dyDescent="0.3">
      <c r="I10113" s="101"/>
    </row>
    <row r="10114" spans="9:9" x14ac:dyDescent="0.3">
      <c r="I10114" s="101"/>
    </row>
    <row r="10115" spans="9:9" x14ac:dyDescent="0.3">
      <c r="I10115" s="101"/>
    </row>
    <row r="10116" spans="9:9" x14ac:dyDescent="0.3">
      <c r="I10116" s="101"/>
    </row>
    <row r="10117" spans="9:9" x14ac:dyDescent="0.3">
      <c r="I10117" s="101"/>
    </row>
    <row r="10118" spans="9:9" x14ac:dyDescent="0.3">
      <c r="I10118" s="101"/>
    </row>
    <row r="10119" spans="9:9" x14ac:dyDescent="0.3">
      <c r="I10119" s="101"/>
    </row>
    <row r="10120" spans="9:9" x14ac:dyDescent="0.3">
      <c r="I10120" s="101"/>
    </row>
    <row r="10121" spans="9:9" x14ac:dyDescent="0.3">
      <c r="I10121" s="101"/>
    </row>
    <row r="10122" spans="9:9" x14ac:dyDescent="0.3">
      <c r="I10122" s="101"/>
    </row>
    <row r="10123" spans="9:9" x14ac:dyDescent="0.3">
      <c r="I10123" s="101"/>
    </row>
    <row r="10124" spans="9:9" x14ac:dyDescent="0.3">
      <c r="I10124" s="101"/>
    </row>
    <row r="10125" spans="9:9" x14ac:dyDescent="0.3">
      <c r="I10125" s="101"/>
    </row>
    <row r="10126" spans="9:9" x14ac:dyDescent="0.3">
      <c r="I10126" s="101"/>
    </row>
    <row r="10127" spans="9:9" x14ac:dyDescent="0.3">
      <c r="I10127" s="101"/>
    </row>
    <row r="10128" spans="9:9" x14ac:dyDescent="0.3">
      <c r="I10128" s="101"/>
    </row>
    <row r="10129" spans="9:9" x14ac:dyDescent="0.3">
      <c r="I10129" s="101"/>
    </row>
    <row r="10130" spans="9:9" x14ac:dyDescent="0.3">
      <c r="I10130" s="101"/>
    </row>
    <row r="10131" spans="9:9" x14ac:dyDescent="0.3">
      <c r="I10131" s="101"/>
    </row>
    <row r="10132" spans="9:9" x14ac:dyDescent="0.3">
      <c r="I10132" s="101"/>
    </row>
    <row r="10133" spans="9:9" x14ac:dyDescent="0.3">
      <c r="I10133" s="101"/>
    </row>
    <row r="10134" spans="9:9" x14ac:dyDescent="0.3">
      <c r="I10134" s="101"/>
    </row>
    <row r="10135" spans="9:9" x14ac:dyDescent="0.3">
      <c r="I10135" s="101"/>
    </row>
    <row r="10136" spans="9:9" x14ac:dyDescent="0.3">
      <c r="I10136" s="101"/>
    </row>
    <row r="10137" spans="9:9" x14ac:dyDescent="0.3">
      <c r="I10137" s="101"/>
    </row>
    <row r="10138" spans="9:9" x14ac:dyDescent="0.3">
      <c r="I10138" s="101"/>
    </row>
    <row r="10139" spans="9:9" x14ac:dyDescent="0.3">
      <c r="I10139" s="101"/>
    </row>
    <row r="10140" spans="9:9" x14ac:dyDescent="0.3">
      <c r="I10140" s="101"/>
    </row>
    <row r="10141" spans="9:9" x14ac:dyDescent="0.3">
      <c r="I10141" s="101"/>
    </row>
    <row r="10142" spans="9:9" x14ac:dyDescent="0.3">
      <c r="I10142" s="101"/>
    </row>
    <row r="10143" spans="9:9" x14ac:dyDescent="0.3">
      <c r="I10143" s="101"/>
    </row>
    <row r="10144" spans="9:9" x14ac:dyDescent="0.3">
      <c r="I10144" s="101"/>
    </row>
    <row r="10145" spans="9:9" x14ac:dyDescent="0.3">
      <c r="I10145" s="101"/>
    </row>
    <row r="10146" spans="9:9" x14ac:dyDescent="0.3">
      <c r="I10146" s="101"/>
    </row>
    <row r="10147" spans="9:9" x14ac:dyDescent="0.3">
      <c r="I10147" s="101"/>
    </row>
    <row r="10148" spans="9:9" x14ac:dyDescent="0.3">
      <c r="I10148" s="101"/>
    </row>
    <row r="10149" spans="9:9" x14ac:dyDescent="0.3">
      <c r="I10149" s="101"/>
    </row>
    <row r="10150" spans="9:9" x14ac:dyDescent="0.3">
      <c r="I10150" s="101"/>
    </row>
    <row r="10151" spans="9:9" x14ac:dyDescent="0.3">
      <c r="I10151" s="101"/>
    </row>
    <row r="10152" spans="9:9" x14ac:dyDescent="0.3">
      <c r="I10152" s="101"/>
    </row>
    <row r="10153" spans="9:9" x14ac:dyDescent="0.3">
      <c r="I10153" s="101"/>
    </row>
    <row r="10154" spans="9:9" x14ac:dyDescent="0.3">
      <c r="I10154" s="101"/>
    </row>
    <row r="10155" spans="9:9" x14ac:dyDescent="0.3">
      <c r="I10155" s="101"/>
    </row>
    <row r="10156" spans="9:9" x14ac:dyDescent="0.3">
      <c r="I10156" s="101"/>
    </row>
    <row r="10157" spans="9:9" x14ac:dyDescent="0.3">
      <c r="I10157" s="101"/>
    </row>
    <row r="10158" spans="9:9" x14ac:dyDescent="0.3">
      <c r="I10158" s="101"/>
    </row>
    <row r="10159" spans="9:9" x14ac:dyDescent="0.3">
      <c r="I10159" s="101"/>
    </row>
    <row r="10160" spans="9:9" x14ac:dyDescent="0.3">
      <c r="I10160" s="101"/>
    </row>
    <row r="10161" spans="9:9" x14ac:dyDescent="0.3">
      <c r="I10161" s="101"/>
    </row>
    <row r="10162" spans="9:9" x14ac:dyDescent="0.3">
      <c r="I10162" s="101"/>
    </row>
    <row r="10163" spans="9:9" x14ac:dyDescent="0.3">
      <c r="I10163" s="101"/>
    </row>
    <row r="10164" spans="9:9" x14ac:dyDescent="0.3">
      <c r="I10164" s="101"/>
    </row>
    <row r="10165" spans="9:9" x14ac:dyDescent="0.3">
      <c r="I10165" s="101"/>
    </row>
    <row r="10166" spans="9:9" x14ac:dyDescent="0.3">
      <c r="I10166" s="101"/>
    </row>
    <row r="10167" spans="9:9" x14ac:dyDescent="0.3">
      <c r="I10167" s="101"/>
    </row>
    <row r="10168" spans="9:9" x14ac:dyDescent="0.3">
      <c r="I10168" s="101"/>
    </row>
    <row r="10169" spans="9:9" x14ac:dyDescent="0.3">
      <c r="I10169" s="101"/>
    </row>
    <row r="10170" spans="9:9" x14ac:dyDescent="0.3">
      <c r="I10170" s="101"/>
    </row>
    <row r="10171" spans="9:9" x14ac:dyDescent="0.3">
      <c r="I10171" s="101"/>
    </row>
    <row r="10172" spans="9:9" x14ac:dyDescent="0.3">
      <c r="I10172" s="101"/>
    </row>
    <row r="10173" spans="9:9" x14ac:dyDescent="0.3">
      <c r="I10173" s="101"/>
    </row>
    <row r="10174" spans="9:9" x14ac:dyDescent="0.3">
      <c r="I10174" s="101"/>
    </row>
    <row r="10175" spans="9:9" x14ac:dyDescent="0.3">
      <c r="I10175" s="101"/>
    </row>
    <row r="10176" spans="9:9" x14ac:dyDescent="0.3">
      <c r="I10176" s="101"/>
    </row>
    <row r="10177" spans="9:9" x14ac:dyDescent="0.3">
      <c r="I10177" s="101"/>
    </row>
    <row r="10178" spans="9:9" x14ac:dyDescent="0.3">
      <c r="I10178" s="101"/>
    </row>
    <row r="10179" spans="9:9" x14ac:dyDescent="0.3">
      <c r="I10179" s="101"/>
    </row>
    <row r="10180" spans="9:9" x14ac:dyDescent="0.3">
      <c r="I10180" s="101"/>
    </row>
    <row r="10181" spans="9:9" x14ac:dyDescent="0.3">
      <c r="I10181" s="101"/>
    </row>
    <row r="10182" spans="9:9" x14ac:dyDescent="0.3">
      <c r="I10182" s="101"/>
    </row>
    <row r="10183" spans="9:9" x14ac:dyDescent="0.3">
      <c r="I10183" s="101"/>
    </row>
    <row r="10184" spans="9:9" x14ac:dyDescent="0.3">
      <c r="I10184" s="101"/>
    </row>
    <row r="10185" spans="9:9" x14ac:dyDescent="0.3">
      <c r="I10185" s="101"/>
    </row>
    <row r="10186" spans="9:9" x14ac:dyDescent="0.3">
      <c r="I10186" s="101"/>
    </row>
    <row r="10187" spans="9:9" x14ac:dyDescent="0.3">
      <c r="I10187" s="101"/>
    </row>
    <row r="10188" spans="9:9" x14ac:dyDescent="0.3">
      <c r="I10188" s="101"/>
    </row>
    <row r="10189" spans="9:9" x14ac:dyDescent="0.3">
      <c r="I10189" s="101"/>
    </row>
    <row r="10190" spans="9:9" x14ac:dyDescent="0.3">
      <c r="I10190" s="101"/>
    </row>
    <row r="10191" spans="9:9" x14ac:dyDescent="0.3">
      <c r="I10191" s="101"/>
    </row>
    <row r="10192" spans="9:9" x14ac:dyDescent="0.3">
      <c r="I10192" s="101"/>
    </row>
    <row r="10193" spans="9:9" x14ac:dyDescent="0.3">
      <c r="I10193" s="101"/>
    </row>
    <row r="10194" spans="9:9" x14ac:dyDescent="0.3">
      <c r="I10194" s="101"/>
    </row>
    <row r="10195" spans="9:9" x14ac:dyDescent="0.3">
      <c r="I10195" s="101"/>
    </row>
    <row r="10196" spans="9:9" x14ac:dyDescent="0.3">
      <c r="I10196" s="101"/>
    </row>
    <row r="10197" spans="9:9" x14ac:dyDescent="0.3">
      <c r="I10197" s="101"/>
    </row>
    <row r="10198" spans="9:9" x14ac:dyDescent="0.3">
      <c r="I10198" s="101"/>
    </row>
    <row r="10199" spans="9:9" x14ac:dyDescent="0.3">
      <c r="I10199" s="101"/>
    </row>
    <row r="10200" spans="9:9" x14ac:dyDescent="0.3">
      <c r="I10200" s="101"/>
    </row>
    <row r="10201" spans="9:9" x14ac:dyDescent="0.3">
      <c r="I10201" s="101"/>
    </row>
    <row r="10202" spans="9:9" x14ac:dyDescent="0.3">
      <c r="I10202" s="101"/>
    </row>
    <row r="10203" spans="9:9" x14ac:dyDescent="0.3">
      <c r="I10203" s="101"/>
    </row>
    <row r="10204" spans="9:9" x14ac:dyDescent="0.3">
      <c r="I10204" s="101"/>
    </row>
    <row r="10205" spans="9:9" x14ac:dyDescent="0.3">
      <c r="I10205" s="101"/>
    </row>
    <row r="10206" spans="9:9" x14ac:dyDescent="0.3">
      <c r="I10206" s="101"/>
    </row>
    <row r="10207" spans="9:9" x14ac:dyDescent="0.3">
      <c r="I10207" s="101"/>
    </row>
    <row r="10208" spans="9:9" x14ac:dyDescent="0.3">
      <c r="I10208" s="101"/>
    </row>
    <row r="10209" spans="9:9" x14ac:dyDescent="0.3">
      <c r="I10209" s="101"/>
    </row>
    <row r="10210" spans="9:9" x14ac:dyDescent="0.3">
      <c r="I10210" s="101"/>
    </row>
    <row r="10211" spans="9:9" x14ac:dyDescent="0.3">
      <c r="I10211" s="101"/>
    </row>
    <row r="10212" spans="9:9" x14ac:dyDescent="0.3">
      <c r="I10212" s="101"/>
    </row>
    <row r="10213" spans="9:9" x14ac:dyDescent="0.3">
      <c r="I10213" s="101"/>
    </row>
    <row r="10214" spans="9:9" x14ac:dyDescent="0.3">
      <c r="I10214" s="101"/>
    </row>
    <row r="10215" spans="9:9" x14ac:dyDescent="0.3">
      <c r="I10215" s="101"/>
    </row>
    <row r="10216" spans="9:9" x14ac:dyDescent="0.3">
      <c r="I10216" s="101"/>
    </row>
    <row r="10217" spans="9:9" x14ac:dyDescent="0.3">
      <c r="I10217" s="101"/>
    </row>
    <row r="10218" spans="9:9" x14ac:dyDescent="0.3">
      <c r="I10218" s="101"/>
    </row>
    <row r="10219" spans="9:9" x14ac:dyDescent="0.3">
      <c r="I10219" s="101"/>
    </row>
    <row r="10220" spans="9:9" x14ac:dyDescent="0.3">
      <c r="I10220" s="101"/>
    </row>
    <row r="10221" spans="9:9" x14ac:dyDescent="0.3">
      <c r="I10221" s="101"/>
    </row>
    <row r="10222" spans="9:9" x14ac:dyDescent="0.3">
      <c r="I10222" s="101"/>
    </row>
    <row r="10223" spans="9:9" x14ac:dyDescent="0.3">
      <c r="I10223" s="101"/>
    </row>
    <row r="10224" spans="9:9" x14ac:dyDescent="0.3">
      <c r="I10224" s="101"/>
    </row>
    <row r="10225" spans="9:9" x14ac:dyDescent="0.3">
      <c r="I10225" s="101"/>
    </row>
    <row r="10226" spans="9:9" x14ac:dyDescent="0.3">
      <c r="I10226" s="101"/>
    </row>
    <row r="10227" spans="9:9" x14ac:dyDescent="0.3">
      <c r="I10227" s="101"/>
    </row>
    <row r="10228" spans="9:9" x14ac:dyDescent="0.3">
      <c r="I10228" s="101"/>
    </row>
    <row r="10229" spans="9:9" x14ac:dyDescent="0.3">
      <c r="I10229" s="101"/>
    </row>
    <row r="10230" spans="9:9" x14ac:dyDescent="0.3">
      <c r="I10230" s="101"/>
    </row>
    <row r="10231" spans="9:9" x14ac:dyDescent="0.3">
      <c r="I10231" s="101"/>
    </row>
    <row r="10232" spans="9:9" x14ac:dyDescent="0.3">
      <c r="I10232" s="101"/>
    </row>
    <row r="10233" spans="9:9" x14ac:dyDescent="0.3">
      <c r="I10233" s="101"/>
    </row>
    <row r="10234" spans="9:9" x14ac:dyDescent="0.3">
      <c r="I10234" s="101"/>
    </row>
    <row r="10235" spans="9:9" x14ac:dyDescent="0.3">
      <c r="I10235" s="101"/>
    </row>
    <row r="10236" spans="9:9" x14ac:dyDescent="0.3">
      <c r="I10236" s="101"/>
    </row>
    <row r="10237" spans="9:9" x14ac:dyDescent="0.3">
      <c r="I10237" s="101"/>
    </row>
    <row r="10238" spans="9:9" x14ac:dyDescent="0.3">
      <c r="I10238" s="101"/>
    </row>
    <row r="10239" spans="9:9" x14ac:dyDescent="0.3">
      <c r="I10239" s="101"/>
    </row>
    <row r="10240" spans="9:9" x14ac:dyDescent="0.3">
      <c r="I10240" s="101"/>
    </row>
    <row r="10241" spans="9:9" x14ac:dyDescent="0.3">
      <c r="I10241" s="101"/>
    </row>
    <row r="10242" spans="9:9" x14ac:dyDescent="0.3">
      <c r="I10242" s="101"/>
    </row>
    <row r="10243" spans="9:9" x14ac:dyDescent="0.3">
      <c r="I10243" s="101"/>
    </row>
    <row r="10244" spans="9:9" x14ac:dyDescent="0.3">
      <c r="I10244" s="101"/>
    </row>
    <row r="10245" spans="9:9" x14ac:dyDescent="0.3">
      <c r="I10245" s="101"/>
    </row>
    <row r="10246" spans="9:9" x14ac:dyDescent="0.3">
      <c r="I10246" s="101"/>
    </row>
    <row r="10247" spans="9:9" x14ac:dyDescent="0.3">
      <c r="I10247" s="101"/>
    </row>
    <row r="10248" spans="9:9" x14ac:dyDescent="0.3">
      <c r="I10248" s="101"/>
    </row>
    <row r="10249" spans="9:9" x14ac:dyDescent="0.3">
      <c r="I10249" s="101"/>
    </row>
    <row r="10250" spans="9:9" x14ac:dyDescent="0.3">
      <c r="I10250" s="101"/>
    </row>
    <row r="10251" spans="9:9" x14ac:dyDescent="0.3">
      <c r="I10251" s="101"/>
    </row>
    <row r="10252" spans="9:9" x14ac:dyDescent="0.3">
      <c r="I10252" s="101"/>
    </row>
    <row r="10253" spans="9:9" x14ac:dyDescent="0.3">
      <c r="I10253" s="101"/>
    </row>
    <row r="10254" spans="9:9" x14ac:dyDescent="0.3">
      <c r="I10254" s="101"/>
    </row>
    <row r="10255" spans="9:9" x14ac:dyDescent="0.3">
      <c r="I10255" s="101"/>
    </row>
    <row r="10256" spans="9:9" x14ac:dyDescent="0.3">
      <c r="I10256" s="101"/>
    </row>
    <row r="10257" spans="9:9" x14ac:dyDescent="0.3">
      <c r="I10257" s="101"/>
    </row>
    <row r="10258" spans="9:9" x14ac:dyDescent="0.3">
      <c r="I10258" s="101"/>
    </row>
    <row r="10259" spans="9:9" x14ac:dyDescent="0.3">
      <c r="I10259" s="101"/>
    </row>
    <row r="10260" spans="9:9" x14ac:dyDescent="0.3">
      <c r="I10260" s="101"/>
    </row>
    <row r="10261" spans="9:9" x14ac:dyDescent="0.3">
      <c r="I10261" s="101"/>
    </row>
    <row r="10262" spans="9:9" x14ac:dyDescent="0.3">
      <c r="I10262" s="101"/>
    </row>
    <row r="10263" spans="9:9" x14ac:dyDescent="0.3">
      <c r="I10263" s="101"/>
    </row>
    <row r="10264" spans="9:9" x14ac:dyDescent="0.3">
      <c r="I10264" s="101"/>
    </row>
    <row r="10265" spans="9:9" x14ac:dyDescent="0.3">
      <c r="I10265" s="101"/>
    </row>
    <row r="10266" spans="9:9" x14ac:dyDescent="0.3">
      <c r="I10266" s="101"/>
    </row>
    <row r="10267" spans="9:9" x14ac:dyDescent="0.3">
      <c r="I10267" s="101"/>
    </row>
    <row r="10268" spans="9:9" x14ac:dyDescent="0.3">
      <c r="I10268" s="101"/>
    </row>
    <row r="10269" spans="9:9" x14ac:dyDescent="0.3">
      <c r="I10269" s="101"/>
    </row>
    <row r="10270" spans="9:9" x14ac:dyDescent="0.3">
      <c r="I10270" s="101"/>
    </row>
    <row r="10271" spans="9:9" x14ac:dyDescent="0.3">
      <c r="I10271" s="101"/>
    </row>
    <row r="10272" spans="9:9" x14ac:dyDescent="0.3">
      <c r="I10272" s="101"/>
    </row>
    <row r="10273" spans="9:9" x14ac:dyDescent="0.3">
      <c r="I10273" s="101"/>
    </row>
    <row r="10274" spans="9:9" x14ac:dyDescent="0.3">
      <c r="I10274" s="101"/>
    </row>
    <row r="10275" spans="9:9" x14ac:dyDescent="0.3">
      <c r="I10275" s="101"/>
    </row>
    <row r="10276" spans="9:9" x14ac:dyDescent="0.3">
      <c r="I10276" s="101"/>
    </row>
    <row r="10277" spans="9:9" x14ac:dyDescent="0.3">
      <c r="I10277" s="101"/>
    </row>
    <row r="10278" spans="9:9" x14ac:dyDescent="0.3">
      <c r="I10278" s="101"/>
    </row>
    <row r="10279" spans="9:9" x14ac:dyDescent="0.3">
      <c r="I10279" s="101"/>
    </row>
    <row r="10280" spans="9:9" x14ac:dyDescent="0.3">
      <c r="I10280" s="101"/>
    </row>
    <row r="10281" spans="9:9" x14ac:dyDescent="0.3">
      <c r="I10281" s="101"/>
    </row>
    <row r="10282" spans="9:9" x14ac:dyDescent="0.3">
      <c r="I10282" s="101"/>
    </row>
    <row r="10283" spans="9:9" x14ac:dyDescent="0.3">
      <c r="I10283" s="101"/>
    </row>
    <row r="10284" spans="9:9" x14ac:dyDescent="0.3">
      <c r="I10284" s="101"/>
    </row>
    <row r="10285" spans="9:9" x14ac:dyDescent="0.3">
      <c r="I10285" s="101"/>
    </row>
    <row r="10286" spans="9:9" x14ac:dyDescent="0.3">
      <c r="I10286" s="101"/>
    </row>
    <row r="10287" spans="9:9" x14ac:dyDescent="0.3">
      <c r="I10287" s="101"/>
    </row>
    <row r="10288" spans="9:9" x14ac:dyDescent="0.3">
      <c r="I10288" s="101"/>
    </row>
    <row r="10289" spans="9:9" x14ac:dyDescent="0.3">
      <c r="I10289" s="101"/>
    </row>
    <row r="10290" spans="9:9" x14ac:dyDescent="0.3">
      <c r="I10290" s="101"/>
    </row>
    <row r="10291" spans="9:9" x14ac:dyDescent="0.3">
      <c r="I10291" s="101"/>
    </row>
    <row r="10292" spans="9:9" x14ac:dyDescent="0.3">
      <c r="I10292" s="101"/>
    </row>
    <row r="10293" spans="9:9" x14ac:dyDescent="0.3">
      <c r="I10293" s="101"/>
    </row>
    <row r="10294" spans="9:9" x14ac:dyDescent="0.3">
      <c r="I10294" s="101"/>
    </row>
    <row r="10295" spans="9:9" x14ac:dyDescent="0.3">
      <c r="I10295" s="101"/>
    </row>
    <row r="10296" spans="9:9" x14ac:dyDescent="0.3">
      <c r="I10296" s="101"/>
    </row>
    <row r="10297" spans="9:9" x14ac:dyDescent="0.3">
      <c r="I10297" s="101"/>
    </row>
    <row r="10298" spans="9:9" x14ac:dyDescent="0.3">
      <c r="I10298" s="101"/>
    </row>
    <row r="10299" spans="9:9" x14ac:dyDescent="0.3">
      <c r="I10299" s="101"/>
    </row>
    <row r="10300" spans="9:9" x14ac:dyDescent="0.3">
      <c r="I10300" s="101"/>
    </row>
    <row r="10301" spans="9:9" x14ac:dyDescent="0.3">
      <c r="I10301" s="101"/>
    </row>
    <row r="10302" spans="9:9" x14ac:dyDescent="0.3">
      <c r="I10302" s="101"/>
    </row>
    <row r="10303" spans="9:9" x14ac:dyDescent="0.3">
      <c r="I10303" s="101"/>
    </row>
    <row r="10304" spans="9:9" x14ac:dyDescent="0.3">
      <c r="I10304" s="101"/>
    </row>
    <row r="10305" spans="9:9" x14ac:dyDescent="0.3">
      <c r="I10305" s="101"/>
    </row>
    <row r="10306" spans="9:9" x14ac:dyDescent="0.3">
      <c r="I10306" s="101"/>
    </row>
    <row r="10307" spans="9:9" x14ac:dyDescent="0.3">
      <c r="I10307" s="101"/>
    </row>
    <row r="10308" spans="9:9" x14ac:dyDescent="0.3">
      <c r="I10308" s="101"/>
    </row>
    <row r="10309" spans="9:9" x14ac:dyDescent="0.3">
      <c r="I10309" s="101"/>
    </row>
    <row r="10310" spans="9:9" x14ac:dyDescent="0.3">
      <c r="I10310" s="101"/>
    </row>
    <row r="10311" spans="9:9" x14ac:dyDescent="0.3">
      <c r="I10311" s="101"/>
    </row>
    <row r="10312" spans="9:9" x14ac:dyDescent="0.3">
      <c r="I10312" s="101"/>
    </row>
    <row r="10313" spans="9:9" x14ac:dyDescent="0.3">
      <c r="I10313" s="101"/>
    </row>
    <row r="10314" spans="9:9" x14ac:dyDescent="0.3">
      <c r="I10314" s="101"/>
    </row>
    <row r="10315" spans="9:9" x14ac:dyDescent="0.3">
      <c r="I10315" s="101"/>
    </row>
    <row r="10316" spans="9:9" x14ac:dyDescent="0.3">
      <c r="I10316" s="101"/>
    </row>
    <row r="10317" spans="9:9" x14ac:dyDescent="0.3">
      <c r="I10317" s="101"/>
    </row>
    <row r="10318" spans="9:9" x14ac:dyDescent="0.3">
      <c r="I10318" s="101"/>
    </row>
    <row r="10319" spans="9:9" x14ac:dyDescent="0.3">
      <c r="I10319" s="101"/>
    </row>
    <row r="10320" spans="9:9" x14ac:dyDescent="0.3">
      <c r="I10320" s="101"/>
    </row>
    <row r="10321" spans="9:9" x14ac:dyDescent="0.3">
      <c r="I10321" s="101"/>
    </row>
    <row r="10322" spans="9:9" x14ac:dyDescent="0.3">
      <c r="I10322" s="101"/>
    </row>
    <row r="10323" spans="9:9" x14ac:dyDescent="0.3">
      <c r="I10323" s="101"/>
    </row>
    <row r="10324" spans="9:9" x14ac:dyDescent="0.3">
      <c r="I10324" s="101"/>
    </row>
    <row r="10325" spans="9:9" x14ac:dyDescent="0.3">
      <c r="I10325" s="101"/>
    </row>
    <row r="10326" spans="9:9" x14ac:dyDescent="0.3">
      <c r="I10326" s="101"/>
    </row>
    <row r="10327" spans="9:9" x14ac:dyDescent="0.3">
      <c r="I10327" s="101"/>
    </row>
    <row r="10328" spans="9:9" x14ac:dyDescent="0.3">
      <c r="I10328" s="101"/>
    </row>
    <row r="10329" spans="9:9" x14ac:dyDescent="0.3">
      <c r="I10329" s="101"/>
    </row>
    <row r="10330" spans="9:9" x14ac:dyDescent="0.3">
      <c r="I10330" s="101"/>
    </row>
    <row r="10331" spans="9:9" x14ac:dyDescent="0.3">
      <c r="I10331" s="101"/>
    </row>
    <row r="10332" spans="9:9" x14ac:dyDescent="0.3">
      <c r="I10332" s="101"/>
    </row>
    <row r="10333" spans="9:9" x14ac:dyDescent="0.3">
      <c r="I10333" s="101"/>
    </row>
    <row r="10334" spans="9:9" x14ac:dyDescent="0.3">
      <c r="I10334" s="101"/>
    </row>
    <row r="10335" spans="9:9" x14ac:dyDescent="0.3">
      <c r="I10335" s="101"/>
    </row>
    <row r="10336" spans="9:9" x14ac:dyDescent="0.3">
      <c r="I10336" s="101"/>
    </row>
    <row r="10337" spans="9:9" x14ac:dyDescent="0.3">
      <c r="I10337" s="101"/>
    </row>
    <row r="10338" spans="9:9" x14ac:dyDescent="0.3">
      <c r="I10338" s="101"/>
    </row>
    <row r="10339" spans="9:9" x14ac:dyDescent="0.3">
      <c r="I10339" s="101"/>
    </row>
    <row r="10340" spans="9:9" x14ac:dyDescent="0.3">
      <c r="I10340" s="101"/>
    </row>
    <row r="10341" spans="9:9" x14ac:dyDescent="0.3">
      <c r="I10341" s="101"/>
    </row>
    <row r="10342" spans="9:9" x14ac:dyDescent="0.3">
      <c r="I10342" s="101"/>
    </row>
    <row r="10343" spans="9:9" x14ac:dyDescent="0.3">
      <c r="I10343" s="101"/>
    </row>
    <row r="10344" spans="9:9" x14ac:dyDescent="0.3">
      <c r="I10344" s="101"/>
    </row>
    <row r="10345" spans="9:9" x14ac:dyDescent="0.3">
      <c r="I10345" s="101"/>
    </row>
    <row r="10346" spans="9:9" x14ac:dyDescent="0.3">
      <c r="I10346" s="101"/>
    </row>
    <row r="10347" spans="9:9" x14ac:dyDescent="0.3">
      <c r="I10347" s="101"/>
    </row>
    <row r="10348" spans="9:9" x14ac:dyDescent="0.3">
      <c r="I10348" s="101"/>
    </row>
    <row r="10349" spans="9:9" x14ac:dyDescent="0.3">
      <c r="I10349" s="101"/>
    </row>
    <row r="10350" spans="9:9" x14ac:dyDescent="0.3">
      <c r="I10350" s="101"/>
    </row>
    <row r="10351" spans="9:9" x14ac:dyDescent="0.3">
      <c r="I10351" s="101"/>
    </row>
    <row r="10352" spans="9:9" x14ac:dyDescent="0.3">
      <c r="I10352" s="101"/>
    </row>
    <row r="10353" spans="9:9" x14ac:dyDescent="0.3">
      <c r="I10353" s="101"/>
    </row>
    <row r="10354" spans="9:9" x14ac:dyDescent="0.3">
      <c r="I10354" s="101"/>
    </row>
    <row r="10355" spans="9:9" x14ac:dyDescent="0.3">
      <c r="I10355" s="101"/>
    </row>
    <row r="10356" spans="9:9" x14ac:dyDescent="0.3">
      <c r="I10356" s="101"/>
    </row>
    <row r="10357" spans="9:9" x14ac:dyDescent="0.3">
      <c r="I10357" s="101"/>
    </row>
    <row r="10358" spans="9:9" x14ac:dyDescent="0.3">
      <c r="I10358" s="101"/>
    </row>
    <row r="10359" spans="9:9" x14ac:dyDescent="0.3">
      <c r="I10359" s="101"/>
    </row>
    <row r="10360" spans="9:9" x14ac:dyDescent="0.3">
      <c r="I10360" s="101"/>
    </row>
    <row r="10361" spans="9:9" x14ac:dyDescent="0.3">
      <c r="I10361" s="101"/>
    </row>
    <row r="10362" spans="9:9" x14ac:dyDescent="0.3">
      <c r="I10362" s="101"/>
    </row>
    <row r="10363" spans="9:9" x14ac:dyDescent="0.3">
      <c r="I10363" s="101"/>
    </row>
    <row r="10364" spans="9:9" x14ac:dyDescent="0.3">
      <c r="I10364" s="101"/>
    </row>
    <row r="10365" spans="9:9" x14ac:dyDescent="0.3">
      <c r="I10365" s="101"/>
    </row>
    <row r="10366" spans="9:9" x14ac:dyDescent="0.3">
      <c r="I10366" s="101"/>
    </row>
    <row r="10367" spans="9:9" x14ac:dyDescent="0.3">
      <c r="I10367" s="101"/>
    </row>
    <row r="10368" spans="9:9" x14ac:dyDescent="0.3">
      <c r="I10368" s="101"/>
    </row>
    <row r="10369" spans="9:9" x14ac:dyDescent="0.3">
      <c r="I10369" s="101"/>
    </row>
    <row r="10370" spans="9:9" x14ac:dyDescent="0.3">
      <c r="I10370" s="101"/>
    </row>
    <row r="10371" spans="9:9" x14ac:dyDescent="0.3">
      <c r="I10371" s="101"/>
    </row>
    <row r="10372" spans="9:9" x14ac:dyDescent="0.3">
      <c r="I10372" s="101"/>
    </row>
    <row r="10373" spans="9:9" x14ac:dyDescent="0.3">
      <c r="I10373" s="101"/>
    </row>
    <row r="10374" spans="9:9" x14ac:dyDescent="0.3">
      <c r="I10374" s="101"/>
    </row>
    <row r="10375" spans="9:9" x14ac:dyDescent="0.3">
      <c r="I10375" s="101"/>
    </row>
    <row r="10376" spans="9:9" x14ac:dyDescent="0.3">
      <c r="I10376" s="101"/>
    </row>
    <row r="10377" spans="9:9" x14ac:dyDescent="0.3">
      <c r="I10377" s="101"/>
    </row>
    <row r="10378" spans="9:9" x14ac:dyDescent="0.3">
      <c r="I10378" s="101"/>
    </row>
    <row r="10379" spans="9:9" x14ac:dyDescent="0.3">
      <c r="I10379" s="101"/>
    </row>
    <row r="10380" spans="9:9" x14ac:dyDescent="0.3">
      <c r="I10380" s="101"/>
    </row>
    <row r="10381" spans="9:9" x14ac:dyDescent="0.3">
      <c r="I10381" s="101"/>
    </row>
    <row r="10382" spans="9:9" x14ac:dyDescent="0.3">
      <c r="I10382" s="101"/>
    </row>
    <row r="10383" spans="9:9" x14ac:dyDescent="0.3">
      <c r="I10383" s="101"/>
    </row>
    <row r="10384" spans="9:9" x14ac:dyDescent="0.3">
      <c r="I10384" s="101"/>
    </row>
    <row r="10385" spans="9:9" x14ac:dyDescent="0.3">
      <c r="I10385" s="101"/>
    </row>
    <row r="10386" spans="9:9" x14ac:dyDescent="0.3">
      <c r="I10386" s="101"/>
    </row>
    <row r="10387" spans="9:9" x14ac:dyDescent="0.3">
      <c r="I10387" s="101"/>
    </row>
    <row r="10388" spans="9:9" x14ac:dyDescent="0.3">
      <c r="I10388" s="101"/>
    </row>
    <row r="10389" spans="9:9" x14ac:dyDescent="0.3">
      <c r="I10389" s="101"/>
    </row>
    <row r="10390" spans="9:9" x14ac:dyDescent="0.3">
      <c r="I10390" s="101"/>
    </row>
    <row r="10391" spans="9:9" x14ac:dyDescent="0.3">
      <c r="I10391" s="101"/>
    </row>
    <row r="10392" spans="9:9" x14ac:dyDescent="0.3">
      <c r="I10392" s="101"/>
    </row>
    <row r="10393" spans="9:9" x14ac:dyDescent="0.3">
      <c r="I10393" s="101"/>
    </row>
    <row r="10394" spans="9:9" x14ac:dyDescent="0.3">
      <c r="I10394" s="101"/>
    </row>
    <row r="10395" spans="9:9" x14ac:dyDescent="0.3">
      <c r="I10395" s="101"/>
    </row>
    <row r="10396" spans="9:9" x14ac:dyDescent="0.3">
      <c r="I10396" s="101"/>
    </row>
    <row r="10397" spans="9:9" x14ac:dyDescent="0.3">
      <c r="I10397" s="101"/>
    </row>
    <row r="10398" spans="9:9" x14ac:dyDescent="0.3">
      <c r="I10398" s="101"/>
    </row>
    <row r="10399" spans="9:9" x14ac:dyDescent="0.3">
      <c r="I10399" s="101"/>
    </row>
    <row r="10400" spans="9:9" x14ac:dyDescent="0.3">
      <c r="I10400" s="101"/>
    </row>
    <row r="10401" spans="9:9" x14ac:dyDescent="0.3">
      <c r="I10401" s="101"/>
    </row>
    <row r="10402" spans="9:9" x14ac:dyDescent="0.3">
      <c r="I10402" s="101"/>
    </row>
    <row r="10403" spans="9:9" x14ac:dyDescent="0.3">
      <c r="I10403" s="101"/>
    </row>
    <row r="10404" spans="9:9" x14ac:dyDescent="0.3">
      <c r="I10404" s="101"/>
    </row>
    <row r="10405" spans="9:9" x14ac:dyDescent="0.3">
      <c r="I10405" s="101"/>
    </row>
    <row r="10406" spans="9:9" x14ac:dyDescent="0.3">
      <c r="I10406" s="101"/>
    </row>
    <row r="10407" spans="9:9" x14ac:dyDescent="0.3">
      <c r="I10407" s="101"/>
    </row>
    <row r="10408" spans="9:9" x14ac:dyDescent="0.3">
      <c r="I10408" s="101"/>
    </row>
    <row r="10409" spans="9:9" x14ac:dyDescent="0.3">
      <c r="I10409" s="101"/>
    </row>
    <row r="10410" spans="9:9" x14ac:dyDescent="0.3">
      <c r="I10410" s="101"/>
    </row>
    <row r="10411" spans="9:9" x14ac:dyDescent="0.3">
      <c r="I10411" s="101"/>
    </row>
    <row r="10412" spans="9:9" x14ac:dyDescent="0.3">
      <c r="I10412" s="101"/>
    </row>
    <row r="10413" spans="9:9" x14ac:dyDescent="0.3">
      <c r="I10413" s="101"/>
    </row>
    <row r="10414" spans="9:9" x14ac:dyDescent="0.3">
      <c r="I10414" s="101"/>
    </row>
    <row r="10415" spans="9:9" x14ac:dyDescent="0.3">
      <c r="I10415" s="101"/>
    </row>
    <row r="10416" spans="9:9" x14ac:dyDescent="0.3">
      <c r="I10416" s="101"/>
    </row>
    <row r="10417" spans="9:9" x14ac:dyDescent="0.3">
      <c r="I10417" s="101"/>
    </row>
    <row r="10418" spans="9:9" x14ac:dyDescent="0.3">
      <c r="I10418" s="101"/>
    </row>
    <row r="10419" spans="9:9" x14ac:dyDescent="0.3">
      <c r="I10419" s="101"/>
    </row>
    <row r="10420" spans="9:9" x14ac:dyDescent="0.3">
      <c r="I10420" s="101"/>
    </row>
    <row r="10421" spans="9:9" x14ac:dyDescent="0.3">
      <c r="I10421" s="101"/>
    </row>
    <row r="10422" spans="9:9" x14ac:dyDescent="0.3">
      <c r="I10422" s="101"/>
    </row>
    <row r="10423" spans="9:9" x14ac:dyDescent="0.3">
      <c r="I10423" s="101"/>
    </row>
    <row r="10424" spans="9:9" x14ac:dyDescent="0.3">
      <c r="I10424" s="101"/>
    </row>
    <row r="10425" spans="9:9" x14ac:dyDescent="0.3">
      <c r="I10425" s="101"/>
    </row>
    <row r="10426" spans="9:9" x14ac:dyDescent="0.3">
      <c r="I10426" s="101"/>
    </row>
    <row r="10427" spans="9:9" x14ac:dyDescent="0.3">
      <c r="I10427" s="101"/>
    </row>
    <row r="10428" spans="9:9" x14ac:dyDescent="0.3">
      <c r="I10428" s="101"/>
    </row>
    <row r="10429" spans="9:9" x14ac:dyDescent="0.3">
      <c r="I10429" s="101"/>
    </row>
    <row r="10430" spans="9:9" x14ac:dyDescent="0.3">
      <c r="I10430" s="101"/>
    </row>
    <row r="10431" spans="9:9" x14ac:dyDescent="0.3">
      <c r="I10431" s="101"/>
    </row>
    <row r="10432" spans="9:9" x14ac:dyDescent="0.3">
      <c r="I10432" s="101"/>
    </row>
    <row r="10433" spans="9:9" x14ac:dyDescent="0.3">
      <c r="I10433" s="101"/>
    </row>
    <row r="10434" spans="9:9" x14ac:dyDescent="0.3">
      <c r="I10434" s="101"/>
    </row>
    <row r="10435" spans="9:9" x14ac:dyDescent="0.3">
      <c r="I10435" s="101"/>
    </row>
    <row r="10436" spans="9:9" x14ac:dyDescent="0.3">
      <c r="I10436" s="101"/>
    </row>
    <row r="10437" spans="9:9" x14ac:dyDescent="0.3">
      <c r="I10437" s="101"/>
    </row>
    <row r="10438" spans="9:9" x14ac:dyDescent="0.3">
      <c r="I10438" s="101"/>
    </row>
    <row r="10439" spans="9:9" x14ac:dyDescent="0.3">
      <c r="I10439" s="101"/>
    </row>
    <row r="10440" spans="9:9" x14ac:dyDescent="0.3">
      <c r="I10440" s="101"/>
    </row>
    <row r="10441" spans="9:9" x14ac:dyDescent="0.3">
      <c r="I10441" s="101"/>
    </row>
    <row r="10442" spans="9:9" x14ac:dyDescent="0.3">
      <c r="I10442" s="101"/>
    </row>
    <row r="10443" spans="9:9" x14ac:dyDescent="0.3">
      <c r="I10443" s="101"/>
    </row>
    <row r="10444" spans="9:9" x14ac:dyDescent="0.3">
      <c r="I10444" s="101"/>
    </row>
    <row r="10445" spans="9:9" x14ac:dyDescent="0.3">
      <c r="I10445" s="101"/>
    </row>
    <row r="10446" spans="9:9" x14ac:dyDescent="0.3">
      <c r="I10446" s="101"/>
    </row>
    <row r="10447" spans="9:9" x14ac:dyDescent="0.3">
      <c r="I10447" s="101"/>
    </row>
    <row r="10448" spans="9:9" x14ac:dyDescent="0.3">
      <c r="I10448" s="101"/>
    </row>
    <row r="10449" spans="9:9" x14ac:dyDescent="0.3">
      <c r="I10449" s="101"/>
    </row>
    <row r="10450" spans="9:9" x14ac:dyDescent="0.3">
      <c r="I10450" s="101"/>
    </row>
    <row r="10451" spans="9:9" x14ac:dyDescent="0.3">
      <c r="I10451" s="101"/>
    </row>
    <row r="10452" spans="9:9" x14ac:dyDescent="0.3">
      <c r="I10452" s="101"/>
    </row>
    <row r="10453" spans="9:9" x14ac:dyDescent="0.3">
      <c r="I10453" s="101"/>
    </row>
    <row r="10454" spans="9:9" x14ac:dyDescent="0.3">
      <c r="I10454" s="101"/>
    </row>
    <row r="10455" spans="9:9" x14ac:dyDescent="0.3">
      <c r="I10455" s="101"/>
    </row>
    <row r="10456" spans="9:9" x14ac:dyDescent="0.3">
      <c r="I10456" s="101"/>
    </row>
    <row r="10457" spans="9:9" x14ac:dyDescent="0.3">
      <c r="I10457" s="101"/>
    </row>
    <row r="10458" spans="9:9" x14ac:dyDescent="0.3">
      <c r="I10458" s="101"/>
    </row>
    <row r="10459" spans="9:9" x14ac:dyDescent="0.3">
      <c r="I10459" s="101"/>
    </row>
    <row r="10460" spans="9:9" x14ac:dyDescent="0.3">
      <c r="I10460" s="101"/>
    </row>
    <row r="10461" spans="9:9" x14ac:dyDescent="0.3">
      <c r="I10461" s="101"/>
    </row>
    <row r="10462" spans="9:9" x14ac:dyDescent="0.3">
      <c r="I10462" s="101"/>
    </row>
    <row r="10463" spans="9:9" x14ac:dyDescent="0.3">
      <c r="I10463" s="101"/>
    </row>
    <row r="10464" spans="9:9" x14ac:dyDescent="0.3">
      <c r="I10464" s="101"/>
    </row>
    <row r="10465" spans="9:9" x14ac:dyDescent="0.3">
      <c r="I10465" s="101"/>
    </row>
    <row r="10466" spans="9:9" x14ac:dyDescent="0.3">
      <c r="I10466" s="101"/>
    </row>
    <row r="10467" spans="9:9" x14ac:dyDescent="0.3">
      <c r="I10467" s="101"/>
    </row>
    <row r="10468" spans="9:9" x14ac:dyDescent="0.3">
      <c r="I10468" s="101"/>
    </row>
    <row r="10469" spans="9:9" x14ac:dyDescent="0.3">
      <c r="I10469" s="101"/>
    </row>
    <row r="10470" spans="9:9" x14ac:dyDescent="0.3">
      <c r="I10470" s="101"/>
    </row>
    <row r="10471" spans="9:9" x14ac:dyDescent="0.3">
      <c r="I10471" s="101"/>
    </row>
    <row r="10472" spans="9:9" x14ac:dyDescent="0.3">
      <c r="I10472" s="101"/>
    </row>
    <row r="10473" spans="9:9" x14ac:dyDescent="0.3">
      <c r="I10473" s="101"/>
    </row>
    <row r="10474" spans="9:9" x14ac:dyDescent="0.3">
      <c r="I10474" s="101"/>
    </row>
    <row r="10475" spans="9:9" x14ac:dyDescent="0.3">
      <c r="I10475" s="101"/>
    </row>
    <row r="10476" spans="9:9" x14ac:dyDescent="0.3">
      <c r="I10476" s="101"/>
    </row>
    <row r="10477" spans="9:9" x14ac:dyDescent="0.3">
      <c r="I10477" s="101"/>
    </row>
    <row r="10478" spans="9:9" x14ac:dyDescent="0.3">
      <c r="I10478" s="101"/>
    </row>
    <row r="10479" spans="9:9" x14ac:dyDescent="0.3">
      <c r="I10479" s="101"/>
    </row>
    <row r="10480" spans="9:9" x14ac:dyDescent="0.3">
      <c r="I10480" s="101"/>
    </row>
    <row r="10481" spans="9:9" x14ac:dyDescent="0.3">
      <c r="I10481" s="101"/>
    </row>
    <row r="10482" spans="9:9" x14ac:dyDescent="0.3">
      <c r="I10482" s="101"/>
    </row>
    <row r="10483" spans="9:9" x14ac:dyDescent="0.3">
      <c r="I10483" s="101"/>
    </row>
    <row r="10484" spans="9:9" x14ac:dyDescent="0.3">
      <c r="I10484" s="101"/>
    </row>
    <row r="10485" spans="9:9" x14ac:dyDescent="0.3">
      <c r="I10485" s="101"/>
    </row>
    <row r="10486" spans="9:9" x14ac:dyDescent="0.3">
      <c r="I10486" s="101"/>
    </row>
    <row r="10487" spans="9:9" x14ac:dyDescent="0.3">
      <c r="I10487" s="101"/>
    </row>
    <row r="10488" spans="9:9" x14ac:dyDescent="0.3">
      <c r="I10488" s="101"/>
    </row>
    <row r="10489" spans="9:9" x14ac:dyDescent="0.3">
      <c r="I10489" s="101"/>
    </row>
    <row r="10490" spans="9:9" x14ac:dyDescent="0.3">
      <c r="I10490" s="101"/>
    </row>
    <row r="10491" spans="9:9" x14ac:dyDescent="0.3">
      <c r="I10491" s="101"/>
    </row>
    <row r="10492" spans="9:9" x14ac:dyDescent="0.3">
      <c r="I10492" s="101"/>
    </row>
    <row r="10493" spans="9:9" x14ac:dyDescent="0.3">
      <c r="I10493" s="101"/>
    </row>
    <row r="10494" spans="9:9" x14ac:dyDescent="0.3">
      <c r="I10494" s="101"/>
    </row>
    <row r="10495" spans="9:9" x14ac:dyDescent="0.3">
      <c r="I10495" s="101"/>
    </row>
    <row r="10496" spans="9:9" x14ac:dyDescent="0.3">
      <c r="I10496" s="101"/>
    </row>
    <row r="10497" spans="9:9" x14ac:dyDescent="0.3">
      <c r="I10497" s="101"/>
    </row>
    <row r="10498" spans="9:9" x14ac:dyDescent="0.3">
      <c r="I10498" s="101"/>
    </row>
    <row r="10499" spans="9:9" x14ac:dyDescent="0.3">
      <c r="I10499" s="101"/>
    </row>
    <row r="10500" spans="9:9" x14ac:dyDescent="0.3">
      <c r="I10500" s="101"/>
    </row>
    <row r="10501" spans="9:9" x14ac:dyDescent="0.3">
      <c r="I10501" s="101"/>
    </row>
    <row r="10502" spans="9:9" x14ac:dyDescent="0.3">
      <c r="I10502" s="101"/>
    </row>
    <row r="10503" spans="9:9" x14ac:dyDescent="0.3">
      <c r="I10503" s="101"/>
    </row>
    <row r="10504" spans="9:9" x14ac:dyDescent="0.3">
      <c r="I10504" s="101"/>
    </row>
    <row r="10505" spans="9:9" x14ac:dyDescent="0.3">
      <c r="I10505" s="101"/>
    </row>
    <row r="10506" spans="9:9" x14ac:dyDescent="0.3">
      <c r="I10506" s="101"/>
    </row>
    <row r="10507" spans="9:9" x14ac:dyDescent="0.3">
      <c r="I10507" s="101"/>
    </row>
    <row r="10508" spans="9:9" x14ac:dyDescent="0.3">
      <c r="I10508" s="101"/>
    </row>
    <row r="10509" spans="9:9" x14ac:dyDescent="0.3">
      <c r="I10509" s="101"/>
    </row>
    <row r="10510" spans="9:9" x14ac:dyDescent="0.3">
      <c r="I10510" s="101"/>
    </row>
    <row r="10511" spans="9:9" x14ac:dyDescent="0.3">
      <c r="I10511" s="101"/>
    </row>
    <row r="10512" spans="9:9" x14ac:dyDescent="0.3">
      <c r="I10512" s="101"/>
    </row>
    <row r="10513" spans="9:9" x14ac:dyDescent="0.3">
      <c r="I10513" s="101"/>
    </row>
    <row r="10514" spans="9:9" x14ac:dyDescent="0.3">
      <c r="I10514" s="101"/>
    </row>
    <row r="10515" spans="9:9" x14ac:dyDescent="0.3">
      <c r="I10515" s="101"/>
    </row>
    <row r="10516" spans="9:9" x14ac:dyDescent="0.3">
      <c r="I10516" s="101"/>
    </row>
    <row r="10517" spans="9:9" x14ac:dyDescent="0.3">
      <c r="I10517" s="101"/>
    </row>
    <row r="10518" spans="9:9" x14ac:dyDescent="0.3">
      <c r="I10518" s="101"/>
    </row>
    <row r="10519" spans="9:9" x14ac:dyDescent="0.3">
      <c r="I10519" s="101"/>
    </row>
    <row r="10520" spans="9:9" x14ac:dyDescent="0.3">
      <c r="I10520" s="101"/>
    </row>
    <row r="10521" spans="9:9" x14ac:dyDescent="0.3">
      <c r="I10521" s="101"/>
    </row>
    <row r="10522" spans="9:9" x14ac:dyDescent="0.3">
      <c r="I10522" s="101"/>
    </row>
    <row r="10523" spans="9:9" x14ac:dyDescent="0.3">
      <c r="I10523" s="101"/>
    </row>
    <row r="10524" spans="9:9" x14ac:dyDescent="0.3">
      <c r="I10524" s="101"/>
    </row>
    <row r="10525" spans="9:9" x14ac:dyDescent="0.3">
      <c r="I10525" s="101"/>
    </row>
    <row r="10526" spans="9:9" x14ac:dyDescent="0.3">
      <c r="I10526" s="101"/>
    </row>
    <row r="10527" spans="9:9" x14ac:dyDescent="0.3">
      <c r="I10527" s="101"/>
    </row>
    <row r="10528" spans="9:9" x14ac:dyDescent="0.3">
      <c r="I10528" s="101"/>
    </row>
    <row r="10529" spans="9:9" x14ac:dyDescent="0.3">
      <c r="I10529" s="101"/>
    </row>
    <row r="10530" spans="9:9" x14ac:dyDescent="0.3">
      <c r="I10530" s="101"/>
    </row>
    <row r="10531" spans="9:9" x14ac:dyDescent="0.3">
      <c r="I10531" s="101"/>
    </row>
    <row r="10532" spans="9:9" x14ac:dyDescent="0.3">
      <c r="I10532" s="101"/>
    </row>
    <row r="10533" spans="9:9" x14ac:dyDescent="0.3">
      <c r="I10533" s="101"/>
    </row>
    <row r="10534" spans="9:9" x14ac:dyDescent="0.3">
      <c r="I10534" s="101"/>
    </row>
    <row r="10535" spans="9:9" x14ac:dyDescent="0.3">
      <c r="I10535" s="101"/>
    </row>
    <row r="10536" spans="9:9" x14ac:dyDescent="0.3">
      <c r="I10536" s="101"/>
    </row>
    <row r="10537" spans="9:9" x14ac:dyDescent="0.3">
      <c r="I10537" s="101"/>
    </row>
    <row r="10538" spans="9:9" x14ac:dyDescent="0.3">
      <c r="I10538" s="101"/>
    </row>
    <row r="10539" spans="9:9" x14ac:dyDescent="0.3">
      <c r="I10539" s="101"/>
    </row>
    <row r="10540" spans="9:9" x14ac:dyDescent="0.3">
      <c r="I10540" s="101"/>
    </row>
    <row r="10541" spans="9:9" x14ac:dyDescent="0.3">
      <c r="I10541" s="101"/>
    </row>
    <row r="10542" spans="9:9" x14ac:dyDescent="0.3">
      <c r="I10542" s="101"/>
    </row>
    <row r="10543" spans="9:9" x14ac:dyDescent="0.3">
      <c r="I10543" s="101"/>
    </row>
    <row r="10544" spans="9:9" x14ac:dyDescent="0.3">
      <c r="I10544" s="101"/>
    </row>
    <row r="10545" spans="9:9" x14ac:dyDescent="0.3">
      <c r="I10545" s="101"/>
    </row>
    <row r="10546" spans="9:9" x14ac:dyDescent="0.3">
      <c r="I10546" s="101"/>
    </row>
    <row r="10547" spans="9:9" x14ac:dyDescent="0.3">
      <c r="I10547" s="101"/>
    </row>
    <row r="10548" spans="9:9" x14ac:dyDescent="0.3">
      <c r="I10548" s="101"/>
    </row>
    <row r="10549" spans="9:9" x14ac:dyDescent="0.3">
      <c r="I10549" s="101"/>
    </row>
    <row r="10550" spans="9:9" x14ac:dyDescent="0.3">
      <c r="I10550" s="101"/>
    </row>
    <row r="10551" spans="9:9" x14ac:dyDescent="0.3">
      <c r="I10551" s="101"/>
    </row>
    <row r="10552" spans="9:9" x14ac:dyDescent="0.3">
      <c r="I10552" s="101"/>
    </row>
    <row r="10553" spans="9:9" x14ac:dyDescent="0.3">
      <c r="I10553" s="101"/>
    </row>
    <row r="10554" spans="9:9" x14ac:dyDescent="0.3">
      <c r="I10554" s="101"/>
    </row>
    <row r="10555" spans="9:9" x14ac:dyDescent="0.3">
      <c r="I10555" s="101"/>
    </row>
    <row r="10556" spans="9:9" x14ac:dyDescent="0.3">
      <c r="I10556" s="101"/>
    </row>
    <row r="10557" spans="9:9" x14ac:dyDescent="0.3">
      <c r="I10557" s="101"/>
    </row>
    <row r="10558" spans="9:9" x14ac:dyDescent="0.3">
      <c r="I10558" s="101"/>
    </row>
    <row r="10559" spans="9:9" x14ac:dyDescent="0.3">
      <c r="I10559" s="101"/>
    </row>
    <row r="10560" spans="9:9" x14ac:dyDescent="0.3">
      <c r="I10560" s="101"/>
    </row>
    <row r="10561" spans="9:9" x14ac:dyDescent="0.3">
      <c r="I10561" s="101"/>
    </row>
    <row r="10562" spans="9:9" x14ac:dyDescent="0.3">
      <c r="I10562" s="101"/>
    </row>
    <row r="10563" spans="9:9" x14ac:dyDescent="0.3">
      <c r="I10563" s="101"/>
    </row>
    <row r="10564" spans="9:9" x14ac:dyDescent="0.3">
      <c r="I10564" s="101"/>
    </row>
    <row r="10565" spans="9:9" x14ac:dyDescent="0.3">
      <c r="I10565" s="101"/>
    </row>
    <row r="10566" spans="9:9" x14ac:dyDescent="0.3">
      <c r="I10566" s="101"/>
    </row>
    <row r="10567" spans="9:9" x14ac:dyDescent="0.3">
      <c r="I10567" s="101"/>
    </row>
    <row r="10568" spans="9:9" x14ac:dyDescent="0.3">
      <c r="I10568" s="101"/>
    </row>
    <row r="10569" spans="9:9" x14ac:dyDescent="0.3">
      <c r="I10569" s="101"/>
    </row>
    <row r="10570" spans="9:9" x14ac:dyDescent="0.3">
      <c r="I10570" s="101"/>
    </row>
    <row r="10571" spans="9:9" x14ac:dyDescent="0.3">
      <c r="I10571" s="101"/>
    </row>
    <row r="10572" spans="9:9" x14ac:dyDescent="0.3">
      <c r="I10572" s="101"/>
    </row>
    <row r="10573" spans="9:9" x14ac:dyDescent="0.3">
      <c r="I10573" s="101"/>
    </row>
    <row r="10574" spans="9:9" x14ac:dyDescent="0.3">
      <c r="I10574" s="101"/>
    </row>
    <row r="10575" spans="9:9" x14ac:dyDescent="0.3">
      <c r="I10575" s="101"/>
    </row>
    <row r="10576" spans="9:9" x14ac:dyDescent="0.3">
      <c r="I10576" s="101"/>
    </row>
    <row r="10577" spans="9:9" x14ac:dyDescent="0.3">
      <c r="I10577" s="101"/>
    </row>
    <row r="10578" spans="9:9" x14ac:dyDescent="0.3">
      <c r="I10578" s="101"/>
    </row>
    <row r="10579" spans="9:9" x14ac:dyDescent="0.3">
      <c r="I10579" s="101"/>
    </row>
    <row r="10580" spans="9:9" x14ac:dyDescent="0.3">
      <c r="I10580" s="101"/>
    </row>
    <row r="10581" spans="9:9" x14ac:dyDescent="0.3">
      <c r="I10581" s="101"/>
    </row>
    <row r="10582" spans="9:9" x14ac:dyDescent="0.3">
      <c r="I10582" s="101"/>
    </row>
    <row r="10583" spans="9:9" x14ac:dyDescent="0.3">
      <c r="I10583" s="101"/>
    </row>
    <row r="10584" spans="9:9" x14ac:dyDescent="0.3">
      <c r="I10584" s="101"/>
    </row>
    <row r="10585" spans="9:9" x14ac:dyDescent="0.3">
      <c r="I10585" s="101"/>
    </row>
    <row r="10586" spans="9:9" x14ac:dyDescent="0.3">
      <c r="I10586" s="101"/>
    </row>
    <row r="10587" spans="9:9" x14ac:dyDescent="0.3">
      <c r="I10587" s="101"/>
    </row>
    <row r="10588" spans="9:9" x14ac:dyDescent="0.3">
      <c r="I10588" s="101"/>
    </row>
    <row r="10589" spans="9:9" x14ac:dyDescent="0.3">
      <c r="I10589" s="101"/>
    </row>
    <row r="10590" spans="9:9" x14ac:dyDescent="0.3">
      <c r="I10590" s="101"/>
    </row>
    <row r="10591" spans="9:9" x14ac:dyDescent="0.3">
      <c r="I10591" s="101"/>
    </row>
    <row r="10592" spans="9:9" x14ac:dyDescent="0.3">
      <c r="I10592" s="101"/>
    </row>
    <row r="10593" spans="9:9" x14ac:dyDescent="0.3">
      <c r="I10593" s="101"/>
    </row>
    <row r="10594" spans="9:9" x14ac:dyDescent="0.3">
      <c r="I10594" s="101"/>
    </row>
    <row r="10595" spans="9:9" x14ac:dyDescent="0.3">
      <c r="I10595" s="101"/>
    </row>
    <row r="10596" spans="9:9" x14ac:dyDescent="0.3">
      <c r="I10596" s="101"/>
    </row>
    <row r="10597" spans="9:9" x14ac:dyDescent="0.3">
      <c r="I10597" s="101"/>
    </row>
    <row r="10598" spans="9:9" x14ac:dyDescent="0.3">
      <c r="I10598" s="101"/>
    </row>
    <row r="10599" spans="9:9" x14ac:dyDescent="0.3">
      <c r="I10599" s="101"/>
    </row>
    <row r="10600" spans="9:9" x14ac:dyDescent="0.3">
      <c r="I10600" s="101"/>
    </row>
    <row r="10601" spans="9:9" x14ac:dyDescent="0.3">
      <c r="I10601" s="101"/>
    </row>
    <row r="10602" spans="9:9" x14ac:dyDescent="0.3">
      <c r="I10602" s="101"/>
    </row>
    <row r="10603" spans="9:9" x14ac:dyDescent="0.3">
      <c r="I10603" s="101"/>
    </row>
    <row r="10604" spans="9:9" x14ac:dyDescent="0.3">
      <c r="I10604" s="101"/>
    </row>
    <row r="10605" spans="9:9" x14ac:dyDescent="0.3">
      <c r="I10605" s="101"/>
    </row>
    <row r="10606" spans="9:9" x14ac:dyDescent="0.3">
      <c r="I10606" s="101"/>
    </row>
    <row r="10607" spans="9:9" x14ac:dyDescent="0.3">
      <c r="I10607" s="101"/>
    </row>
    <row r="10608" spans="9:9" x14ac:dyDescent="0.3">
      <c r="I10608" s="101"/>
    </row>
    <row r="10609" spans="9:9" x14ac:dyDescent="0.3">
      <c r="I10609" s="101"/>
    </row>
    <row r="10610" spans="9:9" x14ac:dyDescent="0.3">
      <c r="I10610" s="101"/>
    </row>
    <row r="10611" spans="9:9" x14ac:dyDescent="0.3">
      <c r="I10611" s="101"/>
    </row>
    <row r="10612" spans="9:9" x14ac:dyDescent="0.3">
      <c r="I10612" s="101"/>
    </row>
    <row r="10613" spans="9:9" x14ac:dyDescent="0.3">
      <c r="I10613" s="101"/>
    </row>
    <row r="10614" spans="9:9" x14ac:dyDescent="0.3">
      <c r="I10614" s="101"/>
    </row>
    <row r="10615" spans="9:9" x14ac:dyDescent="0.3">
      <c r="I10615" s="101"/>
    </row>
    <row r="10616" spans="9:9" x14ac:dyDescent="0.3">
      <c r="I10616" s="101"/>
    </row>
    <row r="10617" spans="9:9" x14ac:dyDescent="0.3">
      <c r="I10617" s="101"/>
    </row>
    <row r="10618" spans="9:9" x14ac:dyDescent="0.3">
      <c r="I10618" s="101"/>
    </row>
    <row r="10619" spans="9:9" x14ac:dyDescent="0.3">
      <c r="I10619" s="101"/>
    </row>
    <row r="10620" spans="9:9" x14ac:dyDescent="0.3">
      <c r="I10620" s="101"/>
    </row>
    <row r="10621" spans="9:9" x14ac:dyDescent="0.3">
      <c r="I10621" s="101"/>
    </row>
    <row r="10622" spans="9:9" x14ac:dyDescent="0.3">
      <c r="I10622" s="101"/>
    </row>
    <row r="10623" spans="9:9" x14ac:dyDescent="0.3">
      <c r="I10623" s="101"/>
    </row>
    <row r="10624" spans="9:9" x14ac:dyDescent="0.3">
      <c r="I10624" s="101"/>
    </row>
    <row r="10625" spans="9:9" x14ac:dyDescent="0.3">
      <c r="I10625" s="101"/>
    </row>
    <row r="10626" spans="9:9" x14ac:dyDescent="0.3">
      <c r="I10626" s="101"/>
    </row>
    <row r="10627" spans="9:9" x14ac:dyDescent="0.3">
      <c r="I10627" s="101"/>
    </row>
    <row r="10628" spans="9:9" x14ac:dyDescent="0.3">
      <c r="I10628" s="101"/>
    </row>
    <row r="10629" spans="9:9" x14ac:dyDescent="0.3">
      <c r="I10629" s="101"/>
    </row>
    <row r="10630" spans="9:9" x14ac:dyDescent="0.3">
      <c r="I10630" s="101"/>
    </row>
    <row r="10631" spans="9:9" x14ac:dyDescent="0.3">
      <c r="I10631" s="101"/>
    </row>
    <row r="10632" spans="9:9" x14ac:dyDescent="0.3">
      <c r="I10632" s="101"/>
    </row>
    <row r="10633" spans="9:9" x14ac:dyDescent="0.3">
      <c r="I10633" s="101"/>
    </row>
    <row r="10634" spans="9:9" x14ac:dyDescent="0.3">
      <c r="I10634" s="101"/>
    </row>
    <row r="10635" spans="9:9" x14ac:dyDescent="0.3">
      <c r="I10635" s="101"/>
    </row>
    <row r="10636" spans="9:9" x14ac:dyDescent="0.3">
      <c r="I10636" s="101"/>
    </row>
    <row r="10637" spans="9:9" x14ac:dyDescent="0.3">
      <c r="I10637" s="101"/>
    </row>
    <row r="10638" spans="9:9" x14ac:dyDescent="0.3">
      <c r="I10638" s="101"/>
    </row>
    <row r="10639" spans="9:9" x14ac:dyDescent="0.3">
      <c r="I10639" s="101"/>
    </row>
    <row r="10640" spans="9:9" x14ac:dyDescent="0.3">
      <c r="I10640" s="101"/>
    </row>
    <row r="10641" spans="9:9" x14ac:dyDescent="0.3">
      <c r="I10641" s="101"/>
    </row>
    <row r="10642" spans="9:9" x14ac:dyDescent="0.3">
      <c r="I10642" s="101"/>
    </row>
    <row r="10643" spans="9:9" x14ac:dyDescent="0.3">
      <c r="I10643" s="101"/>
    </row>
    <row r="10644" spans="9:9" x14ac:dyDescent="0.3">
      <c r="I10644" s="101"/>
    </row>
    <row r="10645" spans="9:9" x14ac:dyDescent="0.3">
      <c r="I10645" s="101"/>
    </row>
    <row r="10646" spans="9:9" x14ac:dyDescent="0.3">
      <c r="I10646" s="101"/>
    </row>
    <row r="10647" spans="9:9" x14ac:dyDescent="0.3">
      <c r="I10647" s="101"/>
    </row>
    <row r="10648" spans="9:9" x14ac:dyDescent="0.3">
      <c r="I10648" s="101"/>
    </row>
    <row r="10649" spans="9:9" x14ac:dyDescent="0.3">
      <c r="I10649" s="101"/>
    </row>
    <row r="10650" spans="9:9" x14ac:dyDescent="0.3">
      <c r="I10650" s="101"/>
    </row>
    <row r="10651" spans="9:9" x14ac:dyDescent="0.3">
      <c r="I10651" s="101"/>
    </row>
    <row r="10652" spans="9:9" x14ac:dyDescent="0.3">
      <c r="I10652" s="101"/>
    </row>
    <row r="10653" spans="9:9" x14ac:dyDescent="0.3">
      <c r="I10653" s="101"/>
    </row>
    <row r="10654" spans="9:9" x14ac:dyDescent="0.3">
      <c r="I10654" s="101"/>
    </row>
    <row r="10655" spans="9:9" x14ac:dyDescent="0.3">
      <c r="I10655" s="101"/>
    </row>
    <row r="10656" spans="9:9" x14ac:dyDescent="0.3">
      <c r="I10656" s="101"/>
    </row>
    <row r="10657" spans="9:9" x14ac:dyDescent="0.3">
      <c r="I10657" s="101"/>
    </row>
    <row r="10658" spans="9:9" x14ac:dyDescent="0.3">
      <c r="I10658" s="101"/>
    </row>
    <row r="10659" spans="9:9" x14ac:dyDescent="0.3">
      <c r="I10659" s="101"/>
    </row>
    <row r="10660" spans="9:9" x14ac:dyDescent="0.3">
      <c r="I10660" s="101"/>
    </row>
    <row r="10661" spans="9:9" x14ac:dyDescent="0.3">
      <c r="I10661" s="101"/>
    </row>
    <row r="10662" spans="9:9" x14ac:dyDescent="0.3">
      <c r="I10662" s="101"/>
    </row>
    <row r="10663" spans="9:9" x14ac:dyDescent="0.3">
      <c r="I10663" s="101"/>
    </row>
    <row r="10664" spans="9:9" x14ac:dyDescent="0.3">
      <c r="I10664" s="101"/>
    </row>
    <row r="10665" spans="9:9" x14ac:dyDescent="0.3">
      <c r="I10665" s="101"/>
    </row>
    <row r="10666" spans="9:9" x14ac:dyDescent="0.3">
      <c r="I10666" s="101"/>
    </row>
    <row r="10667" spans="9:9" x14ac:dyDescent="0.3">
      <c r="I10667" s="101"/>
    </row>
    <row r="10668" spans="9:9" x14ac:dyDescent="0.3">
      <c r="I10668" s="101"/>
    </row>
    <row r="10669" spans="9:9" x14ac:dyDescent="0.3">
      <c r="I10669" s="101"/>
    </row>
    <row r="10670" spans="9:9" x14ac:dyDescent="0.3">
      <c r="I10670" s="101"/>
    </row>
    <row r="10671" spans="9:9" x14ac:dyDescent="0.3">
      <c r="I10671" s="101"/>
    </row>
    <row r="10672" spans="9:9" x14ac:dyDescent="0.3">
      <c r="I10672" s="101"/>
    </row>
    <row r="10673" spans="9:9" x14ac:dyDescent="0.3">
      <c r="I10673" s="101"/>
    </row>
    <row r="10674" spans="9:9" x14ac:dyDescent="0.3">
      <c r="I10674" s="101"/>
    </row>
    <row r="10675" spans="9:9" x14ac:dyDescent="0.3">
      <c r="I10675" s="101"/>
    </row>
    <row r="10676" spans="9:9" x14ac:dyDescent="0.3">
      <c r="I10676" s="101"/>
    </row>
    <row r="10677" spans="9:9" x14ac:dyDescent="0.3">
      <c r="I10677" s="101"/>
    </row>
    <row r="10678" spans="9:9" x14ac:dyDescent="0.3">
      <c r="I10678" s="101"/>
    </row>
    <row r="10679" spans="9:9" x14ac:dyDescent="0.3">
      <c r="I10679" s="101"/>
    </row>
    <row r="10680" spans="9:9" x14ac:dyDescent="0.3">
      <c r="I10680" s="101"/>
    </row>
    <row r="10681" spans="9:9" x14ac:dyDescent="0.3">
      <c r="I10681" s="101"/>
    </row>
    <row r="10682" spans="9:9" x14ac:dyDescent="0.3">
      <c r="I10682" s="101"/>
    </row>
    <row r="10683" spans="9:9" x14ac:dyDescent="0.3">
      <c r="I10683" s="101"/>
    </row>
    <row r="10684" spans="9:9" x14ac:dyDescent="0.3">
      <c r="I10684" s="101"/>
    </row>
    <row r="10685" spans="9:9" x14ac:dyDescent="0.3">
      <c r="I10685" s="101"/>
    </row>
    <row r="10686" spans="9:9" x14ac:dyDescent="0.3">
      <c r="I10686" s="101"/>
    </row>
    <row r="10687" spans="9:9" x14ac:dyDescent="0.3">
      <c r="I10687" s="101"/>
    </row>
    <row r="10688" spans="9:9" x14ac:dyDescent="0.3">
      <c r="I10688" s="101"/>
    </row>
    <row r="10689" spans="9:9" x14ac:dyDescent="0.3">
      <c r="I10689" s="101"/>
    </row>
    <row r="10690" spans="9:9" x14ac:dyDescent="0.3">
      <c r="I10690" s="101"/>
    </row>
    <row r="10691" spans="9:9" x14ac:dyDescent="0.3">
      <c r="I10691" s="101"/>
    </row>
    <row r="10692" spans="9:9" x14ac:dyDescent="0.3">
      <c r="I10692" s="101"/>
    </row>
    <row r="10693" spans="9:9" x14ac:dyDescent="0.3">
      <c r="I10693" s="101"/>
    </row>
    <row r="10694" spans="9:9" x14ac:dyDescent="0.3">
      <c r="I10694" s="101"/>
    </row>
    <row r="10695" spans="9:9" x14ac:dyDescent="0.3">
      <c r="I10695" s="101"/>
    </row>
    <row r="10696" spans="9:9" x14ac:dyDescent="0.3">
      <c r="I10696" s="101"/>
    </row>
    <row r="10697" spans="9:9" x14ac:dyDescent="0.3">
      <c r="I10697" s="101"/>
    </row>
    <row r="10698" spans="9:9" x14ac:dyDescent="0.3">
      <c r="I10698" s="101"/>
    </row>
    <row r="10699" spans="9:9" x14ac:dyDescent="0.3">
      <c r="I10699" s="101"/>
    </row>
    <row r="10700" spans="9:9" x14ac:dyDescent="0.3">
      <c r="I10700" s="101"/>
    </row>
    <row r="10701" spans="9:9" x14ac:dyDescent="0.3">
      <c r="I10701" s="101"/>
    </row>
    <row r="10702" spans="9:9" x14ac:dyDescent="0.3">
      <c r="I10702" s="101"/>
    </row>
    <row r="10703" spans="9:9" x14ac:dyDescent="0.3">
      <c r="I10703" s="101"/>
    </row>
    <row r="10704" spans="9:9" x14ac:dyDescent="0.3">
      <c r="I10704" s="101"/>
    </row>
    <row r="10705" spans="9:9" x14ac:dyDescent="0.3">
      <c r="I10705" s="101"/>
    </row>
    <row r="10706" spans="9:9" x14ac:dyDescent="0.3">
      <c r="I10706" s="101"/>
    </row>
    <row r="10707" spans="9:9" x14ac:dyDescent="0.3">
      <c r="I10707" s="101"/>
    </row>
    <row r="10708" spans="9:9" x14ac:dyDescent="0.3">
      <c r="I10708" s="101"/>
    </row>
    <row r="10709" spans="9:9" x14ac:dyDescent="0.3">
      <c r="I10709" s="101"/>
    </row>
    <row r="10710" spans="9:9" x14ac:dyDescent="0.3">
      <c r="I10710" s="101"/>
    </row>
    <row r="10711" spans="9:9" x14ac:dyDescent="0.3">
      <c r="I10711" s="101"/>
    </row>
    <row r="10712" spans="9:9" x14ac:dyDescent="0.3">
      <c r="I10712" s="101"/>
    </row>
    <row r="10713" spans="9:9" x14ac:dyDescent="0.3">
      <c r="I10713" s="101"/>
    </row>
    <row r="10714" spans="9:9" x14ac:dyDescent="0.3">
      <c r="I10714" s="101"/>
    </row>
    <row r="10715" spans="9:9" x14ac:dyDescent="0.3">
      <c r="I10715" s="101"/>
    </row>
    <row r="10716" spans="9:9" x14ac:dyDescent="0.3">
      <c r="I10716" s="101"/>
    </row>
    <row r="10717" spans="9:9" x14ac:dyDescent="0.3">
      <c r="I10717" s="101"/>
    </row>
    <row r="10718" spans="9:9" x14ac:dyDescent="0.3">
      <c r="I10718" s="101"/>
    </row>
    <row r="10719" spans="9:9" x14ac:dyDescent="0.3">
      <c r="I10719" s="101"/>
    </row>
    <row r="10720" spans="9:9" x14ac:dyDescent="0.3">
      <c r="I10720" s="101"/>
    </row>
    <row r="10721" spans="9:9" x14ac:dyDescent="0.3">
      <c r="I10721" s="101"/>
    </row>
    <row r="10722" spans="9:9" x14ac:dyDescent="0.3">
      <c r="I10722" s="101"/>
    </row>
    <row r="10723" spans="9:9" x14ac:dyDescent="0.3">
      <c r="I10723" s="101"/>
    </row>
    <row r="10724" spans="9:9" x14ac:dyDescent="0.3">
      <c r="I10724" s="101"/>
    </row>
    <row r="10725" spans="9:9" x14ac:dyDescent="0.3">
      <c r="I10725" s="101"/>
    </row>
    <row r="10726" spans="9:9" x14ac:dyDescent="0.3">
      <c r="I10726" s="101"/>
    </row>
    <row r="10727" spans="9:9" x14ac:dyDescent="0.3">
      <c r="I10727" s="101"/>
    </row>
    <row r="10728" spans="9:9" x14ac:dyDescent="0.3">
      <c r="I10728" s="101"/>
    </row>
    <row r="10729" spans="9:9" x14ac:dyDescent="0.3">
      <c r="I10729" s="101"/>
    </row>
    <row r="10730" spans="9:9" x14ac:dyDescent="0.3">
      <c r="I10730" s="101"/>
    </row>
    <row r="10731" spans="9:9" x14ac:dyDescent="0.3">
      <c r="I10731" s="101"/>
    </row>
    <row r="10732" spans="9:9" x14ac:dyDescent="0.3">
      <c r="I10732" s="101"/>
    </row>
    <row r="10733" spans="9:9" x14ac:dyDescent="0.3">
      <c r="I10733" s="101"/>
    </row>
    <row r="10734" spans="9:9" x14ac:dyDescent="0.3">
      <c r="I10734" s="101"/>
    </row>
    <row r="10735" spans="9:9" x14ac:dyDescent="0.3">
      <c r="I10735" s="101"/>
    </row>
    <row r="10736" spans="9:9" x14ac:dyDescent="0.3">
      <c r="I10736" s="101"/>
    </row>
    <row r="10737" spans="9:9" x14ac:dyDescent="0.3">
      <c r="I10737" s="101"/>
    </row>
    <row r="10738" spans="9:9" x14ac:dyDescent="0.3">
      <c r="I10738" s="101"/>
    </row>
    <row r="10739" spans="9:9" x14ac:dyDescent="0.3">
      <c r="I10739" s="101"/>
    </row>
    <row r="10740" spans="9:9" x14ac:dyDescent="0.3">
      <c r="I10740" s="101"/>
    </row>
    <row r="10741" spans="9:9" x14ac:dyDescent="0.3">
      <c r="I10741" s="101"/>
    </row>
    <row r="10742" spans="9:9" x14ac:dyDescent="0.3">
      <c r="I10742" s="101"/>
    </row>
    <row r="10743" spans="9:9" x14ac:dyDescent="0.3">
      <c r="I10743" s="101"/>
    </row>
    <row r="10744" spans="9:9" x14ac:dyDescent="0.3">
      <c r="I10744" s="101"/>
    </row>
    <row r="10745" spans="9:9" x14ac:dyDescent="0.3">
      <c r="I10745" s="101"/>
    </row>
    <row r="10746" spans="9:9" x14ac:dyDescent="0.3">
      <c r="I10746" s="101"/>
    </row>
    <row r="10747" spans="9:9" x14ac:dyDescent="0.3">
      <c r="I10747" s="101"/>
    </row>
    <row r="10748" spans="9:9" x14ac:dyDescent="0.3">
      <c r="I10748" s="101"/>
    </row>
    <row r="10749" spans="9:9" x14ac:dyDescent="0.3">
      <c r="I10749" s="101"/>
    </row>
    <row r="10750" spans="9:9" x14ac:dyDescent="0.3">
      <c r="I10750" s="101"/>
    </row>
    <row r="10751" spans="9:9" x14ac:dyDescent="0.3">
      <c r="I10751" s="101"/>
    </row>
    <row r="10752" spans="9:9" x14ac:dyDescent="0.3">
      <c r="I10752" s="101"/>
    </row>
    <row r="10753" spans="9:9" x14ac:dyDescent="0.3">
      <c r="I10753" s="101"/>
    </row>
    <row r="10754" spans="9:9" x14ac:dyDescent="0.3">
      <c r="I10754" s="101"/>
    </row>
    <row r="10755" spans="9:9" x14ac:dyDescent="0.3">
      <c r="I10755" s="101"/>
    </row>
    <row r="10756" spans="9:9" x14ac:dyDescent="0.3">
      <c r="I10756" s="101"/>
    </row>
    <row r="10757" spans="9:9" x14ac:dyDescent="0.3">
      <c r="I10757" s="101"/>
    </row>
    <row r="10758" spans="9:9" x14ac:dyDescent="0.3">
      <c r="I10758" s="101"/>
    </row>
    <row r="10759" spans="9:9" x14ac:dyDescent="0.3">
      <c r="I10759" s="101"/>
    </row>
    <row r="10760" spans="9:9" x14ac:dyDescent="0.3">
      <c r="I10760" s="101"/>
    </row>
    <row r="10761" spans="9:9" x14ac:dyDescent="0.3">
      <c r="I10761" s="101"/>
    </row>
    <row r="10762" spans="9:9" x14ac:dyDescent="0.3">
      <c r="I10762" s="101"/>
    </row>
    <row r="10763" spans="9:9" x14ac:dyDescent="0.3">
      <c r="I10763" s="101"/>
    </row>
    <row r="10764" spans="9:9" x14ac:dyDescent="0.3">
      <c r="I10764" s="101"/>
    </row>
    <row r="10765" spans="9:9" x14ac:dyDescent="0.3">
      <c r="I10765" s="101"/>
    </row>
    <row r="10766" spans="9:9" x14ac:dyDescent="0.3">
      <c r="I10766" s="101"/>
    </row>
    <row r="10767" spans="9:9" x14ac:dyDescent="0.3">
      <c r="I10767" s="101"/>
    </row>
    <row r="10768" spans="9:9" x14ac:dyDescent="0.3">
      <c r="I10768" s="101"/>
    </row>
    <row r="10769" spans="9:9" x14ac:dyDescent="0.3">
      <c r="I10769" s="101"/>
    </row>
    <row r="10770" spans="9:9" x14ac:dyDescent="0.3">
      <c r="I10770" s="101"/>
    </row>
    <row r="10771" spans="9:9" x14ac:dyDescent="0.3">
      <c r="I10771" s="101"/>
    </row>
    <row r="10772" spans="9:9" x14ac:dyDescent="0.3">
      <c r="I10772" s="101"/>
    </row>
    <row r="10773" spans="9:9" x14ac:dyDescent="0.3">
      <c r="I10773" s="101"/>
    </row>
    <row r="10774" spans="9:9" x14ac:dyDescent="0.3">
      <c r="I10774" s="101"/>
    </row>
    <row r="10775" spans="9:9" x14ac:dyDescent="0.3">
      <c r="I10775" s="101"/>
    </row>
    <row r="10776" spans="9:9" x14ac:dyDescent="0.3">
      <c r="I10776" s="101"/>
    </row>
    <row r="10777" spans="9:9" x14ac:dyDescent="0.3">
      <c r="I10777" s="101"/>
    </row>
    <row r="10778" spans="9:9" x14ac:dyDescent="0.3">
      <c r="I10778" s="101"/>
    </row>
    <row r="10779" spans="9:9" x14ac:dyDescent="0.3">
      <c r="I10779" s="101"/>
    </row>
    <row r="10780" spans="9:9" x14ac:dyDescent="0.3">
      <c r="I10780" s="101"/>
    </row>
    <row r="10781" spans="9:9" x14ac:dyDescent="0.3">
      <c r="I10781" s="101"/>
    </row>
    <row r="10782" spans="9:9" x14ac:dyDescent="0.3">
      <c r="I10782" s="101"/>
    </row>
    <row r="10783" spans="9:9" x14ac:dyDescent="0.3">
      <c r="I10783" s="101"/>
    </row>
    <row r="10784" spans="9:9" x14ac:dyDescent="0.3">
      <c r="I10784" s="101"/>
    </row>
    <row r="10785" spans="9:9" x14ac:dyDescent="0.3">
      <c r="I10785" s="101"/>
    </row>
    <row r="10786" spans="9:9" x14ac:dyDescent="0.3">
      <c r="I10786" s="101"/>
    </row>
    <row r="10787" spans="9:9" x14ac:dyDescent="0.3">
      <c r="I10787" s="101"/>
    </row>
    <row r="10788" spans="9:9" x14ac:dyDescent="0.3">
      <c r="I10788" s="101"/>
    </row>
    <row r="10789" spans="9:9" x14ac:dyDescent="0.3">
      <c r="I10789" s="101"/>
    </row>
    <row r="10790" spans="9:9" x14ac:dyDescent="0.3">
      <c r="I10790" s="101"/>
    </row>
    <row r="10791" spans="9:9" x14ac:dyDescent="0.3">
      <c r="I10791" s="101"/>
    </row>
    <row r="10792" spans="9:9" x14ac:dyDescent="0.3">
      <c r="I10792" s="101"/>
    </row>
    <row r="10793" spans="9:9" x14ac:dyDescent="0.3">
      <c r="I10793" s="101"/>
    </row>
    <row r="10794" spans="9:9" x14ac:dyDescent="0.3">
      <c r="I10794" s="101"/>
    </row>
    <row r="10795" spans="9:9" x14ac:dyDescent="0.3">
      <c r="I10795" s="101"/>
    </row>
    <row r="10796" spans="9:9" x14ac:dyDescent="0.3">
      <c r="I10796" s="101"/>
    </row>
    <row r="10797" spans="9:9" x14ac:dyDescent="0.3">
      <c r="I10797" s="101"/>
    </row>
    <row r="10798" spans="9:9" x14ac:dyDescent="0.3">
      <c r="I10798" s="101"/>
    </row>
    <row r="10799" spans="9:9" x14ac:dyDescent="0.3">
      <c r="I10799" s="101"/>
    </row>
    <row r="10800" spans="9:9" x14ac:dyDescent="0.3">
      <c r="I10800" s="101"/>
    </row>
    <row r="10801" spans="9:9" x14ac:dyDescent="0.3">
      <c r="I10801" s="101"/>
    </row>
    <row r="10802" spans="9:9" x14ac:dyDescent="0.3">
      <c r="I10802" s="101"/>
    </row>
    <row r="10803" spans="9:9" x14ac:dyDescent="0.3">
      <c r="I10803" s="101"/>
    </row>
    <row r="10804" spans="9:9" x14ac:dyDescent="0.3">
      <c r="I10804" s="101"/>
    </row>
    <row r="10805" spans="9:9" x14ac:dyDescent="0.3">
      <c r="I10805" s="101"/>
    </row>
    <row r="10806" spans="9:9" x14ac:dyDescent="0.3">
      <c r="I10806" s="101"/>
    </row>
    <row r="10807" spans="9:9" x14ac:dyDescent="0.3">
      <c r="I10807" s="101"/>
    </row>
    <row r="10808" spans="9:9" x14ac:dyDescent="0.3">
      <c r="I10808" s="101"/>
    </row>
    <row r="10809" spans="9:9" x14ac:dyDescent="0.3">
      <c r="I10809" s="101"/>
    </row>
    <row r="10810" spans="9:9" x14ac:dyDescent="0.3">
      <c r="I10810" s="101"/>
    </row>
    <row r="10811" spans="9:9" x14ac:dyDescent="0.3">
      <c r="I10811" s="101"/>
    </row>
    <row r="10812" spans="9:9" x14ac:dyDescent="0.3">
      <c r="I10812" s="101"/>
    </row>
    <row r="10813" spans="9:9" x14ac:dyDescent="0.3">
      <c r="I10813" s="101"/>
    </row>
    <row r="10814" spans="9:9" x14ac:dyDescent="0.3">
      <c r="I10814" s="101"/>
    </row>
    <row r="10815" spans="9:9" x14ac:dyDescent="0.3">
      <c r="I10815" s="101"/>
    </row>
    <row r="10816" spans="9:9" x14ac:dyDescent="0.3">
      <c r="I10816" s="101"/>
    </row>
    <row r="10817" spans="9:9" x14ac:dyDescent="0.3">
      <c r="I10817" s="101"/>
    </row>
    <row r="10818" spans="9:9" x14ac:dyDescent="0.3">
      <c r="I10818" s="101"/>
    </row>
    <row r="10819" spans="9:9" x14ac:dyDescent="0.3">
      <c r="I10819" s="101"/>
    </row>
    <row r="10820" spans="9:9" x14ac:dyDescent="0.3">
      <c r="I10820" s="101"/>
    </row>
    <row r="10821" spans="9:9" x14ac:dyDescent="0.3">
      <c r="I10821" s="101"/>
    </row>
    <row r="10822" spans="9:9" x14ac:dyDescent="0.3">
      <c r="I10822" s="101"/>
    </row>
    <row r="10823" spans="9:9" x14ac:dyDescent="0.3">
      <c r="I10823" s="101"/>
    </row>
    <row r="10824" spans="9:9" x14ac:dyDescent="0.3">
      <c r="I10824" s="101"/>
    </row>
    <row r="10825" spans="9:9" x14ac:dyDescent="0.3">
      <c r="I10825" s="101"/>
    </row>
    <row r="10826" spans="9:9" x14ac:dyDescent="0.3">
      <c r="I10826" s="101"/>
    </row>
    <row r="10827" spans="9:9" x14ac:dyDescent="0.3">
      <c r="I10827" s="101"/>
    </row>
    <row r="10828" spans="9:9" x14ac:dyDescent="0.3">
      <c r="I10828" s="101"/>
    </row>
    <row r="10829" spans="9:9" x14ac:dyDescent="0.3">
      <c r="I10829" s="101"/>
    </row>
    <row r="10830" spans="9:9" x14ac:dyDescent="0.3">
      <c r="I10830" s="101"/>
    </row>
    <row r="10831" spans="9:9" x14ac:dyDescent="0.3">
      <c r="I10831" s="101"/>
    </row>
    <row r="10832" spans="9:9" x14ac:dyDescent="0.3">
      <c r="I10832" s="101"/>
    </row>
    <row r="10833" spans="9:9" x14ac:dyDescent="0.3">
      <c r="I10833" s="101"/>
    </row>
    <row r="10834" spans="9:9" x14ac:dyDescent="0.3">
      <c r="I10834" s="101"/>
    </row>
    <row r="10835" spans="9:9" x14ac:dyDescent="0.3">
      <c r="I10835" s="101"/>
    </row>
    <row r="10836" spans="9:9" x14ac:dyDescent="0.3">
      <c r="I10836" s="101"/>
    </row>
    <row r="10837" spans="9:9" x14ac:dyDescent="0.3">
      <c r="I10837" s="101"/>
    </row>
    <row r="10838" spans="9:9" x14ac:dyDescent="0.3">
      <c r="I10838" s="101"/>
    </row>
    <row r="10839" spans="9:9" x14ac:dyDescent="0.3">
      <c r="I10839" s="101"/>
    </row>
    <row r="10840" spans="9:9" x14ac:dyDescent="0.3">
      <c r="I10840" s="101"/>
    </row>
    <row r="10841" spans="9:9" x14ac:dyDescent="0.3">
      <c r="I10841" s="101"/>
    </row>
    <row r="10842" spans="9:9" x14ac:dyDescent="0.3">
      <c r="I10842" s="101"/>
    </row>
    <row r="10843" spans="9:9" x14ac:dyDescent="0.3">
      <c r="I10843" s="101"/>
    </row>
    <row r="10844" spans="9:9" x14ac:dyDescent="0.3">
      <c r="I10844" s="101"/>
    </row>
    <row r="10845" spans="9:9" x14ac:dyDescent="0.3">
      <c r="I10845" s="101"/>
    </row>
    <row r="10846" spans="9:9" x14ac:dyDescent="0.3">
      <c r="I10846" s="101"/>
    </row>
    <row r="10847" spans="9:9" x14ac:dyDescent="0.3">
      <c r="I10847" s="101"/>
    </row>
    <row r="10848" spans="9:9" x14ac:dyDescent="0.3">
      <c r="I10848" s="101"/>
    </row>
    <row r="10849" spans="9:9" x14ac:dyDescent="0.3">
      <c r="I10849" s="101"/>
    </row>
    <row r="10850" spans="9:9" x14ac:dyDescent="0.3">
      <c r="I10850" s="101"/>
    </row>
    <row r="10851" spans="9:9" x14ac:dyDescent="0.3">
      <c r="I10851" s="101"/>
    </row>
    <row r="10852" spans="9:9" x14ac:dyDescent="0.3">
      <c r="I10852" s="101"/>
    </row>
    <row r="10853" spans="9:9" x14ac:dyDescent="0.3">
      <c r="I10853" s="101"/>
    </row>
    <row r="10854" spans="9:9" x14ac:dyDescent="0.3">
      <c r="I10854" s="101"/>
    </row>
    <row r="10855" spans="9:9" x14ac:dyDescent="0.3">
      <c r="I10855" s="101"/>
    </row>
    <row r="10856" spans="9:9" x14ac:dyDescent="0.3">
      <c r="I10856" s="101"/>
    </row>
    <row r="10857" spans="9:9" x14ac:dyDescent="0.3">
      <c r="I10857" s="101"/>
    </row>
    <row r="10858" spans="9:9" x14ac:dyDescent="0.3">
      <c r="I10858" s="101"/>
    </row>
    <row r="10859" spans="9:9" x14ac:dyDescent="0.3">
      <c r="I10859" s="101"/>
    </row>
    <row r="10860" spans="9:9" x14ac:dyDescent="0.3">
      <c r="I10860" s="101"/>
    </row>
    <row r="10861" spans="9:9" x14ac:dyDescent="0.3">
      <c r="I10861" s="101"/>
    </row>
    <row r="10862" spans="9:9" x14ac:dyDescent="0.3">
      <c r="I10862" s="101"/>
    </row>
    <row r="10863" spans="9:9" x14ac:dyDescent="0.3">
      <c r="I10863" s="101"/>
    </row>
    <row r="10864" spans="9:9" x14ac:dyDescent="0.3">
      <c r="I10864" s="101"/>
    </row>
    <row r="10865" spans="9:9" x14ac:dyDescent="0.3">
      <c r="I10865" s="101"/>
    </row>
    <row r="10866" spans="9:9" x14ac:dyDescent="0.3">
      <c r="I10866" s="101"/>
    </row>
    <row r="10867" spans="9:9" x14ac:dyDescent="0.3">
      <c r="I10867" s="101"/>
    </row>
    <row r="10868" spans="9:9" x14ac:dyDescent="0.3">
      <c r="I10868" s="101"/>
    </row>
    <row r="10869" spans="9:9" x14ac:dyDescent="0.3">
      <c r="I10869" s="101"/>
    </row>
    <row r="10870" spans="9:9" x14ac:dyDescent="0.3">
      <c r="I10870" s="101"/>
    </row>
    <row r="10871" spans="9:9" x14ac:dyDescent="0.3">
      <c r="I10871" s="101"/>
    </row>
    <row r="10872" spans="9:9" x14ac:dyDescent="0.3">
      <c r="I10872" s="101"/>
    </row>
    <row r="10873" spans="9:9" x14ac:dyDescent="0.3">
      <c r="I10873" s="101"/>
    </row>
    <row r="10874" spans="9:9" x14ac:dyDescent="0.3">
      <c r="I10874" s="101"/>
    </row>
    <row r="10875" spans="9:9" x14ac:dyDescent="0.3">
      <c r="I10875" s="101"/>
    </row>
    <row r="10876" spans="9:9" x14ac:dyDescent="0.3">
      <c r="I10876" s="101"/>
    </row>
    <row r="10877" spans="9:9" x14ac:dyDescent="0.3">
      <c r="I10877" s="101"/>
    </row>
    <row r="10878" spans="9:9" x14ac:dyDescent="0.3">
      <c r="I10878" s="101"/>
    </row>
    <row r="10879" spans="9:9" x14ac:dyDescent="0.3">
      <c r="I10879" s="101"/>
    </row>
    <row r="10880" spans="9:9" x14ac:dyDescent="0.3">
      <c r="I10880" s="101"/>
    </row>
    <row r="10881" spans="9:9" x14ac:dyDescent="0.3">
      <c r="I10881" s="101"/>
    </row>
    <row r="10882" spans="9:9" x14ac:dyDescent="0.3">
      <c r="I10882" s="101"/>
    </row>
    <row r="10883" spans="9:9" x14ac:dyDescent="0.3">
      <c r="I10883" s="101"/>
    </row>
    <row r="10884" spans="9:9" x14ac:dyDescent="0.3">
      <c r="I10884" s="101"/>
    </row>
    <row r="10885" spans="9:9" x14ac:dyDescent="0.3">
      <c r="I10885" s="101"/>
    </row>
    <row r="10886" spans="9:9" x14ac:dyDescent="0.3">
      <c r="I10886" s="101"/>
    </row>
    <row r="10887" spans="9:9" x14ac:dyDescent="0.3">
      <c r="I10887" s="101"/>
    </row>
    <row r="10888" spans="9:9" x14ac:dyDescent="0.3">
      <c r="I10888" s="101"/>
    </row>
    <row r="10889" spans="9:9" x14ac:dyDescent="0.3">
      <c r="I10889" s="101"/>
    </row>
    <row r="10890" spans="9:9" x14ac:dyDescent="0.3">
      <c r="I10890" s="101"/>
    </row>
    <row r="10891" spans="9:9" x14ac:dyDescent="0.3">
      <c r="I10891" s="101"/>
    </row>
    <row r="10892" spans="9:9" x14ac:dyDescent="0.3">
      <c r="I10892" s="101"/>
    </row>
    <row r="10893" spans="9:9" x14ac:dyDescent="0.3">
      <c r="I10893" s="101"/>
    </row>
    <row r="10894" spans="9:9" x14ac:dyDescent="0.3">
      <c r="I10894" s="101"/>
    </row>
    <row r="10895" spans="9:9" x14ac:dyDescent="0.3">
      <c r="I10895" s="101"/>
    </row>
    <row r="10896" spans="9:9" x14ac:dyDescent="0.3">
      <c r="I10896" s="101"/>
    </row>
    <row r="10897" spans="9:9" x14ac:dyDescent="0.3">
      <c r="I10897" s="101"/>
    </row>
    <row r="10898" spans="9:9" x14ac:dyDescent="0.3">
      <c r="I10898" s="101"/>
    </row>
    <row r="10899" spans="9:9" x14ac:dyDescent="0.3">
      <c r="I10899" s="101"/>
    </row>
    <row r="10900" spans="9:9" x14ac:dyDescent="0.3">
      <c r="I10900" s="101"/>
    </row>
    <row r="10901" spans="9:9" x14ac:dyDescent="0.3">
      <c r="I10901" s="101"/>
    </row>
    <row r="10902" spans="9:9" x14ac:dyDescent="0.3">
      <c r="I10902" s="101"/>
    </row>
    <row r="10903" spans="9:9" x14ac:dyDescent="0.3">
      <c r="I10903" s="101"/>
    </row>
    <row r="10904" spans="9:9" x14ac:dyDescent="0.3">
      <c r="I10904" s="101"/>
    </row>
    <row r="10905" spans="9:9" x14ac:dyDescent="0.3">
      <c r="I10905" s="101"/>
    </row>
    <row r="10906" spans="9:9" x14ac:dyDescent="0.3">
      <c r="I10906" s="101"/>
    </row>
    <row r="10907" spans="9:9" x14ac:dyDescent="0.3">
      <c r="I10907" s="101"/>
    </row>
    <row r="10908" spans="9:9" x14ac:dyDescent="0.3">
      <c r="I10908" s="101"/>
    </row>
    <row r="10909" spans="9:9" x14ac:dyDescent="0.3">
      <c r="I10909" s="101"/>
    </row>
    <row r="10910" spans="9:9" x14ac:dyDescent="0.3">
      <c r="I10910" s="101"/>
    </row>
    <row r="10911" spans="9:9" x14ac:dyDescent="0.3">
      <c r="I10911" s="101"/>
    </row>
    <row r="10912" spans="9:9" x14ac:dyDescent="0.3">
      <c r="I10912" s="101"/>
    </row>
    <row r="10913" spans="9:9" x14ac:dyDescent="0.3">
      <c r="I10913" s="101"/>
    </row>
    <row r="10914" spans="9:9" x14ac:dyDescent="0.3">
      <c r="I10914" s="101"/>
    </row>
    <row r="10915" spans="9:9" x14ac:dyDescent="0.3">
      <c r="I10915" s="101"/>
    </row>
    <row r="10916" spans="9:9" x14ac:dyDescent="0.3">
      <c r="I10916" s="101"/>
    </row>
    <row r="10917" spans="9:9" x14ac:dyDescent="0.3">
      <c r="I10917" s="101"/>
    </row>
    <row r="10918" spans="9:9" x14ac:dyDescent="0.3">
      <c r="I10918" s="101"/>
    </row>
    <row r="10919" spans="9:9" x14ac:dyDescent="0.3">
      <c r="I10919" s="101"/>
    </row>
    <row r="10920" spans="9:9" x14ac:dyDescent="0.3">
      <c r="I10920" s="101"/>
    </row>
    <row r="10921" spans="9:9" x14ac:dyDescent="0.3">
      <c r="I10921" s="101"/>
    </row>
    <row r="10922" spans="9:9" x14ac:dyDescent="0.3">
      <c r="I10922" s="101"/>
    </row>
    <row r="10923" spans="9:9" x14ac:dyDescent="0.3">
      <c r="I10923" s="101"/>
    </row>
    <row r="10924" spans="9:9" x14ac:dyDescent="0.3">
      <c r="I10924" s="101"/>
    </row>
    <row r="10925" spans="9:9" x14ac:dyDescent="0.3">
      <c r="I10925" s="101"/>
    </row>
    <row r="10926" spans="9:9" x14ac:dyDescent="0.3">
      <c r="I10926" s="101"/>
    </row>
    <row r="10927" spans="9:9" x14ac:dyDescent="0.3">
      <c r="I10927" s="101"/>
    </row>
    <row r="10928" spans="9:9" x14ac:dyDescent="0.3">
      <c r="I10928" s="101"/>
    </row>
    <row r="10929" spans="9:9" x14ac:dyDescent="0.3">
      <c r="I10929" s="101"/>
    </row>
    <row r="10930" spans="9:9" x14ac:dyDescent="0.3">
      <c r="I10930" s="101"/>
    </row>
    <row r="10931" spans="9:9" x14ac:dyDescent="0.3">
      <c r="I10931" s="101"/>
    </row>
    <row r="10932" spans="9:9" x14ac:dyDescent="0.3">
      <c r="I10932" s="101"/>
    </row>
    <row r="10933" spans="9:9" x14ac:dyDescent="0.3">
      <c r="I10933" s="101"/>
    </row>
    <row r="10934" spans="9:9" x14ac:dyDescent="0.3">
      <c r="I10934" s="101"/>
    </row>
    <row r="10935" spans="9:9" x14ac:dyDescent="0.3">
      <c r="I10935" s="101"/>
    </row>
    <row r="10936" spans="9:9" x14ac:dyDescent="0.3">
      <c r="I10936" s="101"/>
    </row>
    <row r="10937" spans="9:9" x14ac:dyDescent="0.3">
      <c r="I10937" s="101"/>
    </row>
    <row r="10938" spans="9:9" x14ac:dyDescent="0.3">
      <c r="I10938" s="101"/>
    </row>
    <row r="10939" spans="9:9" x14ac:dyDescent="0.3">
      <c r="I10939" s="101"/>
    </row>
    <row r="10940" spans="9:9" x14ac:dyDescent="0.3">
      <c r="I10940" s="101"/>
    </row>
    <row r="10941" spans="9:9" x14ac:dyDescent="0.3">
      <c r="I10941" s="101"/>
    </row>
    <row r="10942" spans="9:9" x14ac:dyDescent="0.3">
      <c r="I10942" s="101"/>
    </row>
    <row r="10943" spans="9:9" x14ac:dyDescent="0.3">
      <c r="I10943" s="101"/>
    </row>
    <row r="10944" spans="9:9" x14ac:dyDescent="0.3">
      <c r="I10944" s="101"/>
    </row>
    <row r="10945" spans="9:9" x14ac:dyDescent="0.3">
      <c r="I10945" s="101"/>
    </row>
    <row r="10946" spans="9:9" x14ac:dyDescent="0.3">
      <c r="I10946" s="101"/>
    </row>
    <row r="10947" spans="9:9" x14ac:dyDescent="0.3">
      <c r="I10947" s="101"/>
    </row>
    <row r="10948" spans="9:9" x14ac:dyDescent="0.3">
      <c r="I10948" s="101"/>
    </row>
    <row r="10949" spans="9:9" x14ac:dyDescent="0.3">
      <c r="I10949" s="101"/>
    </row>
    <row r="10950" spans="9:9" x14ac:dyDescent="0.3">
      <c r="I10950" s="101"/>
    </row>
    <row r="10951" spans="9:9" x14ac:dyDescent="0.3">
      <c r="I10951" s="101"/>
    </row>
    <row r="10952" spans="9:9" x14ac:dyDescent="0.3">
      <c r="I10952" s="101"/>
    </row>
    <row r="10953" spans="9:9" x14ac:dyDescent="0.3">
      <c r="I10953" s="101"/>
    </row>
    <row r="10954" spans="9:9" x14ac:dyDescent="0.3">
      <c r="I10954" s="101"/>
    </row>
    <row r="10955" spans="9:9" x14ac:dyDescent="0.3">
      <c r="I10955" s="101"/>
    </row>
    <row r="10956" spans="9:9" x14ac:dyDescent="0.3">
      <c r="I10956" s="101"/>
    </row>
    <row r="10957" spans="9:9" x14ac:dyDescent="0.3">
      <c r="I10957" s="101"/>
    </row>
    <row r="10958" spans="9:9" x14ac:dyDescent="0.3">
      <c r="I10958" s="101"/>
    </row>
    <row r="10959" spans="9:9" x14ac:dyDescent="0.3">
      <c r="I10959" s="101"/>
    </row>
    <row r="10960" spans="9:9" x14ac:dyDescent="0.3">
      <c r="I10960" s="101"/>
    </row>
    <row r="10961" spans="9:9" x14ac:dyDescent="0.3">
      <c r="I10961" s="101"/>
    </row>
    <row r="10962" spans="9:9" x14ac:dyDescent="0.3">
      <c r="I10962" s="101"/>
    </row>
    <row r="10963" spans="9:9" x14ac:dyDescent="0.3">
      <c r="I10963" s="101"/>
    </row>
    <row r="10964" spans="9:9" x14ac:dyDescent="0.3">
      <c r="I10964" s="101"/>
    </row>
    <row r="10965" spans="9:9" x14ac:dyDescent="0.3">
      <c r="I10965" s="101"/>
    </row>
    <row r="10966" spans="9:9" x14ac:dyDescent="0.3">
      <c r="I10966" s="101"/>
    </row>
    <row r="10967" spans="9:9" x14ac:dyDescent="0.3">
      <c r="I10967" s="101"/>
    </row>
    <row r="10968" spans="9:9" x14ac:dyDescent="0.3">
      <c r="I10968" s="101"/>
    </row>
    <row r="10969" spans="9:9" x14ac:dyDescent="0.3">
      <c r="I10969" s="101"/>
    </row>
    <row r="10970" spans="9:9" x14ac:dyDescent="0.3">
      <c r="I10970" s="101"/>
    </row>
    <row r="10971" spans="9:9" x14ac:dyDescent="0.3">
      <c r="I10971" s="101"/>
    </row>
    <row r="10972" spans="9:9" x14ac:dyDescent="0.3">
      <c r="I10972" s="101"/>
    </row>
    <row r="10973" spans="9:9" x14ac:dyDescent="0.3">
      <c r="I10973" s="101"/>
    </row>
    <row r="10974" spans="9:9" x14ac:dyDescent="0.3">
      <c r="I10974" s="101"/>
    </row>
    <row r="10975" spans="9:9" x14ac:dyDescent="0.3">
      <c r="I10975" s="101"/>
    </row>
    <row r="10976" spans="9:9" x14ac:dyDescent="0.3">
      <c r="I10976" s="101"/>
    </row>
    <row r="10977" spans="9:9" x14ac:dyDescent="0.3">
      <c r="I10977" s="101"/>
    </row>
    <row r="10978" spans="9:9" x14ac:dyDescent="0.3">
      <c r="I10978" s="101"/>
    </row>
    <row r="10979" spans="9:9" x14ac:dyDescent="0.3">
      <c r="I10979" s="101"/>
    </row>
    <row r="10980" spans="9:9" x14ac:dyDescent="0.3">
      <c r="I10980" s="101"/>
    </row>
    <row r="10981" spans="9:9" x14ac:dyDescent="0.3">
      <c r="I10981" s="101"/>
    </row>
    <row r="10982" spans="9:9" x14ac:dyDescent="0.3">
      <c r="I10982" s="101"/>
    </row>
    <row r="10983" spans="9:9" x14ac:dyDescent="0.3">
      <c r="I10983" s="101"/>
    </row>
    <row r="10984" spans="9:9" x14ac:dyDescent="0.3">
      <c r="I10984" s="101"/>
    </row>
    <row r="10985" spans="9:9" x14ac:dyDescent="0.3">
      <c r="I10985" s="101"/>
    </row>
    <row r="10986" spans="9:9" x14ac:dyDescent="0.3">
      <c r="I10986" s="101"/>
    </row>
    <row r="10987" spans="9:9" x14ac:dyDescent="0.3">
      <c r="I10987" s="101"/>
    </row>
    <row r="10988" spans="9:9" x14ac:dyDescent="0.3">
      <c r="I10988" s="101"/>
    </row>
    <row r="10989" spans="9:9" x14ac:dyDescent="0.3">
      <c r="I10989" s="101"/>
    </row>
    <row r="10990" spans="9:9" x14ac:dyDescent="0.3">
      <c r="I10990" s="101"/>
    </row>
    <row r="10991" spans="9:9" x14ac:dyDescent="0.3">
      <c r="I10991" s="101"/>
    </row>
    <row r="10992" spans="9:9" x14ac:dyDescent="0.3">
      <c r="I10992" s="101"/>
    </row>
    <row r="10993" spans="9:9" x14ac:dyDescent="0.3">
      <c r="I10993" s="101"/>
    </row>
    <row r="10994" spans="9:9" x14ac:dyDescent="0.3">
      <c r="I10994" s="101"/>
    </row>
    <row r="10995" spans="9:9" x14ac:dyDescent="0.3">
      <c r="I10995" s="101"/>
    </row>
    <row r="10996" spans="9:9" x14ac:dyDescent="0.3">
      <c r="I10996" s="101"/>
    </row>
    <row r="10997" spans="9:9" x14ac:dyDescent="0.3">
      <c r="I10997" s="101"/>
    </row>
    <row r="10998" spans="9:9" x14ac:dyDescent="0.3">
      <c r="I10998" s="101"/>
    </row>
    <row r="10999" spans="9:9" x14ac:dyDescent="0.3">
      <c r="I10999" s="101"/>
    </row>
    <row r="11000" spans="9:9" x14ac:dyDescent="0.3">
      <c r="I11000" s="101"/>
    </row>
    <row r="11001" spans="9:9" x14ac:dyDescent="0.3">
      <c r="I11001" s="101"/>
    </row>
    <row r="11002" spans="9:9" x14ac:dyDescent="0.3">
      <c r="I11002" s="101"/>
    </row>
    <row r="11003" spans="9:9" x14ac:dyDescent="0.3">
      <c r="I11003" s="101"/>
    </row>
    <row r="11004" spans="9:9" x14ac:dyDescent="0.3">
      <c r="I11004" s="101"/>
    </row>
    <row r="11005" spans="9:9" x14ac:dyDescent="0.3">
      <c r="I11005" s="101"/>
    </row>
    <row r="11006" spans="9:9" x14ac:dyDescent="0.3">
      <c r="I11006" s="101"/>
    </row>
    <row r="11007" spans="9:9" x14ac:dyDescent="0.3">
      <c r="I11007" s="101"/>
    </row>
    <row r="11008" spans="9:9" x14ac:dyDescent="0.3">
      <c r="I11008" s="101"/>
    </row>
    <row r="11009" spans="9:9" x14ac:dyDescent="0.3">
      <c r="I11009" s="101"/>
    </row>
    <row r="11010" spans="9:9" x14ac:dyDescent="0.3">
      <c r="I11010" s="101"/>
    </row>
    <row r="11011" spans="9:9" x14ac:dyDescent="0.3">
      <c r="I11011" s="101"/>
    </row>
    <row r="11012" spans="9:9" x14ac:dyDescent="0.3">
      <c r="I11012" s="101"/>
    </row>
    <row r="11013" spans="9:9" x14ac:dyDescent="0.3">
      <c r="I11013" s="101"/>
    </row>
    <row r="11014" spans="9:9" x14ac:dyDescent="0.3">
      <c r="I11014" s="101"/>
    </row>
    <row r="11015" spans="9:9" x14ac:dyDescent="0.3">
      <c r="I11015" s="101"/>
    </row>
    <row r="11016" spans="9:9" x14ac:dyDescent="0.3">
      <c r="I11016" s="101"/>
    </row>
    <row r="11017" spans="9:9" x14ac:dyDescent="0.3">
      <c r="I11017" s="101"/>
    </row>
    <row r="11018" spans="9:9" x14ac:dyDescent="0.3">
      <c r="I11018" s="101"/>
    </row>
    <row r="11019" spans="9:9" x14ac:dyDescent="0.3">
      <c r="I11019" s="101"/>
    </row>
    <row r="11020" spans="9:9" x14ac:dyDescent="0.3">
      <c r="I11020" s="101"/>
    </row>
    <row r="11021" spans="9:9" x14ac:dyDescent="0.3">
      <c r="I11021" s="101"/>
    </row>
    <row r="11022" spans="9:9" x14ac:dyDescent="0.3">
      <c r="I11022" s="101"/>
    </row>
    <row r="11023" spans="9:9" x14ac:dyDescent="0.3">
      <c r="I11023" s="101"/>
    </row>
    <row r="11024" spans="9:9" x14ac:dyDescent="0.3">
      <c r="I11024" s="101"/>
    </row>
    <row r="11025" spans="9:9" x14ac:dyDescent="0.3">
      <c r="I11025" s="101"/>
    </row>
    <row r="11026" spans="9:9" x14ac:dyDescent="0.3">
      <c r="I11026" s="101"/>
    </row>
    <row r="11027" spans="9:9" x14ac:dyDescent="0.3">
      <c r="I11027" s="101"/>
    </row>
    <row r="11028" spans="9:9" x14ac:dyDescent="0.3">
      <c r="I11028" s="101"/>
    </row>
    <row r="11029" spans="9:9" x14ac:dyDescent="0.3">
      <c r="I11029" s="101"/>
    </row>
    <row r="11030" spans="9:9" x14ac:dyDescent="0.3">
      <c r="I11030" s="101"/>
    </row>
    <row r="11031" spans="9:9" x14ac:dyDescent="0.3">
      <c r="I11031" s="101"/>
    </row>
    <row r="11032" spans="9:9" x14ac:dyDescent="0.3">
      <c r="I11032" s="101"/>
    </row>
    <row r="11033" spans="9:9" x14ac:dyDescent="0.3">
      <c r="I11033" s="101"/>
    </row>
    <row r="11034" spans="9:9" x14ac:dyDescent="0.3">
      <c r="I11034" s="101"/>
    </row>
    <row r="11035" spans="9:9" x14ac:dyDescent="0.3">
      <c r="I11035" s="101"/>
    </row>
    <row r="11036" spans="9:9" x14ac:dyDescent="0.3">
      <c r="I11036" s="101"/>
    </row>
    <row r="11037" spans="9:9" x14ac:dyDescent="0.3">
      <c r="I11037" s="101"/>
    </row>
    <row r="11038" spans="9:9" x14ac:dyDescent="0.3">
      <c r="I11038" s="101"/>
    </row>
    <row r="11039" spans="9:9" x14ac:dyDescent="0.3">
      <c r="I11039" s="101"/>
    </row>
    <row r="11040" spans="9:9" x14ac:dyDescent="0.3">
      <c r="I11040" s="101"/>
    </row>
    <row r="11041" spans="9:9" x14ac:dyDescent="0.3">
      <c r="I11041" s="101"/>
    </row>
    <row r="11042" spans="9:9" x14ac:dyDescent="0.3">
      <c r="I11042" s="101"/>
    </row>
    <row r="11043" spans="9:9" x14ac:dyDescent="0.3">
      <c r="I11043" s="101"/>
    </row>
    <row r="11044" spans="9:9" x14ac:dyDescent="0.3">
      <c r="I11044" s="101"/>
    </row>
    <row r="11045" spans="9:9" x14ac:dyDescent="0.3">
      <c r="I11045" s="101"/>
    </row>
    <row r="11046" spans="9:9" x14ac:dyDescent="0.3">
      <c r="I11046" s="101"/>
    </row>
    <row r="11047" spans="9:9" x14ac:dyDescent="0.3">
      <c r="I11047" s="101"/>
    </row>
    <row r="11048" spans="9:9" x14ac:dyDescent="0.3">
      <c r="I11048" s="101"/>
    </row>
    <row r="11049" spans="9:9" x14ac:dyDescent="0.3">
      <c r="I11049" s="101"/>
    </row>
    <row r="11050" spans="9:9" x14ac:dyDescent="0.3">
      <c r="I11050" s="101"/>
    </row>
    <row r="11051" spans="9:9" x14ac:dyDescent="0.3">
      <c r="I11051" s="101"/>
    </row>
    <row r="11052" spans="9:9" x14ac:dyDescent="0.3">
      <c r="I11052" s="101"/>
    </row>
    <row r="11053" spans="9:9" x14ac:dyDescent="0.3">
      <c r="I11053" s="101"/>
    </row>
    <row r="11054" spans="9:9" x14ac:dyDescent="0.3">
      <c r="I11054" s="101"/>
    </row>
    <row r="11055" spans="9:9" x14ac:dyDescent="0.3">
      <c r="I11055" s="101"/>
    </row>
    <row r="11056" spans="9:9" x14ac:dyDescent="0.3">
      <c r="I11056" s="101"/>
    </row>
    <row r="11057" spans="9:9" x14ac:dyDescent="0.3">
      <c r="I11057" s="101"/>
    </row>
    <row r="11058" spans="9:9" x14ac:dyDescent="0.3">
      <c r="I11058" s="101"/>
    </row>
    <row r="11059" spans="9:9" x14ac:dyDescent="0.3">
      <c r="I11059" s="101"/>
    </row>
    <row r="11060" spans="9:9" x14ac:dyDescent="0.3">
      <c r="I11060" s="101"/>
    </row>
    <row r="11061" spans="9:9" x14ac:dyDescent="0.3">
      <c r="I11061" s="101"/>
    </row>
    <row r="11062" spans="9:9" x14ac:dyDescent="0.3">
      <c r="I11062" s="101"/>
    </row>
    <row r="11063" spans="9:9" x14ac:dyDescent="0.3">
      <c r="I11063" s="101"/>
    </row>
    <row r="11064" spans="9:9" x14ac:dyDescent="0.3">
      <c r="I11064" s="101"/>
    </row>
    <row r="11065" spans="9:9" x14ac:dyDescent="0.3">
      <c r="I11065" s="101"/>
    </row>
    <row r="11066" spans="9:9" x14ac:dyDescent="0.3">
      <c r="I11066" s="101"/>
    </row>
    <row r="11067" spans="9:9" x14ac:dyDescent="0.3">
      <c r="I11067" s="101"/>
    </row>
    <row r="11068" spans="9:9" x14ac:dyDescent="0.3">
      <c r="I11068" s="101"/>
    </row>
    <row r="11069" spans="9:9" x14ac:dyDescent="0.3">
      <c r="I11069" s="101"/>
    </row>
    <row r="11070" spans="9:9" x14ac:dyDescent="0.3">
      <c r="I11070" s="101"/>
    </row>
    <row r="11071" spans="9:9" x14ac:dyDescent="0.3">
      <c r="I11071" s="101"/>
    </row>
    <row r="11072" spans="9:9" x14ac:dyDescent="0.3">
      <c r="I11072" s="101"/>
    </row>
    <row r="11073" spans="9:9" x14ac:dyDescent="0.3">
      <c r="I11073" s="101"/>
    </row>
    <row r="11074" spans="9:9" x14ac:dyDescent="0.3">
      <c r="I11074" s="101"/>
    </row>
    <row r="11075" spans="9:9" x14ac:dyDescent="0.3">
      <c r="I11075" s="101"/>
    </row>
    <row r="11076" spans="9:9" x14ac:dyDescent="0.3">
      <c r="I11076" s="101"/>
    </row>
    <row r="11077" spans="9:9" x14ac:dyDescent="0.3">
      <c r="I11077" s="101"/>
    </row>
    <row r="11078" spans="9:9" x14ac:dyDescent="0.3">
      <c r="I11078" s="101"/>
    </row>
    <row r="11079" spans="9:9" x14ac:dyDescent="0.3">
      <c r="I11079" s="101"/>
    </row>
    <row r="11080" spans="9:9" x14ac:dyDescent="0.3">
      <c r="I11080" s="101"/>
    </row>
    <row r="11081" spans="9:9" x14ac:dyDescent="0.3">
      <c r="I11081" s="101"/>
    </row>
    <row r="11082" spans="9:9" x14ac:dyDescent="0.3">
      <c r="I11082" s="101"/>
    </row>
    <row r="11083" spans="9:9" x14ac:dyDescent="0.3">
      <c r="I11083" s="101"/>
    </row>
    <row r="11084" spans="9:9" x14ac:dyDescent="0.3">
      <c r="I11084" s="101"/>
    </row>
    <row r="11085" spans="9:9" x14ac:dyDescent="0.3">
      <c r="I11085" s="101"/>
    </row>
    <row r="11086" spans="9:9" x14ac:dyDescent="0.3">
      <c r="I11086" s="101"/>
    </row>
    <row r="11087" spans="9:9" x14ac:dyDescent="0.3">
      <c r="I11087" s="101"/>
    </row>
    <row r="11088" spans="9:9" x14ac:dyDescent="0.3">
      <c r="I11088" s="101"/>
    </row>
    <row r="11089" spans="9:9" x14ac:dyDescent="0.3">
      <c r="I11089" s="101"/>
    </row>
    <row r="11090" spans="9:9" x14ac:dyDescent="0.3">
      <c r="I11090" s="101"/>
    </row>
    <row r="11091" spans="9:9" x14ac:dyDescent="0.3">
      <c r="I11091" s="101"/>
    </row>
    <row r="11092" spans="9:9" x14ac:dyDescent="0.3">
      <c r="I11092" s="101"/>
    </row>
    <row r="11093" spans="9:9" x14ac:dyDescent="0.3">
      <c r="I11093" s="101"/>
    </row>
    <row r="11094" spans="9:9" x14ac:dyDescent="0.3">
      <c r="I11094" s="101"/>
    </row>
    <row r="11095" spans="9:9" x14ac:dyDescent="0.3">
      <c r="I11095" s="101"/>
    </row>
    <row r="11096" spans="9:9" x14ac:dyDescent="0.3">
      <c r="I11096" s="101"/>
    </row>
    <row r="11097" spans="9:9" x14ac:dyDescent="0.3">
      <c r="I11097" s="101"/>
    </row>
    <row r="11098" spans="9:9" x14ac:dyDescent="0.3">
      <c r="I11098" s="101"/>
    </row>
    <row r="11099" spans="9:9" x14ac:dyDescent="0.3">
      <c r="I11099" s="101"/>
    </row>
    <row r="11100" spans="9:9" x14ac:dyDescent="0.3">
      <c r="I11100" s="101"/>
    </row>
    <row r="11101" spans="9:9" x14ac:dyDescent="0.3">
      <c r="I11101" s="101"/>
    </row>
    <row r="11102" spans="9:9" x14ac:dyDescent="0.3">
      <c r="I11102" s="101"/>
    </row>
    <row r="11103" spans="9:9" x14ac:dyDescent="0.3">
      <c r="I11103" s="101"/>
    </row>
    <row r="11104" spans="9:9" x14ac:dyDescent="0.3">
      <c r="I11104" s="101"/>
    </row>
    <row r="11105" spans="9:9" x14ac:dyDescent="0.3">
      <c r="I11105" s="101"/>
    </row>
    <row r="11106" spans="9:9" x14ac:dyDescent="0.3">
      <c r="I11106" s="101"/>
    </row>
    <row r="11107" spans="9:9" x14ac:dyDescent="0.3">
      <c r="I11107" s="101"/>
    </row>
    <row r="11108" spans="9:9" x14ac:dyDescent="0.3">
      <c r="I11108" s="101"/>
    </row>
    <row r="11109" spans="9:9" x14ac:dyDescent="0.3">
      <c r="I11109" s="101"/>
    </row>
    <row r="11110" spans="9:9" x14ac:dyDescent="0.3">
      <c r="I11110" s="101"/>
    </row>
    <row r="11111" spans="9:9" x14ac:dyDescent="0.3">
      <c r="I11111" s="101"/>
    </row>
    <row r="11112" spans="9:9" x14ac:dyDescent="0.3">
      <c r="I11112" s="101"/>
    </row>
    <row r="11113" spans="9:9" x14ac:dyDescent="0.3">
      <c r="I11113" s="101"/>
    </row>
    <row r="11114" spans="9:9" x14ac:dyDescent="0.3">
      <c r="I11114" s="101"/>
    </row>
    <row r="11115" spans="9:9" x14ac:dyDescent="0.3">
      <c r="I11115" s="101"/>
    </row>
    <row r="11116" spans="9:9" x14ac:dyDescent="0.3">
      <c r="I11116" s="101"/>
    </row>
    <row r="11117" spans="9:9" x14ac:dyDescent="0.3">
      <c r="I11117" s="101"/>
    </row>
    <row r="11118" spans="9:9" x14ac:dyDescent="0.3">
      <c r="I11118" s="101"/>
    </row>
    <row r="11119" spans="9:9" x14ac:dyDescent="0.3">
      <c r="I11119" s="101"/>
    </row>
    <row r="11120" spans="9:9" x14ac:dyDescent="0.3">
      <c r="I11120" s="101"/>
    </row>
    <row r="11121" spans="9:9" x14ac:dyDescent="0.3">
      <c r="I11121" s="101"/>
    </row>
    <row r="11122" spans="9:9" x14ac:dyDescent="0.3">
      <c r="I11122" s="101"/>
    </row>
    <row r="11123" spans="9:9" x14ac:dyDescent="0.3">
      <c r="I11123" s="101"/>
    </row>
    <row r="11124" spans="9:9" x14ac:dyDescent="0.3">
      <c r="I11124" s="101"/>
    </row>
    <row r="11125" spans="9:9" x14ac:dyDescent="0.3">
      <c r="I11125" s="101"/>
    </row>
    <row r="11126" spans="9:9" x14ac:dyDescent="0.3">
      <c r="I11126" s="101"/>
    </row>
    <row r="11127" spans="9:9" x14ac:dyDescent="0.3">
      <c r="I11127" s="101"/>
    </row>
    <row r="11128" spans="9:9" x14ac:dyDescent="0.3">
      <c r="I11128" s="101"/>
    </row>
    <row r="11129" spans="9:9" x14ac:dyDescent="0.3">
      <c r="I11129" s="101"/>
    </row>
    <row r="11130" spans="9:9" x14ac:dyDescent="0.3">
      <c r="I11130" s="101"/>
    </row>
    <row r="11131" spans="9:9" x14ac:dyDescent="0.3">
      <c r="I11131" s="101"/>
    </row>
    <row r="11132" spans="9:9" x14ac:dyDescent="0.3">
      <c r="I11132" s="101"/>
    </row>
    <row r="11133" spans="9:9" x14ac:dyDescent="0.3">
      <c r="I11133" s="101"/>
    </row>
    <row r="11134" spans="9:9" x14ac:dyDescent="0.3">
      <c r="I11134" s="101"/>
    </row>
    <row r="11135" spans="9:9" x14ac:dyDescent="0.3">
      <c r="I11135" s="101"/>
    </row>
    <row r="11136" spans="9:9" x14ac:dyDescent="0.3">
      <c r="I11136" s="101"/>
    </row>
    <row r="11137" spans="9:9" x14ac:dyDescent="0.3">
      <c r="I11137" s="101"/>
    </row>
    <row r="11138" spans="9:9" x14ac:dyDescent="0.3">
      <c r="I11138" s="101"/>
    </row>
    <row r="11139" spans="9:9" x14ac:dyDescent="0.3">
      <c r="I11139" s="101"/>
    </row>
    <row r="11140" spans="9:9" x14ac:dyDescent="0.3">
      <c r="I11140" s="101"/>
    </row>
    <row r="11141" spans="9:9" x14ac:dyDescent="0.3">
      <c r="I11141" s="101"/>
    </row>
    <row r="11142" spans="9:9" x14ac:dyDescent="0.3">
      <c r="I11142" s="101"/>
    </row>
    <row r="11143" spans="9:9" x14ac:dyDescent="0.3">
      <c r="I11143" s="101"/>
    </row>
    <row r="11144" spans="9:9" x14ac:dyDescent="0.3">
      <c r="I11144" s="101"/>
    </row>
    <row r="11145" spans="9:9" x14ac:dyDescent="0.3">
      <c r="I11145" s="101"/>
    </row>
    <row r="11146" spans="9:9" x14ac:dyDescent="0.3">
      <c r="I11146" s="101"/>
    </row>
    <row r="11147" spans="9:9" x14ac:dyDescent="0.3">
      <c r="I11147" s="101"/>
    </row>
    <row r="11148" spans="9:9" x14ac:dyDescent="0.3">
      <c r="I11148" s="101"/>
    </row>
    <row r="11149" spans="9:9" x14ac:dyDescent="0.3">
      <c r="I11149" s="101"/>
    </row>
    <row r="11150" spans="9:9" x14ac:dyDescent="0.3">
      <c r="I11150" s="101"/>
    </row>
    <row r="11151" spans="9:9" x14ac:dyDescent="0.3">
      <c r="I11151" s="101"/>
    </row>
    <row r="11152" spans="9:9" x14ac:dyDescent="0.3">
      <c r="I11152" s="101"/>
    </row>
    <row r="11153" spans="9:9" x14ac:dyDescent="0.3">
      <c r="I11153" s="101"/>
    </row>
    <row r="11154" spans="9:9" x14ac:dyDescent="0.3">
      <c r="I11154" s="101"/>
    </row>
    <row r="11155" spans="9:9" x14ac:dyDescent="0.3">
      <c r="I11155" s="101"/>
    </row>
    <row r="11156" spans="9:9" x14ac:dyDescent="0.3">
      <c r="I11156" s="101"/>
    </row>
    <row r="11157" spans="9:9" x14ac:dyDescent="0.3">
      <c r="I11157" s="101"/>
    </row>
    <row r="11158" spans="9:9" x14ac:dyDescent="0.3">
      <c r="I11158" s="101"/>
    </row>
    <row r="11159" spans="9:9" x14ac:dyDescent="0.3">
      <c r="I11159" s="101"/>
    </row>
    <row r="11160" spans="9:9" x14ac:dyDescent="0.3">
      <c r="I11160" s="101"/>
    </row>
    <row r="11161" spans="9:9" x14ac:dyDescent="0.3">
      <c r="I11161" s="101"/>
    </row>
    <row r="11162" spans="9:9" x14ac:dyDescent="0.3">
      <c r="I11162" s="101"/>
    </row>
    <row r="11163" spans="9:9" x14ac:dyDescent="0.3">
      <c r="I11163" s="101"/>
    </row>
    <row r="11164" spans="9:9" x14ac:dyDescent="0.3">
      <c r="I11164" s="101"/>
    </row>
    <row r="11165" spans="9:9" x14ac:dyDescent="0.3">
      <c r="I11165" s="101"/>
    </row>
    <row r="11166" spans="9:9" x14ac:dyDescent="0.3">
      <c r="I11166" s="101"/>
    </row>
    <row r="11167" spans="9:9" x14ac:dyDescent="0.3">
      <c r="I11167" s="101"/>
    </row>
    <row r="11168" spans="9:9" x14ac:dyDescent="0.3">
      <c r="I11168" s="101"/>
    </row>
    <row r="11169" spans="9:9" x14ac:dyDescent="0.3">
      <c r="I11169" s="101"/>
    </row>
    <row r="11170" spans="9:9" x14ac:dyDescent="0.3">
      <c r="I11170" s="101"/>
    </row>
    <row r="11171" spans="9:9" x14ac:dyDescent="0.3">
      <c r="I11171" s="101"/>
    </row>
    <row r="11172" spans="9:9" x14ac:dyDescent="0.3">
      <c r="I11172" s="101"/>
    </row>
    <row r="11173" spans="9:9" x14ac:dyDescent="0.3">
      <c r="I11173" s="101"/>
    </row>
    <row r="11174" spans="9:9" x14ac:dyDescent="0.3">
      <c r="I11174" s="101"/>
    </row>
    <row r="11175" spans="9:9" x14ac:dyDescent="0.3">
      <c r="I11175" s="101"/>
    </row>
    <row r="11176" spans="9:9" x14ac:dyDescent="0.3">
      <c r="I11176" s="101"/>
    </row>
    <row r="11177" spans="9:9" x14ac:dyDescent="0.3">
      <c r="I11177" s="101"/>
    </row>
    <row r="11178" spans="9:9" x14ac:dyDescent="0.3">
      <c r="I11178" s="101"/>
    </row>
    <row r="11179" spans="9:9" x14ac:dyDescent="0.3">
      <c r="I11179" s="101"/>
    </row>
    <row r="11180" spans="9:9" x14ac:dyDescent="0.3">
      <c r="I11180" s="101"/>
    </row>
    <row r="11181" spans="9:9" x14ac:dyDescent="0.3">
      <c r="I11181" s="101"/>
    </row>
    <row r="11182" spans="9:9" x14ac:dyDescent="0.3">
      <c r="I11182" s="101"/>
    </row>
    <row r="11183" spans="9:9" x14ac:dyDescent="0.3">
      <c r="I11183" s="101"/>
    </row>
    <row r="11184" spans="9:9" x14ac:dyDescent="0.3">
      <c r="I11184" s="101"/>
    </row>
    <row r="11185" spans="9:9" x14ac:dyDescent="0.3">
      <c r="I11185" s="101"/>
    </row>
    <row r="11186" spans="9:9" x14ac:dyDescent="0.3">
      <c r="I11186" s="101"/>
    </row>
    <row r="11187" spans="9:9" x14ac:dyDescent="0.3">
      <c r="I11187" s="101"/>
    </row>
    <row r="11188" spans="9:9" x14ac:dyDescent="0.3">
      <c r="I11188" s="101"/>
    </row>
    <row r="11189" spans="9:9" x14ac:dyDescent="0.3">
      <c r="I11189" s="101"/>
    </row>
    <row r="11190" spans="9:9" x14ac:dyDescent="0.3">
      <c r="I11190" s="101"/>
    </row>
    <row r="11191" spans="9:9" x14ac:dyDescent="0.3">
      <c r="I11191" s="101"/>
    </row>
    <row r="11192" spans="9:9" x14ac:dyDescent="0.3">
      <c r="I11192" s="101"/>
    </row>
    <row r="11193" spans="9:9" x14ac:dyDescent="0.3">
      <c r="I11193" s="101"/>
    </row>
    <row r="11194" spans="9:9" x14ac:dyDescent="0.3">
      <c r="I11194" s="101"/>
    </row>
    <row r="11195" spans="9:9" x14ac:dyDescent="0.3">
      <c r="I11195" s="101"/>
    </row>
    <row r="11196" spans="9:9" x14ac:dyDescent="0.3">
      <c r="I11196" s="101"/>
    </row>
    <row r="11197" spans="9:9" x14ac:dyDescent="0.3">
      <c r="I11197" s="101"/>
    </row>
    <row r="11198" spans="9:9" x14ac:dyDescent="0.3">
      <c r="I11198" s="101"/>
    </row>
    <row r="11199" spans="9:9" x14ac:dyDescent="0.3">
      <c r="I11199" s="101"/>
    </row>
    <row r="11200" spans="9:9" x14ac:dyDescent="0.3">
      <c r="I11200" s="101"/>
    </row>
    <row r="11201" spans="9:9" x14ac:dyDescent="0.3">
      <c r="I11201" s="101"/>
    </row>
    <row r="11202" spans="9:9" x14ac:dyDescent="0.3">
      <c r="I11202" s="101"/>
    </row>
    <row r="11203" spans="9:9" x14ac:dyDescent="0.3">
      <c r="I11203" s="101"/>
    </row>
    <row r="11204" spans="9:9" x14ac:dyDescent="0.3">
      <c r="I11204" s="101"/>
    </row>
    <row r="11205" spans="9:9" x14ac:dyDescent="0.3">
      <c r="I11205" s="101"/>
    </row>
    <row r="11206" spans="9:9" x14ac:dyDescent="0.3">
      <c r="I11206" s="101"/>
    </row>
    <row r="11207" spans="9:9" x14ac:dyDescent="0.3">
      <c r="I11207" s="101"/>
    </row>
    <row r="11208" spans="9:9" x14ac:dyDescent="0.3">
      <c r="I11208" s="101"/>
    </row>
    <row r="11209" spans="9:9" x14ac:dyDescent="0.3">
      <c r="I11209" s="101"/>
    </row>
    <row r="11210" spans="9:9" x14ac:dyDescent="0.3">
      <c r="I11210" s="101"/>
    </row>
    <row r="11211" spans="9:9" x14ac:dyDescent="0.3">
      <c r="I11211" s="101"/>
    </row>
    <row r="11212" spans="9:9" x14ac:dyDescent="0.3">
      <c r="I11212" s="101"/>
    </row>
    <row r="11213" spans="9:9" x14ac:dyDescent="0.3">
      <c r="I11213" s="101"/>
    </row>
    <row r="11214" spans="9:9" x14ac:dyDescent="0.3">
      <c r="I11214" s="101"/>
    </row>
    <row r="11215" spans="9:9" x14ac:dyDescent="0.3">
      <c r="I11215" s="101"/>
    </row>
    <row r="11216" spans="9:9" x14ac:dyDescent="0.3">
      <c r="I11216" s="101"/>
    </row>
    <row r="11217" spans="9:9" x14ac:dyDescent="0.3">
      <c r="I11217" s="101"/>
    </row>
    <row r="11218" spans="9:9" x14ac:dyDescent="0.3">
      <c r="I11218" s="101"/>
    </row>
    <row r="11219" spans="9:9" x14ac:dyDescent="0.3">
      <c r="I11219" s="101"/>
    </row>
    <row r="11220" spans="9:9" x14ac:dyDescent="0.3">
      <c r="I11220" s="101"/>
    </row>
    <row r="11221" spans="9:9" x14ac:dyDescent="0.3">
      <c r="I11221" s="101"/>
    </row>
    <row r="11222" spans="9:9" x14ac:dyDescent="0.3">
      <c r="I11222" s="101"/>
    </row>
    <row r="11223" spans="9:9" x14ac:dyDescent="0.3">
      <c r="I11223" s="101"/>
    </row>
    <row r="11224" spans="9:9" x14ac:dyDescent="0.3">
      <c r="I11224" s="101"/>
    </row>
    <row r="11225" spans="9:9" x14ac:dyDescent="0.3">
      <c r="I11225" s="101"/>
    </row>
    <row r="11226" spans="9:9" x14ac:dyDescent="0.3">
      <c r="I11226" s="101"/>
    </row>
    <row r="11227" spans="9:9" x14ac:dyDescent="0.3">
      <c r="I11227" s="101"/>
    </row>
    <row r="11228" spans="9:9" x14ac:dyDescent="0.3">
      <c r="I11228" s="101"/>
    </row>
    <row r="11229" spans="9:9" x14ac:dyDescent="0.3">
      <c r="I11229" s="101"/>
    </row>
    <row r="11230" spans="9:9" x14ac:dyDescent="0.3">
      <c r="I11230" s="101"/>
    </row>
    <row r="11231" spans="9:9" x14ac:dyDescent="0.3">
      <c r="I11231" s="101"/>
    </row>
    <row r="11232" spans="9:9" x14ac:dyDescent="0.3">
      <c r="I11232" s="101"/>
    </row>
    <row r="11233" spans="9:9" x14ac:dyDescent="0.3">
      <c r="I11233" s="101"/>
    </row>
    <row r="11234" spans="9:9" x14ac:dyDescent="0.3">
      <c r="I11234" s="101"/>
    </row>
    <row r="11235" spans="9:9" x14ac:dyDescent="0.3">
      <c r="I11235" s="101"/>
    </row>
    <row r="11236" spans="9:9" x14ac:dyDescent="0.3">
      <c r="I11236" s="101"/>
    </row>
    <row r="11237" spans="9:9" x14ac:dyDescent="0.3">
      <c r="I11237" s="101"/>
    </row>
    <row r="11238" spans="9:9" x14ac:dyDescent="0.3">
      <c r="I11238" s="101"/>
    </row>
    <row r="11239" spans="9:9" x14ac:dyDescent="0.3">
      <c r="I11239" s="101"/>
    </row>
    <row r="11240" spans="9:9" x14ac:dyDescent="0.3">
      <c r="I11240" s="101"/>
    </row>
    <row r="11241" spans="9:9" x14ac:dyDescent="0.3">
      <c r="I11241" s="101"/>
    </row>
    <row r="11242" spans="9:9" x14ac:dyDescent="0.3">
      <c r="I11242" s="101"/>
    </row>
    <row r="11243" spans="9:9" x14ac:dyDescent="0.3">
      <c r="I11243" s="101"/>
    </row>
    <row r="11244" spans="9:9" x14ac:dyDescent="0.3">
      <c r="I11244" s="101"/>
    </row>
    <row r="11245" spans="9:9" x14ac:dyDescent="0.3">
      <c r="I11245" s="101"/>
    </row>
    <row r="11246" spans="9:9" x14ac:dyDescent="0.3">
      <c r="I11246" s="101"/>
    </row>
    <row r="11247" spans="9:9" x14ac:dyDescent="0.3">
      <c r="I11247" s="101"/>
    </row>
    <row r="11248" spans="9:9" x14ac:dyDescent="0.3">
      <c r="I11248" s="101"/>
    </row>
    <row r="11249" spans="9:9" x14ac:dyDescent="0.3">
      <c r="I11249" s="101"/>
    </row>
    <row r="11250" spans="9:9" x14ac:dyDescent="0.3">
      <c r="I11250" s="101"/>
    </row>
    <row r="11251" spans="9:9" x14ac:dyDescent="0.3">
      <c r="I11251" s="101"/>
    </row>
    <row r="11252" spans="9:9" x14ac:dyDescent="0.3">
      <c r="I11252" s="101"/>
    </row>
    <row r="11253" spans="9:9" x14ac:dyDescent="0.3">
      <c r="I11253" s="101"/>
    </row>
    <row r="11254" spans="9:9" x14ac:dyDescent="0.3">
      <c r="I11254" s="101"/>
    </row>
    <row r="11255" spans="9:9" x14ac:dyDescent="0.3">
      <c r="I11255" s="101"/>
    </row>
    <row r="11256" spans="9:9" x14ac:dyDescent="0.3">
      <c r="I11256" s="101"/>
    </row>
    <row r="11257" spans="9:9" x14ac:dyDescent="0.3">
      <c r="I11257" s="101"/>
    </row>
    <row r="11258" spans="9:9" x14ac:dyDescent="0.3">
      <c r="I11258" s="101"/>
    </row>
    <row r="11259" spans="9:9" x14ac:dyDescent="0.3">
      <c r="I11259" s="101"/>
    </row>
    <row r="11260" spans="9:9" x14ac:dyDescent="0.3">
      <c r="I11260" s="101"/>
    </row>
    <row r="11261" spans="9:9" x14ac:dyDescent="0.3">
      <c r="I11261" s="101"/>
    </row>
    <row r="11262" spans="9:9" x14ac:dyDescent="0.3">
      <c r="I11262" s="101"/>
    </row>
    <row r="11263" spans="9:9" x14ac:dyDescent="0.3">
      <c r="I11263" s="101"/>
    </row>
    <row r="11264" spans="9:9" x14ac:dyDescent="0.3">
      <c r="I11264" s="101"/>
    </row>
    <row r="11265" spans="9:9" x14ac:dyDescent="0.3">
      <c r="I11265" s="101"/>
    </row>
    <row r="11266" spans="9:9" x14ac:dyDescent="0.3">
      <c r="I11266" s="101"/>
    </row>
    <row r="11267" spans="9:9" x14ac:dyDescent="0.3">
      <c r="I11267" s="101"/>
    </row>
    <row r="11268" spans="9:9" x14ac:dyDescent="0.3">
      <c r="I11268" s="101"/>
    </row>
    <row r="11269" spans="9:9" x14ac:dyDescent="0.3">
      <c r="I11269" s="101"/>
    </row>
    <row r="11270" spans="9:9" x14ac:dyDescent="0.3">
      <c r="I11270" s="101"/>
    </row>
    <row r="11271" spans="9:9" x14ac:dyDescent="0.3">
      <c r="I11271" s="101"/>
    </row>
    <row r="11272" spans="9:9" x14ac:dyDescent="0.3">
      <c r="I11272" s="101"/>
    </row>
    <row r="11273" spans="9:9" x14ac:dyDescent="0.3">
      <c r="I11273" s="101"/>
    </row>
    <row r="11274" spans="9:9" x14ac:dyDescent="0.3">
      <c r="I11274" s="101"/>
    </row>
    <row r="11275" spans="9:9" x14ac:dyDescent="0.3">
      <c r="I11275" s="101"/>
    </row>
    <row r="11276" spans="9:9" x14ac:dyDescent="0.3">
      <c r="I11276" s="101"/>
    </row>
    <row r="11277" spans="9:9" x14ac:dyDescent="0.3">
      <c r="I11277" s="101"/>
    </row>
    <row r="11278" spans="9:9" x14ac:dyDescent="0.3">
      <c r="I11278" s="101"/>
    </row>
    <row r="11279" spans="9:9" x14ac:dyDescent="0.3">
      <c r="I11279" s="101"/>
    </row>
    <row r="11280" spans="9:9" x14ac:dyDescent="0.3">
      <c r="I11280" s="101"/>
    </row>
    <row r="11281" spans="9:9" x14ac:dyDescent="0.3">
      <c r="I11281" s="101"/>
    </row>
    <row r="11282" spans="9:9" x14ac:dyDescent="0.3">
      <c r="I11282" s="101"/>
    </row>
    <row r="11283" spans="9:9" x14ac:dyDescent="0.3">
      <c r="I11283" s="101"/>
    </row>
    <row r="11284" spans="9:9" x14ac:dyDescent="0.3">
      <c r="I11284" s="101"/>
    </row>
    <row r="11285" spans="9:9" x14ac:dyDescent="0.3">
      <c r="I11285" s="101"/>
    </row>
    <row r="11286" spans="9:9" x14ac:dyDescent="0.3">
      <c r="I11286" s="101"/>
    </row>
    <row r="11287" spans="9:9" x14ac:dyDescent="0.3">
      <c r="I11287" s="101"/>
    </row>
    <row r="11288" spans="9:9" x14ac:dyDescent="0.3">
      <c r="I11288" s="101"/>
    </row>
    <row r="11289" spans="9:9" x14ac:dyDescent="0.3">
      <c r="I11289" s="101"/>
    </row>
    <row r="11290" spans="9:9" x14ac:dyDescent="0.3">
      <c r="I11290" s="101"/>
    </row>
    <row r="11291" spans="9:9" x14ac:dyDescent="0.3">
      <c r="I11291" s="101"/>
    </row>
    <row r="11292" spans="9:9" x14ac:dyDescent="0.3">
      <c r="I11292" s="101"/>
    </row>
    <row r="11293" spans="9:9" x14ac:dyDescent="0.3">
      <c r="I11293" s="101"/>
    </row>
    <row r="11294" spans="9:9" x14ac:dyDescent="0.3">
      <c r="I11294" s="101"/>
    </row>
    <row r="11295" spans="9:9" x14ac:dyDescent="0.3">
      <c r="I11295" s="101"/>
    </row>
    <row r="11296" spans="9:9" x14ac:dyDescent="0.3">
      <c r="I11296" s="101"/>
    </row>
    <row r="11297" spans="9:9" x14ac:dyDescent="0.3">
      <c r="I11297" s="101"/>
    </row>
    <row r="11298" spans="9:9" x14ac:dyDescent="0.3">
      <c r="I11298" s="101"/>
    </row>
    <row r="11299" spans="9:9" x14ac:dyDescent="0.3">
      <c r="I11299" s="101"/>
    </row>
    <row r="11300" spans="9:9" x14ac:dyDescent="0.3">
      <c r="I11300" s="101"/>
    </row>
    <row r="11301" spans="9:9" x14ac:dyDescent="0.3">
      <c r="I11301" s="101"/>
    </row>
    <row r="11302" spans="9:9" x14ac:dyDescent="0.3">
      <c r="I11302" s="101"/>
    </row>
    <row r="11303" spans="9:9" x14ac:dyDescent="0.3">
      <c r="I11303" s="101"/>
    </row>
    <row r="11304" spans="9:9" x14ac:dyDescent="0.3">
      <c r="I11304" s="101"/>
    </row>
    <row r="11305" spans="9:9" x14ac:dyDescent="0.3">
      <c r="I11305" s="101"/>
    </row>
    <row r="11306" spans="9:9" x14ac:dyDescent="0.3">
      <c r="I11306" s="101"/>
    </row>
    <row r="11307" spans="9:9" x14ac:dyDescent="0.3">
      <c r="I11307" s="101"/>
    </row>
    <row r="11308" spans="9:9" x14ac:dyDescent="0.3">
      <c r="I11308" s="101"/>
    </row>
    <row r="11309" spans="9:9" x14ac:dyDescent="0.3">
      <c r="I11309" s="101"/>
    </row>
    <row r="11310" spans="9:9" x14ac:dyDescent="0.3">
      <c r="I11310" s="101"/>
    </row>
    <row r="11311" spans="9:9" x14ac:dyDescent="0.3">
      <c r="I11311" s="101"/>
    </row>
    <row r="11312" spans="9:9" x14ac:dyDescent="0.3">
      <c r="I11312" s="101"/>
    </row>
    <row r="11313" spans="9:9" x14ac:dyDescent="0.3">
      <c r="I11313" s="101"/>
    </row>
    <row r="11314" spans="9:9" x14ac:dyDescent="0.3">
      <c r="I11314" s="101"/>
    </row>
    <row r="11315" spans="9:9" x14ac:dyDescent="0.3">
      <c r="I11315" s="101"/>
    </row>
    <row r="11316" spans="9:9" x14ac:dyDescent="0.3">
      <c r="I11316" s="101"/>
    </row>
    <row r="11317" spans="9:9" x14ac:dyDescent="0.3">
      <c r="I11317" s="101"/>
    </row>
    <row r="11318" spans="9:9" x14ac:dyDescent="0.3">
      <c r="I11318" s="101"/>
    </row>
    <row r="11319" spans="9:9" x14ac:dyDescent="0.3">
      <c r="I11319" s="101"/>
    </row>
    <row r="11320" spans="9:9" x14ac:dyDescent="0.3">
      <c r="I11320" s="101"/>
    </row>
    <row r="11321" spans="9:9" x14ac:dyDescent="0.3">
      <c r="I11321" s="101"/>
    </row>
    <row r="11322" spans="9:9" x14ac:dyDescent="0.3">
      <c r="I11322" s="101"/>
    </row>
    <row r="11323" spans="9:9" x14ac:dyDescent="0.3">
      <c r="I11323" s="101"/>
    </row>
    <row r="11324" spans="9:9" x14ac:dyDescent="0.3">
      <c r="I11324" s="101"/>
    </row>
    <row r="11325" spans="9:9" x14ac:dyDescent="0.3">
      <c r="I11325" s="101"/>
    </row>
    <row r="11326" spans="9:9" x14ac:dyDescent="0.3">
      <c r="I11326" s="101"/>
    </row>
    <row r="11327" spans="9:9" x14ac:dyDescent="0.3">
      <c r="I11327" s="101"/>
    </row>
    <row r="11328" spans="9:9" x14ac:dyDescent="0.3">
      <c r="I11328" s="101"/>
    </row>
    <row r="11329" spans="9:9" x14ac:dyDescent="0.3">
      <c r="I11329" s="101"/>
    </row>
    <row r="11330" spans="9:9" x14ac:dyDescent="0.3">
      <c r="I11330" s="101"/>
    </row>
    <row r="11331" spans="9:9" x14ac:dyDescent="0.3">
      <c r="I11331" s="101"/>
    </row>
    <row r="11332" spans="9:9" x14ac:dyDescent="0.3">
      <c r="I11332" s="101"/>
    </row>
    <row r="11333" spans="9:9" x14ac:dyDescent="0.3">
      <c r="I11333" s="101"/>
    </row>
    <row r="11334" spans="9:9" x14ac:dyDescent="0.3">
      <c r="I11334" s="101"/>
    </row>
    <row r="11335" spans="9:9" x14ac:dyDescent="0.3">
      <c r="I11335" s="101"/>
    </row>
    <row r="11336" spans="9:9" x14ac:dyDescent="0.3">
      <c r="I11336" s="101"/>
    </row>
    <row r="11337" spans="9:9" x14ac:dyDescent="0.3">
      <c r="I11337" s="101"/>
    </row>
    <row r="11338" spans="9:9" x14ac:dyDescent="0.3">
      <c r="I11338" s="101"/>
    </row>
    <row r="11339" spans="9:9" x14ac:dyDescent="0.3">
      <c r="I11339" s="101"/>
    </row>
    <row r="11340" spans="9:9" x14ac:dyDescent="0.3">
      <c r="I11340" s="101"/>
    </row>
    <row r="11341" spans="9:9" x14ac:dyDescent="0.3">
      <c r="I11341" s="101"/>
    </row>
    <row r="11342" spans="9:9" x14ac:dyDescent="0.3">
      <c r="I11342" s="101"/>
    </row>
    <row r="11343" spans="9:9" x14ac:dyDescent="0.3">
      <c r="I11343" s="101"/>
    </row>
    <row r="11344" spans="9:9" x14ac:dyDescent="0.3">
      <c r="I11344" s="101"/>
    </row>
    <row r="11345" spans="9:9" x14ac:dyDescent="0.3">
      <c r="I11345" s="101"/>
    </row>
    <row r="11346" spans="9:9" x14ac:dyDescent="0.3">
      <c r="I11346" s="101"/>
    </row>
    <row r="11347" spans="9:9" x14ac:dyDescent="0.3">
      <c r="I11347" s="101"/>
    </row>
    <row r="11348" spans="9:9" x14ac:dyDescent="0.3">
      <c r="I11348" s="101"/>
    </row>
    <row r="11349" spans="9:9" x14ac:dyDescent="0.3">
      <c r="I11349" s="101"/>
    </row>
    <row r="11350" spans="9:9" x14ac:dyDescent="0.3">
      <c r="I11350" s="101"/>
    </row>
    <row r="11351" spans="9:9" x14ac:dyDescent="0.3">
      <c r="I11351" s="101"/>
    </row>
    <row r="11352" spans="9:9" x14ac:dyDescent="0.3">
      <c r="I11352" s="101"/>
    </row>
    <row r="11353" spans="9:9" x14ac:dyDescent="0.3">
      <c r="I11353" s="101"/>
    </row>
    <row r="11354" spans="9:9" x14ac:dyDescent="0.3">
      <c r="I11354" s="101"/>
    </row>
    <row r="11355" spans="9:9" x14ac:dyDescent="0.3">
      <c r="I11355" s="101"/>
    </row>
    <row r="11356" spans="9:9" x14ac:dyDescent="0.3">
      <c r="I11356" s="101"/>
    </row>
    <row r="11357" spans="9:9" x14ac:dyDescent="0.3">
      <c r="I11357" s="101"/>
    </row>
    <row r="11358" spans="9:9" x14ac:dyDescent="0.3">
      <c r="I11358" s="101"/>
    </row>
    <row r="11359" spans="9:9" x14ac:dyDescent="0.3">
      <c r="I11359" s="101"/>
    </row>
    <row r="11360" spans="9:9" x14ac:dyDescent="0.3">
      <c r="I11360" s="101"/>
    </row>
    <row r="11361" spans="9:9" x14ac:dyDescent="0.3">
      <c r="I11361" s="101"/>
    </row>
    <row r="11362" spans="9:9" x14ac:dyDescent="0.3">
      <c r="I11362" s="101"/>
    </row>
    <row r="11363" spans="9:9" x14ac:dyDescent="0.3">
      <c r="I11363" s="101"/>
    </row>
    <row r="11364" spans="9:9" x14ac:dyDescent="0.3">
      <c r="I11364" s="101"/>
    </row>
    <row r="11365" spans="9:9" x14ac:dyDescent="0.3">
      <c r="I11365" s="101"/>
    </row>
    <row r="11366" spans="9:9" x14ac:dyDescent="0.3">
      <c r="I11366" s="101"/>
    </row>
    <row r="11367" spans="9:9" x14ac:dyDescent="0.3">
      <c r="I11367" s="101"/>
    </row>
    <row r="11368" spans="9:9" x14ac:dyDescent="0.3">
      <c r="I11368" s="101"/>
    </row>
    <row r="11369" spans="9:9" x14ac:dyDescent="0.3">
      <c r="I11369" s="101"/>
    </row>
    <row r="11370" spans="9:9" x14ac:dyDescent="0.3">
      <c r="I11370" s="101"/>
    </row>
    <row r="11371" spans="9:9" x14ac:dyDescent="0.3">
      <c r="I11371" s="101"/>
    </row>
    <row r="11372" spans="9:9" x14ac:dyDescent="0.3">
      <c r="I11372" s="101"/>
    </row>
    <row r="11373" spans="9:9" x14ac:dyDescent="0.3">
      <c r="I11373" s="101"/>
    </row>
    <row r="11374" spans="9:9" x14ac:dyDescent="0.3">
      <c r="I11374" s="101"/>
    </row>
    <row r="11375" spans="9:9" x14ac:dyDescent="0.3">
      <c r="I11375" s="101"/>
    </row>
    <row r="11376" spans="9:9" x14ac:dyDescent="0.3">
      <c r="I11376" s="101"/>
    </row>
    <row r="11377" spans="9:9" x14ac:dyDescent="0.3">
      <c r="I11377" s="101"/>
    </row>
    <row r="11378" spans="9:9" x14ac:dyDescent="0.3">
      <c r="I11378" s="101"/>
    </row>
    <row r="11379" spans="9:9" x14ac:dyDescent="0.3">
      <c r="I11379" s="101"/>
    </row>
    <row r="11380" spans="9:9" x14ac:dyDescent="0.3">
      <c r="I11380" s="101"/>
    </row>
    <row r="11381" spans="9:9" x14ac:dyDescent="0.3">
      <c r="I11381" s="101"/>
    </row>
    <row r="11382" spans="9:9" x14ac:dyDescent="0.3">
      <c r="I11382" s="101"/>
    </row>
    <row r="11383" spans="9:9" x14ac:dyDescent="0.3">
      <c r="I11383" s="101"/>
    </row>
    <row r="11384" spans="9:9" x14ac:dyDescent="0.3">
      <c r="I11384" s="101"/>
    </row>
    <row r="11385" spans="9:9" x14ac:dyDescent="0.3">
      <c r="I11385" s="101"/>
    </row>
    <row r="11386" spans="9:9" x14ac:dyDescent="0.3">
      <c r="I11386" s="101"/>
    </row>
    <row r="11387" spans="9:9" x14ac:dyDescent="0.3">
      <c r="I11387" s="101"/>
    </row>
    <row r="11388" spans="9:9" x14ac:dyDescent="0.3">
      <c r="I11388" s="101"/>
    </row>
    <row r="11389" spans="9:9" x14ac:dyDescent="0.3">
      <c r="I11389" s="101"/>
    </row>
    <row r="11390" spans="9:9" x14ac:dyDescent="0.3">
      <c r="I11390" s="101"/>
    </row>
    <row r="11391" spans="9:9" x14ac:dyDescent="0.3">
      <c r="I11391" s="101"/>
    </row>
    <row r="11392" spans="9:9" x14ac:dyDescent="0.3">
      <c r="I11392" s="101"/>
    </row>
    <row r="11393" spans="9:9" x14ac:dyDescent="0.3">
      <c r="I11393" s="101"/>
    </row>
    <row r="11394" spans="9:9" x14ac:dyDescent="0.3">
      <c r="I11394" s="101"/>
    </row>
    <row r="11395" spans="9:9" x14ac:dyDescent="0.3">
      <c r="I11395" s="101"/>
    </row>
    <row r="11396" spans="9:9" x14ac:dyDescent="0.3">
      <c r="I11396" s="101"/>
    </row>
    <row r="11397" spans="9:9" x14ac:dyDescent="0.3">
      <c r="I11397" s="101"/>
    </row>
    <row r="11398" spans="9:9" x14ac:dyDescent="0.3">
      <c r="I11398" s="101"/>
    </row>
    <row r="11399" spans="9:9" x14ac:dyDescent="0.3">
      <c r="I11399" s="101"/>
    </row>
    <row r="11400" spans="9:9" x14ac:dyDescent="0.3">
      <c r="I11400" s="101"/>
    </row>
    <row r="11401" spans="9:9" x14ac:dyDescent="0.3">
      <c r="I11401" s="101"/>
    </row>
    <row r="11402" spans="9:9" x14ac:dyDescent="0.3">
      <c r="I11402" s="101"/>
    </row>
    <row r="11403" spans="9:9" x14ac:dyDescent="0.3">
      <c r="I11403" s="101"/>
    </row>
    <row r="11404" spans="9:9" x14ac:dyDescent="0.3">
      <c r="I11404" s="101"/>
    </row>
    <row r="11405" spans="9:9" x14ac:dyDescent="0.3">
      <c r="I11405" s="101"/>
    </row>
    <row r="11406" spans="9:9" x14ac:dyDescent="0.3">
      <c r="I11406" s="101"/>
    </row>
    <row r="11407" spans="9:9" x14ac:dyDescent="0.3">
      <c r="I11407" s="101"/>
    </row>
    <row r="11408" spans="9:9" x14ac:dyDescent="0.3">
      <c r="I11408" s="101"/>
    </row>
    <row r="11409" spans="9:9" x14ac:dyDescent="0.3">
      <c r="I11409" s="101"/>
    </row>
    <row r="11410" spans="9:9" x14ac:dyDescent="0.3">
      <c r="I11410" s="101"/>
    </row>
    <row r="11411" spans="9:9" x14ac:dyDescent="0.3">
      <c r="I11411" s="101"/>
    </row>
    <row r="11412" spans="9:9" x14ac:dyDescent="0.3">
      <c r="I11412" s="101"/>
    </row>
    <row r="11413" spans="9:9" x14ac:dyDescent="0.3">
      <c r="I11413" s="101"/>
    </row>
    <row r="11414" spans="9:9" x14ac:dyDescent="0.3">
      <c r="I11414" s="101"/>
    </row>
    <row r="11415" spans="9:9" x14ac:dyDescent="0.3">
      <c r="I11415" s="101"/>
    </row>
    <row r="11416" spans="9:9" x14ac:dyDescent="0.3">
      <c r="I11416" s="101"/>
    </row>
    <row r="11417" spans="9:9" x14ac:dyDescent="0.3">
      <c r="I11417" s="101"/>
    </row>
    <row r="11418" spans="9:9" x14ac:dyDescent="0.3">
      <c r="I11418" s="101"/>
    </row>
    <row r="11419" spans="9:9" x14ac:dyDescent="0.3">
      <c r="I11419" s="101"/>
    </row>
    <row r="11420" spans="9:9" x14ac:dyDescent="0.3">
      <c r="I11420" s="101"/>
    </row>
    <row r="11421" spans="9:9" x14ac:dyDescent="0.3">
      <c r="I11421" s="101"/>
    </row>
    <row r="11422" spans="9:9" x14ac:dyDescent="0.3">
      <c r="I11422" s="101"/>
    </row>
    <row r="11423" spans="9:9" x14ac:dyDescent="0.3">
      <c r="I11423" s="101"/>
    </row>
    <row r="11424" spans="9:9" x14ac:dyDescent="0.3">
      <c r="I11424" s="101"/>
    </row>
    <row r="11425" spans="9:9" x14ac:dyDescent="0.3">
      <c r="I11425" s="101"/>
    </row>
    <row r="11426" spans="9:9" x14ac:dyDescent="0.3">
      <c r="I11426" s="101"/>
    </row>
    <row r="11427" spans="9:9" x14ac:dyDescent="0.3">
      <c r="I11427" s="101"/>
    </row>
    <row r="11428" spans="9:9" x14ac:dyDescent="0.3">
      <c r="I11428" s="101"/>
    </row>
    <row r="11429" spans="9:9" x14ac:dyDescent="0.3">
      <c r="I11429" s="101"/>
    </row>
    <row r="11430" spans="9:9" x14ac:dyDescent="0.3">
      <c r="I11430" s="101"/>
    </row>
    <row r="11431" spans="9:9" x14ac:dyDescent="0.3">
      <c r="I11431" s="101"/>
    </row>
    <row r="11432" spans="9:9" x14ac:dyDescent="0.3">
      <c r="I11432" s="101"/>
    </row>
    <row r="11433" spans="9:9" x14ac:dyDescent="0.3">
      <c r="I11433" s="101"/>
    </row>
    <row r="11434" spans="9:9" x14ac:dyDescent="0.3">
      <c r="I11434" s="101"/>
    </row>
    <row r="11435" spans="9:9" x14ac:dyDescent="0.3">
      <c r="I11435" s="101"/>
    </row>
    <row r="11436" spans="9:9" x14ac:dyDescent="0.3">
      <c r="I11436" s="101"/>
    </row>
    <row r="11437" spans="9:9" x14ac:dyDescent="0.3">
      <c r="I11437" s="101"/>
    </row>
    <row r="11438" spans="9:9" x14ac:dyDescent="0.3">
      <c r="I11438" s="101"/>
    </row>
    <row r="11439" spans="9:9" x14ac:dyDescent="0.3">
      <c r="I11439" s="101"/>
    </row>
    <row r="11440" spans="9:9" x14ac:dyDescent="0.3">
      <c r="I11440" s="101"/>
    </row>
    <row r="11441" spans="9:9" x14ac:dyDescent="0.3">
      <c r="I11441" s="101"/>
    </row>
    <row r="11442" spans="9:9" x14ac:dyDescent="0.3">
      <c r="I11442" s="101"/>
    </row>
    <row r="11443" spans="9:9" x14ac:dyDescent="0.3">
      <c r="I11443" s="101"/>
    </row>
    <row r="11444" spans="9:9" x14ac:dyDescent="0.3">
      <c r="I11444" s="101"/>
    </row>
    <row r="11445" spans="9:9" x14ac:dyDescent="0.3">
      <c r="I11445" s="101"/>
    </row>
    <row r="11446" spans="9:9" x14ac:dyDescent="0.3">
      <c r="I11446" s="101"/>
    </row>
    <row r="11447" spans="9:9" x14ac:dyDescent="0.3">
      <c r="I11447" s="101"/>
    </row>
    <row r="11448" spans="9:9" x14ac:dyDescent="0.3">
      <c r="I11448" s="101"/>
    </row>
    <row r="11449" spans="9:9" x14ac:dyDescent="0.3">
      <c r="I11449" s="101"/>
    </row>
    <row r="11450" spans="9:9" x14ac:dyDescent="0.3">
      <c r="I11450" s="101"/>
    </row>
    <row r="11451" spans="9:9" x14ac:dyDescent="0.3">
      <c r="I11451" s="101"/>
    </row>
    <row r="11452" spans="9:9" x14ac:dyDescent="0.3">
      <c r="I11452" s="101"/>
    </row>
    <row r="11453" spans="9:9" x14ac:dyDescent="0.3">
      <c r="I11453" s="101"/>
    </row>
    <row r="11454" spans="9:9" x14ac:dyDescent="0.3">
      <c r="I11454" s="101"/>
    </row>
    <row r="11455" spans="9:9" x14ac:dyDescent="0.3">
      <c r="I11455" s="101"/>
    </row>
    <row r="11456" spans="9:9" x14ac:dyDescent="0.3">
      <c r="I11456" s="101"/>
    </row>
    <row r="11457" spans="9:9" x14ac:dyDescent="0.3">
      <c r="I11457" s="101"/>
    </row>
    <row r="11458" spans="9:9" x14ac:dyDescent="0.3">
      <c r="I11458" s="101"/>
    </row>
    <row r="11459" spans="9:9" x14ac:dyDescent="0.3">
      <c r="I11459" s="101"/>
    </row>
    <row r="11460" spans="9:9" x14ac:dyDescent="0.3">
      <c r="I11460" s="101"/>
    </row>
    <row r="11461" spans="9:9" x14ac:dyDescent="0.3">
      <c r="I11461" s="101"/>
    </row>
    <row r="11462" spans="9:9" x14ac:dyDescent="0.3">
      <c r="I11462" s="101"/>
    </row>
    <row r="11463" spans="9:9" x14ac:dyDescent="0.3">
      <c r="I11463" s="101"/>
    </row>
    <row r="11464" spans="9:9" x14ac:dyDescent="0.3">
      <c r="I11464" s="101"/>
    </row>
    <row r="11465" spans="9:9" x14ac:dyDescent="0.3">
      <c r="I11465" s="101"/>
    </row>
    <row r="11466" spans="9:9" x14ac:dyDescent="0.3">
      <c r="I11466" s="101"/>
    </row>
    <row r="11467" spans="9:9" x14ac:dyDescent="0.3">
      <c r="I11467" s="101"/>
    </row>
    <row r="11468" spans="9:9" x14ac:dyDescent="0.3">
      <c r="I11468" s="101"/>
    </row>
    <row r="11469" spans="9:9" x14ac:dyDescent="0.3">
      <c r="I11469" s="101"/>
    </row>
    <row r="11470" spans="9:9" x14ac:dyDescent="0.3">
      <c r="I11470" s="101"/>
    </row>
    <row r="11471" spans="9:9" x14ac:dyDescent="0.3">
      <c r="I11471" s="101"/>
    </row>
    <row r="11472" spans="9:9" x14ac:dyDescent="0.3">
      <c r="I11472" s="101"/>
    </row>
    <row r="11473" spans="9:9" x14ac:dyDescent="0.3">
      <c r="I11473" s="101"/>
    </row>
    <row r="11474" spans="9:9" x14ac:dyDescent="0.3">
      <c r="I11474" s="101"/>
    </row>
    <row r="11475" spans="9:9" x14ac:dyDescent="0.3">
      <c r="I11475" s="101"/>
    </row>
    <row r="11476" spans="9:9" x14ac:dyDescent="0.3">
      <c r="I11476" s="101"/>
    </row>
    <row r="11477" spans="9:9" x14ac:dyDescent="0.3">
      <c r="I11477" s="101"/>
    </row>
    <row r="11478" spans="9:9" x14ac:dyDescent="0.3">
      <c r="I11478" s="101"/>
    </row>
    <row r="11479" spans="9:9" x14ac:dyDescent="0.3">
      <c r="I11479" s="101"/>
    </row>
    <row r="11480" spans="9:9" x14ac:dyDescent="0.3">
      <c r="I11480" s="101"/>
    </row>
    <row r="11481" spans="9:9" x14ac:dyDescent="0.3">
      <c r="I11481" s="101"/>
    </row>
    <row r="11482" spans="9:9" x14ac:dyDescent="0.3">
      <c r="I11482" s="101"/>
    </row>
    <row r="11483" spans="9:9" x14ac:dyDescent="0.3">
      <c r="I11483" s="101"/>
    </row>
    <row r="11484" spans="9:9" x14ac:dyDescent="0.3">
      <c r="I11484" s="101"/>
    </row>
    <row r="11485" spans="9:9" x14ac:dyDescent="0.3">
      <c r="I11485" s="101"/>
    </row>
    <row r="11486" spans="9:9" x14ac:dyDescent="0.3">
      <c r="I11486" s="101"/>
    </row>
    <row r="11487" spans="9:9" x14ac:dyDescent="0.3">
      <c r="I11487" s="101"/>
    </row>
    <row r="11488" spans="9:9" x14ac:dyDescent="0.3">
      <c r="I11488" s="101"/>
    </row>
    <row r="11489" spans="9:9" x14ac:dyDescent="0.3">
      <c r="I11489" s="101"/>
    </row>
    <row r="11490" spans="9:9" x14ac:dyDescent="0.3">
      <c r="I11490" s="101"/>
    </row>
    <row r="11491" spans="9:9" x14ac:dyDescent="0.3">
      <c r="I11491" s="101"/>
    </row>
    <row r="11492" spans="9:9" x14ac:dyDescent="0.3">
      <c r="I11492" s="101"/>
    </row>
    <row r="11493" spans="9:9" x14ac:dyDescent="0.3">
      <c r="I11493" s="101"/>
    </row>
    <row r="11494" spans="9:9" x14ac:dyDescent="0.3">
      <c r="I11494" s="101"/>
    </row>
    <row r="11495" spans="9:9" x14ac:dyDescent="0.3">
      <c r="I11495" s="101"/>
    </row>
    <row r="11496" spans="9:9" x14ac:dyDescent="0.3">
      <c r="I11496" s="101"/>
    </row>
    <row r="11497" spans="9:9" x14ac:dyDescent="0.3">
      <c r="I11497" s="101"/>
    </row>
    <row r="11498" spans="9:9" x14ac:dyDescent="0.3">
      <c r="I11498" s="101"/>
    </row>
    <row r="11499" spans="9:9" x14ac:dyDescent="0.3">
      <c r="I11499" s="101"/>
    </row>
    <row r="11500" spans="9:9" x14ac:dyDescent="0.3">
      <c r="I11500" s="101"/>
    </row>
    <row r="11501" spans="9:9" x14ac:dyDescent="0.3">
      <c r="I11501" s="101"/>
    </row>
    <row r="11502" spans="9:9" x14ac:dyDescent="0.3">
      <c r="I11502" s="101"/>
    </row>
    <row r="11503" spans="9:9" x14ac:dyDescent="0.3">
      <c r="I11503" s="101"/>
    </row>
    <row r="11504" spans="9:9" x14ac:dyDescent="0.3">
      <c r="I11504" s="101"/>
    </row>
    <row r="11505" spans="9:9" x14ac:dyDescent="0.3">
      <c r="I11505" s="101"/>
    </row>
    <row r="11506" spans="9:9" x14ac:dyDescent="0.3">
      <c r="I11506" s="101"/>
    </row>
    <row r="11507" spans="9:9" x14ac:dyDescent="0.3">
      <c r="I11507" s="101"/>
    </row>
    <row r="11508" spans="9:9" x14ac:dyDescent="0.3">
      <c r="I11508" s="101"/>
    </row>
    <row r="11509" spans="9:9" x14ac:dyDescent="0.3">
      <c r="I11509" s="101"/>
    </row>
    <row r="11510" spans="9:9" x14ac:dyDescent="0.3">
      <c r="I11510" s="101"/>
    </row>
    <row r="11511" spans="9:9" x14ac:dyDescent="0.3">
      <c r="I11511" s="101"/>
    </row>
    <row r="11512" spans="9:9" x14ac:dyDescent="0.3">
      <c r="I11512" s="101"/>
    </row>
    <row r="11513" spans="9:9" x14ac:dyDescent="0.3">
      <c r="I11513" s="101"/>
    </row>
    <row r="11514" spans="9:9" x14ac:dyDescent="0.3">
      <c r="I11514" s="101"/>
    </row>
    <row r="11515" spans="9:9" x14ac:dyDescent="0.3">
      <c r="I11515" s="101"/>
    </row>
    <row r="11516" spans="9:9" x14ac:dyDescent="0.3">
      <c r="I11516" s="101"/>
    </row>
    <row r="11517" spans="9:9" x14ac:dyDescent="0.3">
      <c r="I11517" s="101"/>
    </row>
    <row r="11518" spans="9:9" x14ac:dyDescent="0.3">
      <c r="I11518" s="101"/>
    </row>
    <row r="11519" spans="9:9" x14ac:dyDescent="0.3">
      <c r="I11519" s="101"/>
    </row>
    <row r="11520" spans="9:9" x14ac:dyDescent="0.3">
      <c r="I11520" s="101"/>
    </row>
    <row r="11521" spans="9:9" x14ac:dyDescent="0.3">
      <c r="I11521" s="101"/>
    </row>
    <row r="11522" spans="9:9" x14ac:dyDescent="0.3">
      <c r="I11522" s="101"/>
    </row>
    <row r="11523" spans="9:9" x14ac:dyDescent="0.3">
      <c r="I11523" s="101"/>
    </row>
    <row r="11524" spans="9:9" x14ac:dyDescent="0.3">
      <c r="I11524" s="101"/>
    </row>
    <row r="11525" spans="9:9" x14ac:dyDescent="0.3">
      <c r="I11525" s="101"/>
    </row>
    <row r="11526" spans="9:9" x14ac:dyDescent="0.3">
      <c r="I11526" s="101"/>
    </row>
    <row r="11527" spans="9:9" x14ac:dyDescent="0.3">
      <c r="I11527" s="101"/>
    </row>
    <row r="11528" spans="9:9" x14ac:dyDescent="0.3">
      <c r="I11528" s="101"/>
    </row>
    <row r="11529" spans="9:9" x14ac:dyDescent="0.3">
      <c r="I11529" s="101"/>
    </row>
    <row r="11530" spans="9:9" x14ac:dyDescent="0.3">
      <c r="I11530" s="101"/>
    </row>
    <row r="11531" spans="9:9" x14ac:dyDescent="0.3">
      <c r="I11531" s="101"/>
    </row>
    <row r="11532" spans="9:9" x14ac:dyDescent="0.3">
      <c r="I11532" s="101"/>
    </row>
    <row r="11533" spans="9:9" x14ac:dyDescent="0.3">
      <c r="I11533" s="101"/>
    </row>
    <row r="11534" spans="9:9" x14ac:dyDescent="0.3">
      <c r="I11534" s="101"/>
    </row>
    <row r="11535" spans="9:9" x14ac:dyDescent="0.3">
      <c r="I11535" s="101"/>
    </row>
    <row r="11536" spans="9:9" x14ac:dyDescent="0.3">
      <c r="I11536" s="101"/>
    </row>
    <row r="11537" spans="9:9" x14ac:dyDescent="0.3">
      <c r="I11537" s="101"/>
    </row>
    <row r="11538" spans="9:9" x14ac:dyDescent="0.3">
      <c r="I11538" s="101"/>
    </row>
    <row r="11539" spans="9:9" x14ac:dyDescent="0.3">
      <c r="I11539" s="101"/>
    </row>
    <row r="11540" spans="9:9" x14ac:dyDescent="0.3">
      <c r="I11540" s="101"/>
    </row>
    <row r="11541" spans="9:9" x14ac:dyDescent="0.3">
      <c r="I11541" s="101"/>
    </row>
    <row r="11542" spans="9:9" x14ac:dyDescent="0.3">
      <c r="I11542" s="101"/>
    </row>
    <row r="11543" spans="9:9" x14ac:dyDescent="0.3">
      <c r="I11543" s="101"/>
    </row>
    <row r="11544" spans="9:9" x14ac:dyDescent="0.3">
      <c r="I11544" s="101"/>
    </row>
    <row r="11545" spans="9:9" x14ac:dyDescent="0.3">
      <c r="I11545" s="101"/>
    </row>
    <row r="11546" spans="9:9" x14ac:dyDescent="0.3">
      <c r="I11546" s="101"/>
    </row>
    <row r="11547" spans="9:9" x14ac:dyDescent="0.3">
      <c r="I11547" s="101"/>
    </row>
    <row r="11548" spans="9:9" x14ac:dyDescent="0.3">
      <c r="I11548" s="101"/>
    </row>
    <row r="11549" spans="9:9" x14ac:dyDescent="0.3">
      <c r="I11549" s="101"/>
    </row>
    <row r="11550" spans="9:9" x14ac:dyDescent="0.3">
      <c r="I11550" s="101"/>
    </row>
    <row r="11551" spans="9:9" x14ac:dyDescent="0.3">
      <c r="I11551" s="101"/>
    </row>
    <row r="11552" spans="9:9" x14ac:dyDescent="0.3">
      <c r="I11552" s="101"/>
    </row>
    <row r="11553" spans="9:9" x14ac:dyDescent="0.3">
      <c r="I11553" s="101"/>
    </row>
    <row r="11554" spans="9:9" x14ac:dyDescent="0.3">
      <c r="I11554" s="101"/>
    </row>
    <row r="11555" spans="9:9" x14ac:dyDescent="0.3">
      <c r="I11555" s="101"/>
    </row>
    <row r="11556" spans="9:9" x14ac:dyDescent="0.3">
      <c r="I11556" s="101"/>
    </row>
    <row r="11557" spans="9:9" x14ac:dyDescent="0.3">
      <c r="I11557" s="101"/>
    </row>
    <row r="11558" spans="9:9" x14ac:dyDescent="0.3">
      <c r="I11558" s="101"/>
    </row>
    <row r="11559" spans="9:9" x14ac:dyDescent="0.3">
      <c r="I11559" s="101"/>
    </row>
    <row r="11560" spans="9:9" x14ac:dyDescent="0.3">
      <c r="I11560" s="101"/>
    </row>
    <row r="11561" spans="9:9" x14ac:dyDescent="0.3">
      <c r="I11561" s="101"/>
    </row>
    <row r="11562" spans="9:9" x14ac:dyDescent="0.3">
      <c r="I11562" s="101"/>
    </row>
    <row r="11563" spans="9:9" x14ac:dyDescent="0.3">
      <c r="I11563" s="101"/>
    </row>
    <row r="11564" spans="9:9" x14ac:dyDescent="0.3">
      <c r="I11564" s="101"/>
    </row>
    <row r="11565" spans="9:9" x14ac:dyDescent="0.3">
      <c r="I11565" s="101"/>
    </row>
    <row r="11566" spans="9:9" x14ac:dyDescent="0.3">
      <c r="I11566" s="101"/>
    </row>
    <row r="11567" spans="9:9" x14ac:dyDescent="0.3">
      <c r="I11567" s="101"/>
    </row>
    <row r="11568" spans="9:9" x14ac:dyDescent="0.3">
      <c r="I11568" s="101"/>
    </row>
    <row r="11569" spans="9:9" x14ac:dyDescent="0.3">
      <c r="I11569" s="101"/>
    </row>
    <row r="11570" spans="9:9" x14ac:dyDescent="0.3">
      <c r="I11570" s="101"/>
    </row>
    <row r="11571" spans="9:9" x14ac:dyDescent="0.3">
      <c r="I11571" s="101"/>
    </row>
    <row r="11572" spans="9:9" x14ac:dyDescent="0.3">
      <c r="I11572" s="101"/>
    </row>
    <row r="11573" spans="9:9" x14ac:dyDescent="0.3">
      <c r="I11573" s="101"/>
    </row>
    <row r="11574" spans="9:9" x14ac:dyDescent="0.3">
      <c r="I11574" s="101"/>
    </row>
    <row r="11575" spans="9:9" x14ac:dyDescent="0.3">
      <c r="I11575" s="101"/>
    </row>
    <row r="11576" spans="9:9" x14ac:dyDescent="0.3">
      <c r="I11576" s="101"/>
    </row>
    <row r="11577" spans="9:9" x14ac:dyDescent="0.3">
      <c r="I11577" s="101"/>
    </row>
    <row r="11578" spans="9:9" x14ac:dyDescent="0.3">
      <c r="I11578" s="101"/>
    </row>
    <row r="11579" spans="9:9" x14ac:dyDescent="0.3">
      <c r="I11579" s="101"/>
    </row>
    <row r="11580" spans="9:9" x14ac:dyDescent="0.3">
      <c r="I11580" s="101"/>
    </row>
    <row r="11581" spans="9:9" x14ac:dyDescent="0.3">
      <c r="I11581" s="101"/>
    </row>
    <row r="11582" spans="9:9" x14ac:dyDescent="0.3">
      <c r="I11582" s="101"/>
    </row>
    <row r="11583" spans="9:9" x14ac:dyDescent="0.3">
      <c r="I11583" s="101"/>
    </row>
    <row r="11584" spans="9:9" x14ac:dyDescent="0.3">
      <c r="I11584" s="101"/>
    </row>
    <row r="11585" spans="9:9" x14ac:dyDescent="0.3">
      <c r="I11585" s="101"/>
    </row>
    <row r="11586" spans="9:9" x14ac:dyDescent="0.3">
      <c r="I11586" s="101"/>
    </row>
    <row r="11587" spans="9:9" x14ac:dyDescent="0.3">
      <c r="I11587" s="101"/>
    </row>
    <row r="11588" spans="9:9" x14ac:dyDescent="0.3">
      <c r="I11588" s="101"/>
    </row>
    <row r="11589" spans="9:9" x14ac:dyDescent="0.3">
      <c r="I11589" s="101"/>
    </row>
    <row r="11590" spans="9:9" x14ac:dyDescent="0.3">
      <c r="I11590" s="101"/>
    </row>
    <row r="11591" spans="9:9" x14ac:dyDescent="0.3">
      <c r="I11591" s="101"/>
    </row>
    <row r="11592" spans="9:9" x14ac:dyDescent="0.3">
      <c r="I11592" s="101"/>
    </row>
    <row r="11593" spans="9:9" x14ac:dyDescent="0.3">
      <c r="I11593" s="101"/>
    </row>
    <row r="11594" spans="9:9" x14ac:dyDescent="0.3">
      <c r="I11594" s="101"/>
    </row>
    <row r="11595" spans="9:9" x14ac:dyDescent="0.3">
      <c r="I11595" s="101"/>
    </row>
    <row r="11596" spans="9:9" x14ac:dyDescent="0.3">
      <c r="I11596" s="101"/>
    </row>
    <row r="11597" spans="9:9" x14ac:dyDescent="0.3">
      <c r="I11597" s="101"/>
    </row>
    <row r="11598" spans="9:9" x14ac:dyDescent="0.3">
      <c r="I11598" s="101"/>
    </row>
    <row r="11599" spans="9:9" x14ac:dyDescent="0.3">
      <c r="I11599" s="101"/>
    </row>
    <row r="11600" spans="9:9" x14ac:dyDescent="0.3">
      <c r="I11600" s="101"/>
    </row>
    <row r="11601" spans="9:9" x14ac:dyDescent="0.3">
      <c r="I11601" s="101"/>
    </row>
    <row r="11602" spans="9:9" x14ac:dyDescent="0.3">
      <c r="I11602" s="101"/>
    </row>
    <row r="11603" spans="9:9" x14ac:dyDescent="0.3">
      <c r="I11603" s="101"/>
    </row>
    <row r="11604" spans="9:9" x14ac:dyDescent="0.3">
      <c r="I11604" s="101"/>
    </row>
    <row r="11605" spans="9:9" x14ac:dyDescent="0.3">
      <c r="I11605" s="101"/>
    </row>
    <row r="11606" spans="9:9" x14ac:dyDescent="0.3">
      <c r="I11606" s="101"/>
    </row>
    <row r="11607" spans="9:9" x14ac:dyDescent="0.3">
      <c r="I11607" s="101"/>
    </row>
    <row r="11608" spans="9:9" x14ac:dyDescent="0.3">
      <c r="I11608" s="101"/>
    </row>
    <row r="11609" spans="9:9" x14ac:dyDescent="0.3">
      <c r="I11609" s="101"/>
    </row>
    <row r="11610" spans="9:9" x14ac:dyDescent="0.3">
      <c r="I11610" s="101"/>
    </row>
    <row r="11611" spans="9:9" x14ac:dyDescent="0.3">
      <c r="I11611" s="101"/>
    </row>
    <row r="11612" spans="9:9" x14ac:dyDescent="0.3">
      <c r="I11612" s="101"/>
    </row>
    <row r="11613" spans="9:9" x14ac:dyDescent="0.3">
      <c r="I11613" s="101"/>
    </row>
    <row r="11614" spans="9:9" x14ac:dyDescent="0.3">
      <c r="I11614" s="101"/>
    </row>
    <row r="11615" spans="9:9" x14ac:dyDescent="0.3">
      <c r="I11615" s="101"/>
    </row>
    <row r="11616" spans="9:9" x14ac:dyDescent="0.3">
      <c r="I11616" s="101"/>
    </row>
    <row r="11617" spans="9:9" x14ac:dyDescent="0.3">
      <c r="I11617" s="101"/>
    </row>
    <row r="11618" spans="9:9" x14ac:dyDescent="0.3">
      <c r="I11618" s="101"/>
    </row>
    <row r="11619" spans="9:9" x14ac:dyDescent="0.3">
      <c r="I11619" s="101"/>
    </row>
    <row r="11620" spans="9:9" x14ac:dyDescent="0.3">
      <c r="I11620" s="101"/>
    </row>
    <row r="11621" spans="9:9" x14ac:dyDescent="0.3">
      <c r="I11621" s="101"/>
    </row>
    <row r="11622" spans="9:9" x14ac:dyDescent="0.3">
      <c r="I11622" s="101"/>
    </row>
    <row r="11623" spans="9:9" x14ac:dyDescent="0.3">
      <c r="I11623" s="101"/>
    </row>
    <row r="11624" spans="9:9" x14ac:dyDescent="0.3">
      <c r="I11624" s="101"/>
    </row>
    <row r="11625" spans="9:9" x14ac:dyDescent="0.3">
      <c r="I11625" s="101"/>
    </row>
    <row r="11626" spans="9:9" x14ac:dyDescent="0.3">
      <c r="I11626" s="101"/>
    </row>
    <row r="11627" spans="9:9" x14ac:dyDescent="0.3">
      <c r="I11627" s="101"/>
    </row>
    <row r="11628" spans="9:9" x14ac:dyDescent="0.3">
      <c r="I11628" s="101"/>
    </row>
    <row r="11629" spans="9:9" x14ac:dyDescent="0.3">
      <c r="I11629" s="101"/>
    </row>
    <row r="11630" spans="9:9" x14ac:dyDescent="0.3">
      <c r="I11630" s="101"/>
    </row>
    <row r="11631" spans="9:9" x14ac:dyDescent="0.3">
      <c r="I11631" s="101"/>
    </row>
    <row r="11632" spans="9:9" x14ac:dyDescent="0.3">
      <c r="I11632" s="101"/>
    </row>
    <row r="11633" spans="9:9" x14ac:dyDescent="0.3">
      <c r="I11633" s="101"/>
    </row>
    <row r="11634" spans="9:9" x14ac:dyDescent="0.3">
      <c r="I11634" s="101"/>
    </row>
    <row r="11635" spans="9:9" x14ac:dyDescent="0.3">
      <c r="I11635" s="101"/>
    </row>
    <row r="11636" spans="9:9" x14ac:dyDescent="0.3">
      <c r="I11636" s="101"/>
    </row>
    <row r="11637" spans="9:9" x14ac:dyDescent="0.3">
      <c r="I11637" s="101"/>
    </row>
    <row r="11638" spans="9:9" x14ac:dyDescent="0.3">
      <c r="I11638" s="101"/>
    </row>
    <row r="11639" spans="9:9" x14ac:dyDescent="0.3">
      <c r="I11639" s="101"/>
    </row>
    <row r="11640" spans="9:9" x14ac:dyDescent="0.3">
      <c r="I11640" s="101"/>
    </row>
    <row r="11641" spans="9:9" x14ac:dyDescent="0.3">
      <c r="I11641" s="101"/>
    </row>
    <row r="11642" spans="9:9" x14ac:dyDescent="0.3">
      <c r="I11642" s="101"/>
    </row>
    <row r="11643" spans="9:9" x14ac:dyDescent="0.3">
      <c r="I11643" s="101"/>
    </row>
    <row r="11644" spans="9:9" x14ac:dyDescent="0.3">
      <c r="I11644" s="101"/>
    </row>
    <row r="11645" spans="9:9" x14ac:dyDescent="0.3">
      <c r="I11645" s="101"/>
    </row>
    <row r="11646" spans="9:9" x14ac:dyDescent="0.3">
      <c r="I11646" s="101"/>
    </row>
    <row r="11647" spans="9:9" x14ac:dyDescent="0.3">
      <c r="I11647" s="101"/>
    </row>
    <row r="11648" spans="9:9" x14ac:dyDescent="0.3">
      <c r="I11648" s="101"/>
    </row>
    <row r="11649" spans="9:9" x14ac:dyDescent="0.3">
      <c r="I11649" s="101"/>
    </row>
    <row r="11650" spans="9:9" x14ac:dyDescent="0.3">
      <c r="I11650" s="101"/>
    </row>
    <row r="11651" spans="9:9" x14ac:dyDescent="0.3">
      <c r="I11651" s="101"/>
    </row>
    <row r="11652" spans="9:9" x14ac:dyDescent="0.3">
      <c r="I11652" s="101"/>
    </row>
    <row r="11653" spans="9:9" x14ac:dyDescent="0.3">
      <c r="I11653" s="101"/>
    </row>
    <row r="11654" spans="9:9" x14ac:dyDescent="0.3">
      <c r="I11654" s="101"/>
    </row>
    <row r="11655" spans="9:9" x14ac:dyDescent="0.3">
      <c r="I11655" s="101"/>
    </row>
    <row r="11656" spans="9:9" x14ac:dyDescent="0.3">
      <c r="I11656" s="101"/>
    </row>
    <row r="11657" spans="9:9" x14ac:dyDescent="0.3">
      <c r="I11657" s="101"/>
    </row>
    <row r="11658" spans="9:9" x14ac:dyDescent="0.3">
      <c r="I11658" s="101"/>
    </row>
    <row r="11659" spans="9:9" x14ac:dyDescent="0.3">
      <c r="I11659" s="101"/>
    </row>
    <row r="11660" spans="9:9" x14ac:dyDescent="0.3">
      <c r="I11660" s="101"/>
    </row>
    <row r="11661" spans="9:9" x14ac:dyDescent="0.3">
      <c r="I11661" s="101"/>
    </row>
    <row r="11662" spans="9:9" x14ac:dyDescent="0.3">
      <c r="I11662" s="101"/>
    </row>
    <row r="11663" spans="9:9" x14ac:dyDescent="0.3">
      <c r="I11663" s="101"/>
    </row>
    <row r="11664" spans="9:9" x14ac:dyDescent="0.3">
      <c r="I11664" s="101"/>
    </row>
    <row r="11665" spans="9:9" x14ac:dyDescent="0.3">
      <c r="I11665" s="101"/>
    </row>
    <row r="11666" spans="9:9" x14ac:dyDescent="0.3">
      <c r="I11666" s="101"/>
    </row>
    <row r="11667" spans="9:9" x14ac:dyDescent="0.3">
      <c r="I11667" s="101"/>
    </row>
    <row r="11668" spans="9:9" x14ac:dyDescent="0.3">
      <c r="I11668" s="101"/>
    </row>
    <row r="11669" spans="9:9" x14ac:dyDescent="0.3">
      <c r="I11669" s="101"/>
    </row>
    <row r="11670" spans="9:9" x14ac:dyDescent="0.3">
      <c r="I11670" s="101"/>
    </row>
    <row r="11671" spans="9:9" x14ac:dyDescent="0.3">
      <c r="I11671" s="101"/>
    </row>
    <row r="11672" spans="9:9" x14ac:dyDescent="0.3">
      <c r="I11672" s="101"/>
    </row>
    <row r="11673" spans="9:9" x14ac:dyDescent="0.3">
      <c r="I11673" s="101"/>
    </row>
    <row r="11674" spans="9:9" x14ac:dyDescent="0.3">
      <c r="I11674" s="101"/>
    </row>
    <row r="11675" spans="9:9" x14ac:dyDescent="0.3">
      <c r="I11675" s="101"/>
    </row>
    <row r="11676" spans="9:9" x14ac:dyDescent="0.3">
      <c r="I11676" s="101"/>
    </row>
    <row r="11677" spans="9:9" x14ac:dyDescent="0.3">
      <c r="I11677" s="101"/>
    </row>
    <row r="11678" spans="9:9" x14ac:dyDescent="0.3">
      <c r="I11678" s="101"/>
    </row>
    <row r="11679" spans="9:9" x14ac:dyDescent="0.3">
      <c r="I11679" s="101"/>
    </row>
    <row r="11680" spans="9:9" x14ac:dyDescent="0.3">
      <c r="I11680" s="101"/>
    </row>
    <row r="11681" spans="9:9" x14ac:dyDescent="0.3">
      <c r="I11681" s="101"/>
    </row>
    <row r="11682" spans="9:9" x14ac:dyDescent="0.3">
      <c r="I11682" s="101"/>
    </row>
    <row r="11683" spans="9:9" x14ac:dyDescent="0.3">
      <c r="I11683" s="101"/>
    </row>
    <row r="11684" spans="9:9" x14ac:dyDescent="0.3">
      <c r="I11684" s="101"/>
    </row>
    <row r="11685" spans="9:9" x14ac:dyDescent="0.3">
      <c r="I11685" s="101"/>
    </row>
    <row r="11686" spans="9:9" x14ac:dyDescent="0.3">
      <c r="I11686" s="101"/>
    </row>
    <row r="11687" spans="9:9" x14ac:dyDescent="0.3">
      <c r="I11687" s="101"/>
    </row>
    <row r="11688" spans="9:9" x14ac:dyDescent="0.3">
      <c r="I11688" s="101"/>
    </row>
    <row r="11689" spans="9:9" x14ac:dyDescent="0.3">
      <c r="I11689" s="101"/>
    </row>
    <row r="11690" spans="9:9" x14ac:dyDescent="0.3">
      <c r="I11690" s="101"/>
    </row>
    <row r="11691" spans="9:9" x14ac:dyDescent="0.3">
      <c r="I11691" s="101"/>
    </row>
    <row r="11692" spans="9:9" x14ac:dyDescent="0.3">
      <c r="I11692" s="101"/>
    </row>
    <row r="11693" spans="9:9" x14ac:dyDescent="0.3">
      <c r="I11693" s="101"/>
    </row>
    <row r="11694" spans="9:9" x14ac:dyDescent="0.3">
      <c r="I11694" s="101"/>
    </row>
    <row r="11695" spans="9:9" x14ac:dyDescent="0.3">
      <c r="I11695" s="101"/>
    </row>
    <row r="11696" spans="9:9" x14ac:dyDescent="0.3">
      <c r="I11696" s="101"/>
    </row>
    <row r="11697" spans="9:9" x14ac:dyDescent="0.3">
      <c r="I11697" s="101"/>
    </row>
    <row r="11698" spans="9:9" x14ac:dyDescent="0.3">
      <c r="I11698" s="101"/>
    </row>
    <row r="11699" spans="9:9" x14ac:dyDescent="0.3">
      <c r="I11699" s="101"/>
    </row>
    <row r="11700" spans="9:9" x14ac:dyDescent="0.3">
      <c r="I11700" s="101"/>
    </row>
    <row r="11701" spans="9:9" x14ac:dyDescent="0.3">
      <c r="I11701" s="101"/>
    </row>
    <row r="11702" spans="9:9" x14ac:dyDescent="0.3">
      <c r="I11702" s="101"/>
    </row>
    <row r="11703" spans="9:9" x14ac:dyDescent="0.3">
      <c r="I11703" s="101"/>
    </row>
    <row r="11704" spans="9:9" x14ac:dyDescent="0.3">
      <c r="I11704" s="101"/>
    </row>
    <row r="11705" spans="9:9" x14ac:dyDescent="0.3">
      <c r="I11705" s="101"/>
    </row>
    <row r="11706" spans="9:9" x14ac:dyDescent="0.3">
      <c r="I11706" s="101"/>
    </row>
    <row r="11707" spans="9:9" x14ac:dyDescent="0.3">
      <c r="I11707" s="101"/>
    </row>
    <row r="11708" spans="9:9" x14ac:dyDescent="0.3">
      <c r="I11708" s="101"/>
    </row>
    <row r="11709" spans="9:9" x14ac:dyDescent="0.3">
      <c r="I11709" s="101"/>
    </row>
    <row r="11710" spans="9:9" x14ac:dyDescent="0.3">
      <c r="I11710" s="101"/>
    </row>
    <row r="11711" spans="9:9" x14ac:dyDescent="0.3">
      <c r="I11711" s="101"/>
    </row>
    <row r="11712" spans="9:9" x14ac:dyDescent="0.3">
      <c r="I11712" s="101"/>
    </row>
    <row r="11713" spans="9:9" x14ac:dyDescent="0.3">
      <c r="I11713" s="101"/>
    </row>
    <row r="11714" spans="9:9" x14ac:dyDescent="0.3">
      <c r="I11714" s="101"/>
    </row>
    <row r="11715" spans="9:9" x14ac:dyDescent="0.3">
      <c r="I11715" s="101"/>
    </row>
    <row r="11716" spans="9:9" x14ac:dyDescent="0.3">
      <c r="I11716" s="101"/>
    </row>
    <row r="11717" spans="9:9" x14ac:dyDescent="0.3">
      <c r="I11717" s="101"/>
    </row>
    <row r="11718" spans="9:9" x14ac:dyDescent="0.3">
      <c r="I11718" s="101"/>
    </row>
    <row r="11719" spans="9:9" x14ac:dyDescent="0.3">
      <c r="I11719" s="101"/>
    </row>
    <row r="11720" spans="9:9" x14ac:dyDescent="0.3">
      <c r="I11720" s="101"/>
    </row>
    <row r="11721" spans="9:9" x14ac:dyDescent="0.3">
      <c r="I11721" s="101"/>
    </row>
    <row r="11722" spans="9:9" x14ac:dyDescent="0.3">
      <c r="I11722" s="101"/>
    </row>
    <row r="11723" spans="9:9" x14ac:dyDescent="0.3">
      <c r="I11723" s="101"/>
    </row>
    <row r="11724" spans="9:9" x14ac:dyDescent="0.3">
      <c r="I11724" s="101"/>
    </row>
    <row r="11725" spans="9:9" x14ac:dyDescent="0.3">
      <c r="I11725" s="101"/>
    </row>
    <row r="11726" spans="9:9" x14ac:dyDescent="0.3">
      <c r="I11726" s="101"/>
    </row>
    <row r="11727" spans="9:9" x14ac:dyDescent="0.3">
      <c r="I11727" s="101"/>
    </row>
    <row r="11728" spans="9:9" x14ac:dyDescent="0.3">
      <c r="I11728" s="101"/>
    </row>
    <row r="11729" spans="9:9" x14ac:dyDescent="0.3">
      <c r="I11729" s="101"/>
    </row>
    <row r="11730" spans="9:9" x14ac:dyDescent="0.3">
      <c r="I11730" s="101"/>
    </row>
    <row r="11731" spans="9:9" x14ac:dyDescent="0.3">
      <c r="I11731" s="101"/>
    </row>
    <row r="11732" spans="9:9" x14ac:dyDescent="0.3">
      <c r="I11732" s="101"/>
    </row>
    <row r="11733" spans="9:9" x14ac:dyDescent="0.3">
      <c r="I11733" s="101"/>
    </row>
    <row r="11734" spans="9:9" x14ac:dyDescent="0.3">
      <c r="I11734" s="101"/>
    </row>
    <row r="11735" spans="9:9" x14ac:dyDescent="0.3">
      <c r="I11735" s="101"/>
    </row>
    <row r="11736" spans="9:9" x14ac:dyDescent="0.3">
      <c r="I11736" s="101"/>
    </row>
    <row r="11737" spans="9:9" x14ac:dyDescent="0.3">
      <c r="I11737" s="101"/>
    </row>
    <row r="11738" spans="9:9" x14ac:dyDescent="0.3">
      <c r="I11738" s="101"/>
    </row>
    <row r="11739" spans="9:9" x14ac:dyDescent="0.3">
      <c r="I11739" s="101"/>
    </row>
    <row r="11740" spans="9:9" x14ac:dyDescent="0.3">
      <c r="I11740" s="101"/>
    </row>
    <row r="11741" spans="9:9" x14ac:dyDescent="0.3">
      <c r="I11741" s="101"/>
    </row>
    <row r="11742" spans="9:9" x14ac:dyDescent="0.3">
      <c r="I11742" s="101"/>
    </row>
    <row r="11743" spans="9:9" x14ac:dyDescent="0.3">
      <c r="I11743" s="101"/>
    </row>
    <row r="11744" spans="9:9" x14ac:dyDescent="0.3">
      <c r="I11744" s="101"/>
    </row>
    <row r="11745" spans="9:9" x14ac:dyDescent="0.3">
      <c r="I11745" s="101"/>
    </row>
    <row r="11746" spans="9:9" x14ac:dyDescent="0.3">
      <c r="I11746" s="101"/>
    </row>
    <row r="11747" spans="9:9" x14ac:dyDescent="0.3">
      <c r="I11747" s="101"/>
    </row>
    <row r="11748" spans="9:9" x14ac:dyDescent="0.3">
      <c r="I11748" s="101"/>
    </row>
    <row r="11749" spans="9:9" x14ac:dyDescent="0.3">
      <c r="I11749" s="101"/>
    </row>
    <row r="11750" spans="9:9" x14ac:dyDescent="0.3">
      <c r="I11750" s="101"/>
    </row>
    <row r="11751" spans="9:9" x14ac:dyDescent="0.3">
      <c r="I11751" s="101"/>
    </row>
    <row r="11752" spans="9:9" x14ac:dyDescent="0.3">
      <c r="I11752" s="101"/>
    </row>
    <row r="11753" spans="9:9" x14ac:dyDescent="0.3">
      <c r="I11753" s="101"/>
    </row>
    <row r="11754" spans="9:9" x14ac:dyDescent="0.3">
      <c r="I11754" s="101"/>
    </row>
    <row r="11755" spans="9:9" x14ac:dyDescent="0.3">
      <c r="I11755" s="101"/>
    </row>
    <row r="11756" spans="9:9" x14ac:dyDescent="0.3">
      <c r="I11756" s="101"/>
    </row>
    <row r="11757" spans="9:9" x14ac:dyDescent="0.3">
      <c r="I11757" s="101"/>
    </row>
    <row r="11758" spans="9:9" x14ac:dyDescent="0.3">
      <c r="I11758" s="101"/>
    </row>
    <row r="11759" spans="9:9" x14ac:dyDescent="0.3">
      <c r="I11759" s="101"/>
    </row>
    <row r="11760" spans="9:9" x14ac:dyDescent="0.3">
      <c r="I11760" s="101"/>
    </row>
    <row r="11761" spans="9:9" x14ac:dyDescent="0.3">
      <c r="I11761" s="101"/>
    </row>
    <row r="11762" spans="9:9" x14ac:dyDescent="0.3">
      <c r="I11762" s="101"/>
    </row>
    <row r="11763" spans="9:9" x14ac:dyDescent="0.3">
      <c r="I11763" s="101"/>
    </row>
    <row r="11764" spans="9:9" x14ac:dyDescent="0.3">
      <c r="I11764" s="101"/>
    </row>
    <row r="11765" spans="9:9" x14ac:dyDescent="0.3">
      <c r="I11765" s="101"/>
    </row>
    <row r="11766" spans="9:9" x14ac:dyDescent="0.3">
      <c r="I11766" s="101"/>
    </row>
    <row r="11767" spans="9:9" x14ac:dyDescent="0.3">
      <c r="I11767" s="101"/>
    </row>
    <row r="11768" spans="9:9" x14ac:dyDescent="0.3">
      <c r="I11768" s="101"/>
    </row>
    <row r="11769" spans="9:9" x14ac:dyDescent="0.3">
      <c r="I11769" s="101"/>
    </row>
    <row r="11770" spans="9:9" x14ac:dyDescent="0.3">
      <c r="I11770" s="101"/>
    </row>
    <row r="11771" spans="9:9" x14ac:dyDescent="0.3">
      <c r="I11771" s="101"/>
    </row>
    <row r="11772" spans="9:9" x14ac:dyDescent="0.3">
      <c r="I11772" s="101"/>
    </row>
    <row r="11773" spans="9:9" x14ac:dyDescent="0.3">
      <c r="I11773" s="101"/>
    </row>
    <row r="11774" spans="9:9" x14ac:dyDescent="0.3">
      <c r="I11774" s="101"/>
    </row>
    <row r="11775" spans="9:9" x14ac:dyDescent="0.3">
      <c r="I11775" s="101"/>
    </row>
    <row r="11776" spans="9:9" x14ac:dyDescent="0.3">
      <c r="I11776" s="101"/>
    </row>
    <row r="11777" spans="9:9" x14ac:dyDescent="0.3">
      <c r="I11777" s="101"/>
    </row>
    <row r="11778" spans="9:9" x14ac:dyDescent="0.3">
      <c r="I11778" s="101"/>
    </row>
    <row r="11779" spans="9:9" x14ac:dyDescent="0.3">
      <c r="I11779" s="101"/>
    </row>
    <row r="11780" spans="9:9" x14ac:dyDescent="0.3">
      <c r="I11780" s="101"/>
    </row>
    <row r="11781" spans="9:9" x14ac:dyDescent="0.3">
      <c r="I11781" s="101"/>
    </row>
    <row r="11782" spans="9:9" x14ac:dyDescent="0.3">
      <c r="I11782" s="101"/>
    </row>
    <row r="11783" spans="9:9" x14ac:dyDescent="0.3">
      <c r="I11783" s="101"/>
    </row>
    <row r="11784" spans="9:9" x14ac:dyDescent="0.3">
      <c r="I11784" s="101"/>
    </row>
    <row r="11785" spans="9:9" x14ac:dyDescent="0.3">
      <c r="I11785" s="101"/>
    </row>
    <row r="11786" spans="9:9" x14ac:dyDescent="0.3">
      <c r="I11786" s="101"/>
    </row>
    <row r="11787" spans="9:9" x14ac:dyDescent="0.3">
      <c r="I11787" s="101"/>
    </row>
    <row r="11788" spans="9:9" x14ac:dyDescent="0.3">
      <c r="I11788" s="101"/>
    </row>
    <row r="11789" spans="9:9" x14ac:dyDescent="0.3">
      <c r="I11789" s="101"/>
    </row>
    <row r="11790" spans="9:9" x14ac:dyDescent="0.3">
      <c r="I11790" s="101"/>
    </row>
    <row r="11791" spans="9:9" x14ac:dyDescent="0.3">
      <c r="I11791" s="101"/>
    </row>
    <row r="11792" spans="9:9" x14ac:dyDescent="0.3">
      <c r="I11792" s="101"/>
    </row>
    <row r="11793" spans="9:9" x14ac:dyDescent="0.3">
      <c r="I11793" s="101"/>
    </row>
    <row r="11794" spans="9:9" x14ac:dyDescent="0.3">
      <c r="I11794" s="101"/>
    </row>
    <row r="11795" spans="9:9" x14ac:dyDescent="0.3">
      <c r="I11795" s="101"/>
    </row>
    <row r="11796" spans="9:9" x14ac:dyDescent="0.3">
      <c r="I11796" s="101"/>
    </row>
    <row r="11797" spans="9:9" x14ac:dyDescent="0.3">
      <c r="I11797" s="101"/>
    </row>
    <row r="11798" spans="9:9" x14ac:dyDescent="0.3">
      <c r="I11798" s="101"/>
    </row>
    <row r="11799" spans="9:9" x14ac:dyDescent="0.3">
      <c r="I11799" s="101"/>
    </row>
    <row r="11800" spans="9:9" x14ac:dyDescent="0.3">
      <c r="I11800" s="101"/>
    </row>
    <row r="11801" spans="9:9" x14ac:dyDescent="0.3">
      <c r="I11801" s="101"/>
    </row>
    <row r="11802" spans="9:9" x14ac:dyDescent="0.3">
      <c r="I11802" s="101"/>
    </row>
    <row r="11803" spans="9:9" x14ac:dyDescent="0.3">
      <c r="I11803" s="101"/>
    </row>
    <row r="11804" spans="9:9" x14ac:dyDescent="0.3">
      <c r="I11804" s="101"/>
    </row>
    <row r="11805" spans="9:9" x14ac:dyDescent="0.3">
      <c r="I11805" s="101"/>
    </row>
    <row r="11806" spans="9:9" x14ac:dyDescent="0.3">
      <c r="I11806" s="101"/>
    </row>
    <row r="11807" spans="9:9" x14ac:dyDescent="0.3">
      <c r="I11807" s="101"/>
    </row>
    <row r="11808" spans="9:9" x14ac:dyDescent="0.3">
      <c r="I11808" s="101"/>
    </row>
    <row r="11809" spans="9:9" x14ac:dyDescent="0.3">
      <c r="I11809" s="101"/>
    </row>
    <row r="11810" spans="9:9" x14ac:dyDescent="0.3">
      <c r="I11810" s="101"/>
    </row>
    <row r="11811" spans="9:9" x14ac:dyDescent="0.3">
      <c r="I11811" s="101"/>
    </row>
    <row r="11812" spans="9:9" x14ac:dyDescent="0.3">
      <c r="I11812" s="101"/>
    </row>
    <row r="11813" spans="9:9" x14ac:dyDescent="0.3">
      <c r="I11813" s="101"/>
    </row>
    <row r="11814" spans="9:9" x14ac:dyDescent="0.3">
      <c r="I11814" s="101"/>
    </row>
    <row r="11815" spans="9:9" x14ac:dyDescent="0.3">
      <c r="I11815" s="101"/>
    </row>
    <row r="11816" spans="9:9" x14ac:dyDescent="0.3">
      <c r="I11816" s="101"/>
    </row>
    <row r="11817" spans="9:9" x14ac:dyDescent="0.3">
      <c r="I11817" s="101"/>
    </row>
    <row r="11818" spans="9:9" x14ac:dyDescent="0.3">
      <c r="I11818" s="101"/>
    </row>
    <row r="11819" spans="9:9" x14ac:dyDescent="0.3">
      <c r="I11819" s="101"/>
    </row>
    <row r="11820" spans="9:9" x14ac:dyDescent="0.3">
      <c r="I11820" s="101"/>
    </row>
    <row r="11821" spans="9:9" x14ac:dyDescent="0.3">
      <c r="I11821" s="101"/>
    </row>
    <row r="11822" spans="9:9" x14ac:dyDescent="0.3">
      <c r="I11822" s="101"/>
    </row>
    <row r="11823" spans="9:9" x14ac:dyDescent="0.3">
      <c r="I11823" s="101"/>
    </row>
    <row r="11824" spans="9:9" x14ac:dyDescent="0.3">
      <c r="I11824" s="101"/>
    </row>
    <row r="11825" spans="9:9" x14ac:dyDescent="0.3">
      <c r="I11825" s="101"/>
    </row>
    <row r="11826" spans="9:9" x14ac:dyDescent="0.3">
      <c r="I11826" s="101"/>
    </row>
    <row r="11827" spans="9:9" x14ac:dyDescent="0.3">
      <c r="I11827" s="101"/>
    </row>
    <row r="11828" spans="9:9" x14ac:dyDescent="0.3">
      <c r="I11828" s="101"/>
    </row>
    <row r="11829" spans="9:9" x14ac:dyDescent="0.3">
      <c r="I11829" s="101"/>
    </row>
    <row r="11830" spans="9:9" x14ac:dyDescent="0.3">
      <c r="I11830" s="101"/>
    </row>
    <row r="11831" spans="9:9" x14ac:dyDescent="0.3">
      <c r="I11831" s="101"/>
    </row>
    <row r="11832" spans="9:9" x14ac:dyDescent="0.3">
      <c r="I11832" s="101"/>
    </row>
    <row r="11833" spans="9:9" x14ac:dyDescent="0.3">
      <c r="I11833" s="101"/>
    </row>
    <row r="11834" spans="9:9" x14ac:dyDescent="0.3">
      <c r="I11834" s="101"/>
    </row>
    <row r="11835" spans="9:9" x14ac:dyDescent="0.3">
      <c r="I11835" s="101"/>
    </row>
    <row r="11836" spans="9:9" x14ac:dyDescent="0.3">
      <c r="I11836" s="101"/>
    </row>
    <row r="11837" spans="9:9" x14ac:dyDescent="0.3">
      <c r="I11837" s="101"/>
    </row>
    <row r="11838" spans="9:9" x14ac:dyDescent="0.3">
      <c r="I11838" s="101"/>
    </row>
    <row r="11839" spans="9:9" x14ac:dyDescent="0.3">
      <c r="I11839" s="101"/>
    </row>
    <row r="11840" spans="9:9" x14ac:dyDescent="0.3">
      <c r="I11840" s="101"/>
    </row>
    <row r="11841" spans="9:9" x14ac:dyDescent="0.3">
      <c r="I11841" s="101"/>
    </row>
    <row r="11842" spans="9:9" x14ac:dyDescent="0.3">
      <c r="I11842" s="101"/>
    </row>
    <row r="11843" spans="9:9" x14ac:dyDescent="0.3">
      <c r="I11843" s="101"/>
    </row>
    <row r="11844" spans="9:9" x14ac:dyDescent="0.3">
      <c r="I11844" s="101"/>
    </row>
    <row r="11845" spans="9:9" x14ac:dyDescent="0.3">
      <c r="I11845" s="101"/>
    </row>
    <row r="11846" spans="9:9" x14ac:dyDescent="0.3">
      <c r="I11846" s="101"/>
    </row>
    <row r="11847" spans="9:9" x14ac:dyDescent="0.3">
      <c r="I11847" s="101"/>
    </row>
    <row r="11848" spans="9:9" x14ac:dyDescent="0.3">
      <c r="I11848" s="101"/>
    </row>
    <row r="11849" spans="9:9" x14ac:dyDescent="0.3">
      <c r="I11849" s="101"/>
    </row>
    <row r="11850" spans="9:9" x14ac:dyDescent="0.3">
      <c r="I11850" s="101"/>
    </row>
    <row r="11851" spans="9:9" x14ac:dyDescent="0.3">
      <c r="I11851" s="101"/>
    </row>
    <row r="11852" spans="9:9" x14ac:dyDescent="0.3">
      <c r="I11852" s="101"/>
    </row>
    <row r="11853" spans="9:9" x14ac:dyDescent="0.3">
      <c r="I11853" s="101"/>
    </row>
    <row r="11854" spans="9:9" x14ac:dyDescent="0.3">
      <c r="I11854" s="101"/>
    </row>
    <row r="11855" spans="9:9" x14ac:dyDescent="0.3">
      <c r="I11855" s="101"/>
    </row>
    <row r="11856" spans="9:9" x14ac:dyDescent="0.3">
      <c r="I11856" s="101"/>
    </row>
    <row r="11857" spans="9:9" x14ac:dyDescent="0.3">
      <c r="I11857" s="101"/>
    </row>
    <row r="11858" spans="9:9" x14ac:dyDescent="0.3">
      <c r="I11858" s="101"/>
    </row>
    <row r="11859" spans="9:9" x14ac:dyDescent="0.3">
      <c r="I11859" s="101"/>
    </row>
    <row r="11860" spans="9:9" x14ac:dyDescent="0.3">
      <c r="I11860" s="101"/>
    </row>
    <row r="11861" spans="9:9" x14ac:dyDescent="0.3">
      <c r="I11861" s="101"/>
    </row>
    <row r="11862" spans="9:9" x14ac:dyDescent="0.3">
      <c r="I11862" s="101"/>
    </row>
    <row r="11863" spans="9:9" x14ac:dyDescent="0.3">
      <c r="I11863" s="101"/>
    </row>
    <row r="11864" spans="9:9" x14ac:dyDescent="0.3">
      <c r="I11864" s="101"/>
    </row>
    <row r="11865" spans="9:9" x14ac:dyDescent="0.3">
      <c r="I11865" s="101"/>
    </row>
    <row r="11866" spans="9:9" x14ac:dyDescent="0.3">
      <c r="I11866" s="101"/>
    </row>
    <row r="11867" spans="9:9" x14ac:dyDescent="0.3">
      <c r="I11867" s="101"/>
    </row>
    <row r="11868" spans="9:9" x14ac:dyDescent="0.3">
      <c r="I11868" s="101"/>
    </row>
    <row r="11869" spans="9:9" x14ac:dyDescent="0.3">
      <c r="I11869" s="101"/>
    </row>
    <row r="11870" spans="9:9" x14ac:dyDescent="0.3">
      <c r="I11870" s="101"/>
    </row>
    <row r="11871" spans="9:9" x14ac:dyDescent="0.3">
      <c r="I11871" s="101"/>
    </row>
    <row r="11872" spans="9:9" x14ac:dyDescent="0.3">
      <c r="I11872" s="101"/>
    </row>
    <row r="11873" spans="9:9" x14ac:dyDescent="0.3">
      <c r="I11873" s="101"/>
    </row>
    <row r="11874" spans="9:9" x14ac:dyDescent="0.3">
      <c r="I11874" s="101"/>
    </row>
    <row r="11875" spans="9:9" x14ac:dyDescent="0.3">
      <c r="I11875" s="101"/>
    </row>
    <row r="11876" spans="9:9" x14ac:dyDescent="0.3">
      <c r="I11876" s="101"/>
    </row>
    <row r="11877" spans="9:9" x14ac:dyDescent="0.3">
      <c r="I11877" s="101"/>
    </row>
    <row r="11878" spans="9:9" x14ac:dyDescent="0.3">
      <c r="I11878" s="101"/>
    </row>
    <row r="11879" spans="9:9" x14ac:dyDescent="0.3">
      <c r="I11879" s="101"/>
    </row>
    <row r="11880" spans="9:9" x14ac:dyDescent="0.3">
      <c r="I11880" s="101"/>
    </row>
    <row r="11881" spans="9:9" x14ac:dyDescent="0.3">
      <c r="I11881" s="101"/>
    </row>
    <row r="11882" spans="9:9" x14ac:dyDescent="0.3">
      <c r="I11882" s="101"/>
    </row>
    <row r="11883" spans="9:9" x14ac:dyDescent="0.3">
      <c r="I11883" s="101"/>
    </row>
    <row r="11884" spans="9:9" x14ac:dyDescent="0.3">
      <c r="I11884" s="101"/>
    </row>
    <row r="11885" spans="9:9" x14ac:dyDescent="0.3">
      <c r="I11885" s="101"/>
    </row>
    <row r="11886" spans="9:9" x14ac:dyDescent="0.3">
      <c r="I11886" s="101"/>
    </row>
    <row r="11887" spans="9:9" x14ac:dyDescent="0.3">
      <c r="I11887" s="101"/>
    </row>
    <row r="11888" spans="9:9" x14ac:dyDescent="0.3">
      <c r="I11888" s="101"/>
    </row>
    <row r="11889" spans="9:9" x14ac:dyDescent="0.3">
      <c r="I11889" s="101"/>
    </row>
    <row r="11890" spans="9:9" x14ac:dyDescent="0.3">
      <c r="I11890" s="101"/>
    </row>
    <row r="11891" spans="9:9" x14ac:dyDescent="0.3">
      <c r="I11891" s="101"/>
    </row>
    <row r="11892" spans="9:9" x14ac:dyDescent="0.3">
      <c r="I11892" s="101"/>
    </row>
    <row r="11893" spans="9:9" x14ac:dyDescent="0.3">
      <c r="I11893" s="101"/>
    </row>
    <row r="11894" spans="9:9" x14ac:dyDescent="0.3">
      <c r="I11894" s="101"/>
    </row>
    <row r="11895" spans="9:9" x14ac:dyDescent="0.3">
      <c r="I11895" s="101"/>
    </row>
    <row r="11896" spans="9:9" x14ac:dyDescent="0.3">
      <c r="I11896" s="101"/>
    </row>
    <row r="11897" spans="9:9" x14ac:dyDescent="0.3">
      <c r="I11897" s="101"/>
    </row>
    <row r="11898" spans="9:9" x14ac:dyDescent="0.3">
      <c r="I11898" s="101"/>
    </row>
    <row r="11899" spans="9:9" x14ac:dyDescent="0.3">
      <c r="I11899" s="101"/>
    </row>
    <row r="11900" spans="9:9" x14ac:dyDescent="0.3">
      <c r="I11900" s="101"/>
    </row>
    <row r="11901" spans="9:9" x14ac:dyDescent="0.3">
      <c r="I11901" s="101"/>
    </row>
    <row r="11902" spans="9:9" x14ac:dyDescent="0.3">
      <c r="I11902" s="101"/>
    </row>
    <row r="11903" spans="9:9" x14ac:dyDescent="0.3">
      <c r="I11903" s="101"/>
    </row>
    <row r="11904" spans="9:9" x14ac:dyDescent="0.3">
      <c r="I11904" s="101"/>
    </row>
    <row r="11905" spans="9:9" x14ac:dyDescent="0.3">
      <c r="I11905" s="101"/>
    </row>
    <row r="11906" spans="9:9" x14ac:dyDescent="0.3">
      <c r="I11906" s="101"/>
    </row>
    <row r="11907" spans="9:9" x14ac:dyDescent="0.3">
      <c r="I11907" s="101"/>
    </row>
    <row r="11908" spans="9:9" x14ac:dyDescent="0.3">
      <c r="I11908" s="101"/>
    </row>
    <row r="11909" spans="9:9" x14ac:dyDescent="0.3">
      <c r="I11909" s="101"/>
    </row>
    <row r="11910" spans="9:9" x14ac:dyDescent="0.3">
      <c r="I11910" s="101"/>
    </row>
    <row r="11911" spans="9:9" x14ac:dyDescent="0.3">
      <c r="I11911" s="101"/>
    </row>
    <row r="11912" spans="9:9" x14ac:dyDescent="0.3">
      <c r="I11912" s="101"/>
    </row>
    <row r="11913" spans="9:9" x14ac:dyDescent="0.3">
      <c r="I11913" s="101"/>
    </row>
    <row r="11914" spans="9:9" x14ac:dyDescent="0.3">
      <c r="I11914" s="101"/>
    </row>
    <row r="11915" spans="9:9" x14ac:dyDescent="0.3">
      <c r="I11915" s="101"/>
    </row>
    <row r="11916" spans="9:9" x14ac:dyDescent="0.3">
      <c r="I11916" s="101"/>
    </row>
    <row r="11917" spans="9:9" x14ac:dyDescent="0.3">
      <c r="I11917" s="101"/>
    </row>
    <row r="11918" spans="9:9" x14ac:dyDescent="0.3">
      <c r="I11918" s="101"/>
    </row>
    <row r="11919" spans="9:9" x14ac:dyDescent="0.3">
      <c r="I11919" s="101"/>
    </row>
    <row r="11920" spans="9:9" x14ac:dyDescent="0.3">
      <c r="I11920" s="101"/>
    </row>
    <row r="11921" spans="9:9" x14ac:dyDescent="0.3">
      <c r="I11921" s="101"/>
    </row>
    <row r="11922" spans="9:9" x14ac:dyDescent="0.3">
      <c r="I11922" s="101"/>
    </row>
    <row r="11923" spans="9:9" x14ac:dyDescent="0.3">
      <c r="I11923" s="101"/>
    </row>
    <row r="11924" spans="9:9" x14ac:dyDescent="0.3">
      <c r="I11924" s="101"/>
    </row>
    <row r="11925" spans="9:9" x14ac:dyDescent="0.3">
      <c r="I11925" s="101"/>
    </row>
    <row r="11926" spans="9:9" x14ac:dyDescent="0.3">
      <c r="I11926" s="101"/>
    </row>
    <row r="11927" spans="9:9" x14ac:dyDescent="0.3">
      <c r="I11927" s="101"/>
    </row>
    <row r="11928" spans="9:9" x14ac:dyDescent="0.3">
      <c r="I11928" s="101"/>
    </row>
    <row r="11929" spans="9:9" x14ac:dyDescent="0.3">
      <c r="I11929" s="101"/>
    </row>
    <row r="11930" spans="9:9" x14ac:dyDescent="0.3">
      <c r="I11930" s="101"/>
    </row>
    <row r="11931" spans="9:9" x14ac:dyDescent="0.3">
      <c r="I11931" s="101"/>
    </row>
    <row r="11932" spans="9:9" x14ac:dyDescent="0.3">
      <c r="I11932" s="101"/>
    </row>
    <row r="11933" spans="9:9" x14ac:dyDescent="0.3">
      <c r="I11933" s="101"/>
    </row>
    <row r="11934" spans="9:9" x14ac:dyDescent="0.3">
      <c r="I11934" s="101"/>
    </row>
    <row r="11935" spans="9:9" x14ac:dyDescent="0.3">
      <c r="I11935" s="101"/>
    </row>
    <row r="11936" spans="9:9" x14ac:dyDescent="0.3">
      <c r="I11936" s="101"/>
    </row>
    <row r="11937" spans="9:9" x14ac:dyDescent="0.3">
      <c r="I11937" s="101"/>
    </row>
    <row r="11938" spans="9:9" x14ac:dyDescent="0.3">
      <c r="I11938" s="101"/>
    </row>
    <row r="11939" spans="9:9" x14ac:dyDescent="0.3">
      <c r="I11939" s="101"/>
    </row>
    <row r="11940" spans="9:9" x14ac:dyDescent="0.3">
      <c r="I11940" s="101"/>
    </row>
    <row r="11941" spans="9:9" x14ac:dyDescent="0.3">
      <c r="I11941" s="101"/>
    </row>
    <row r="11942" spans="9:9" x14ac:dyDescent="0.3">
      <c r="I11942" s="101"/>
    </row>
    <row r="11943" spans="9:9" x14ac:dyDescent="0.3">
      <c r="I11943" s="101"/>
    </row>
    <row r="11944" spans="9:9" x14ac:dyDescent="0.3">
      <c r="I11944" s="101"/>
    </row>
    <row r="11945" spans="9:9" x14ac:dyDescent="0.3">
      <c r="I11945" s="101"/>
    </row>
    <row r="11946" spans="9:9" x14ac:dyDescent="0.3">
      <c r="I11946" s="101"/>
    </row>
    <row r="11947" spans="9:9" x14ac:dyDescent="0.3">
      <c r="I11947" s="101"/>
    </row>
    <row r="11948" spans="9:9" x14ac:dyDescent="0.3">
      <c r="I11948" s="101"/>
    </row>
    <row r="11949" spans="9:9" x14ac:dyDescent="0.3">
      <c r="I11949" s="101"/>
    </row>
    <row r="11950" spans="9:9" x14ac:dyDescent="0.3">
      <c r="I11950" s="101"/>
    </row>
    <row r="11951" spans="9:9" x14ac:dyDescent="0.3">
      <c r="I11951" s="101"/>
    </row>
    <row r="11952" spans="9:9" x14ac:dyDescent="0.3">
      <c r="I11952" s="101"/>
    </row>
    <row r="11953" spans="9:9" x14ac:dyDescent="0.3">
      <c r="I11953" s="101"/>
    </row>
    <row r="11954" spans="9:9" x14ac:dyDescent="0.3">
      <c r="I11954" s="101"/>
    </row>
    <row r="11955" spans="9:9" x14ac:dyDescent="0.3">
      <c r="I11955" s="101"/>
    </row>
    <row r="11956" spans="9:9" x14ac:dyDescent="0.3">
      <c r="I11956" s="101"/>
    </row>
    <row r="11957" spans="9:9" x14ac:dyDescent="0.3">
      <c r="I11957" s="101"/>
    </row>
    <row r="11958" spans="9:9" x14ac:dyDescent="0.3">
      <c r="I11958" s="101"/>
    </row>
    <row r="11959" spans="9:9" x14ac:dyDescent="0.3">
      <c r="I11959" s="101"/>
    </row>
    <row r="11960" spans="9:9" x14ac:dyDescent="0.3">
      <c r="I11960" s="101"/>
    </row>
    <row r="11961" spans="9:9" x14ac:dyDescent="0.3">
      <c r="I11961" s="101"/>
    </row>
    <row r="11962" spans="9:9" x14ac:dyDescent="0.3">
      <c r="I11962" s="101"/>
    </row>
    <row r="11963" spans="9:9" x14ac:dyDescent="0.3">
      <c r="I11963" s="101"/>
    </row>
    <row r="11964" spans="9:9" x14ac:dyDescent="0.3">
      <c r="I11964" s="101"/>
    </row>
    <row r="11965" spans="9:9" x14ac:dyDescent="0.3">
      <c r="I11965" s="101"/>
    </row>
    <row r="11966" spans="9:9" x14ac:dyDescent="0.3">
      <c r="I11966" s="101"/>
    </row>
    <row r="11967" spans="9:9" x14ac:dyDescent="0.3">
      <c r="I11967" s="101"/>
    </row>
    <row r="11968" spans="9:9" x14ac:dyDescent="0.3">
      <c r="I11968" s="101"/>
    </row>
    <row r="11969" spans="9:9" x14ac:dyDescent="0.3">
      <c r="I11969" s="101"/>
    </row>
    <row r="11970" spans="9:9" x14ac:dyDescent="0.3">
      <c r="I11970" s="101"/>
    </row>
    <row r="11971" spans="9:9" x14ac:dyDescent="0.3">
      <c r="I11971" s="101"/>
    </row>
    <row r="11972" spans="9:9" x14ac:dyDescent="0.3">
      <c r="I11972" s="101"/>
    </row>
    <row r="11973" spans="9:9" x14ac:dyDescent="0.3">
      <c r="I11973" s="101"/>
    </row>
    <row r="11974" spans="9:9" x14ac:dyDescent="0.3">
      <c r="I11974" s="101"/>
    </row>
    <row r="11975" spans="9:9" x14ac:dyDescent="0.3">
      <c r="I11975" s="101"/>
    </row>
    <row r="11976" spans="9:9" x14ac:dyDescent="0.3">
      <c r="I11976" s="101"/>
    </row>
    <row r="11977" spans="9:9" x14ac:dyDescent="0.3">
      <c r="I11977" s="101"/>
    </row>
    <row r="11978" spans="9:9" x14ac:dyDescent="0.3">
      <c r="I11978" s="101"/>
    </row>
    <row r="11979" spans="9:9" x14ac:dyDescent="0.3">
      <c r="I11979" s="101"/>
    </row>
    <row r="11980" spans="9:9" x14ac:dyDescent="0.3">
      <c r="I11980" s="101"/>
    </row>
    <row r="11981" spans="9:9" x14ac:dyDescent="0.3">
      <c r="I11981" s="101"/>
    </row>
    <row r="11982" spans="9:9" x14ac:dyDescent="0.3">
      <c r="I11982" s="101"/>
    </row>
    <row r="11983" spans="9:9" x14ac:dyDescent="0.3">
      <c r="I11983" s="101"/>
    </row>
    <row r="11984" spans="9:9" x14ac:dyDescent="0.3">
      <c r="I11984" s="101"/>
    </row>
    <row r="11985" spans="9:9" x14ac:dyDescent="0.3">
      <c r="I11985" s="101"/>
    </row>
    <row r="11986" spans="9:9" x14ac:dyDescent="0.3">
      <c r="I11986" s="101"/>
    </row>
    <row r="11987" spans="9:9" x14ac:dyDescent="0.3">
      <c r="I11987" s="101"/>
    </row>
    <row r="11988" spans="9:9" x14ac:dyDescent="0.3">
      <c r="I11988" s="101"/>
    </row>
    <row r="11989" spans="9:9" x14ac:dyDescent="0.3">
      <c r="I11989" s="101"/>
    </row>
    <row r="11990" spans="9:9" x14ac:dyDescent="0.3">
      <c r="I11990" s="101"/>
    </row>
    <row r="11991" spans="9:9" x14ac:dyDescent="0.3">
      <c r="I11991" s="101"/>
    </row>
    <row r="11992" spans="9:9" x14ac:dyDescent="0.3">
      <c r="I11992" s="101"/>
    </row>
    <row r="11993" spans="9:9" x14ac:dyDescent="0.3">
      <c r="I11993" s="101"/>
    </row>
    <row r="11994" spans="9:9" x14ac:dyDescent="0.3">
      <c r="I11994" s="101"/>
    </row>
    <row r="11995" spans="9:9" x14ac:dyDescent="0.3">
      <c r="I11995" s="101"/>
    </row>
    <row r="11996" spans="9:9" x14ac:dyDescent="0.3">
      <c r="I11996" s="101"/>
    </row>
    <row r="11997" spans="9:9" x14ac:dyDescent="0.3">
      <c r="I11997" s="101"/>
    </row>
    <row r="11998" spans="9:9" x14ac:dyDescent="0.3">
      <c r="I11998" s="101"/>
    </row>
    <row r="11999" spans="9:9" x14ac:dyDescent="0.3">
      <c r="I11999" s="101"/>
    </row>
    <row r="12000" spans="9:9" x14ac:dyDescent="0.3">
      <c r="I12000" s="101"/>
    </row>
    <row r="12001" spans="9:9" x14ac:dyDescent="0.3">
      <c r="I12001" s="101"/>
    </row>
    <row r="12002" spans="9:9" x14ac:dyDescent="0.3">
      <c r="I12002" s="101"/>
    </row>
    <row r="12003" spans="9:9" x14ac:dyDescent="0.3">
      <c r="I12003" s="101"/>
    </row>
    <row r="12004" spans="9:9" x14ac:dyDescent="0.3">
      <c r="I12004" s="101"/>
    </row>
    <row r="12005" spans="9:9" x14ac:dyDescent="0.3">
      <c r="I12005" s="101"/>
    </row>
    <row r="12006" spans="9:9" x14ac:dyDescent="0.3">
      <c r="I12006" s="101"/>
    </row>
    <row r="12007" spans="9:9" x14ac:dyDescent="0.3">
      <c r="I12007" s="101"/>
    </row>
    <row r="12008" spans="9:9" x14ac:dyDescent="0.3">
      <c r="I12008" s="101"/>
    </row>
    <row r="12009" spans="9:9" x14ac:dyDescent="0.3">
      <c r="I12009" s="101"/>
    </row>
    <row r="12010" spans="9:9" x14ac:dyDescent="0.3">
      <c r="I12010" s="101"/>
    </row>
    <row r="12011" spans="9:9" x14ac:dyDescent="0.3">
      <c r="I12011" s="101"/>
    </row>
    <row r="12012" spans="9:9" x14ac:dyDescent="0.3">
      <c r="I12012" s="101"/>
    </row>
    <row r="12013" spans="9:9" x14ac:dyDescent="0.3">
      <c r="I12013" s="101"/>
    </row>
    <row r="12014" spans="9:9" x14ac:dyDescent="0.3">
      <c r="I12014" s="101"/>
    </row>
    <row r="12015" spans="9:9" x14ac:dyDescent="0.3">
      <c r="I12015" s="101"/>
    </row>
    <row r="12016" spans="9:9" x14ac:dyDescent="0.3">
      <c r="I12016" s="101"/>
    </row>
    <row r="12017" spans="9:9" x14ac:dyDescent="0.3">
      <c r="I12017" s="101"/>
    </row>
    <row r="12018" spans="9:9" x14ac:dyDescent="0.3">
      <c r="I12018" s="101"/>
    </row>
    <row r="12019" spans="9:9" x14ac:dyDescent="0.3">
      <c r="I12019" s="101"/>
    </row>
    <row r="12020" spans="9:9" x14ac:dyDescent="0.3">
      <c r="I12020" s="101"/>
    </row>
    <row r="12021" spans="9:9" x14ac:dyDescent="0.3">
      <c r="I12021" s="101"/>
    </row>
    <row r="12022" spans="9:9" x14ac:dyDescent="0.3">
      <c r="I12022" s="101"/>
    </row>
    <row r="12023" spans="9:9" x14ac:dyDescent="0.3">
      <c r="I12023" s="101"/>
    </row>
    <row r="12024" spans="9:9" x14ac:dyDescent="0.3">
      <c r="I12024" s="101"/>
    </row>
    <row r="12025" spans="9:9" x14ac:dyDescent="0.3">
      <c r="I12025" s="101"/>
    </row>
    <row r="12026" spans="9:9" x14ac:dyDescent="0.3">
      <c r="I12026" s="101"/>
    </row>
    <row r="12027" spans="9:9" x14ac:dyDescent="0.3">
      <c r="I12027" s="101"/>
    </row>
    <row r="12028" spans="9:9" x14ac:dyDescent="0.3">
      <c r="I12028" s="101"/>
    </row>
    <row r="12029" spans="9:9" x14ac:dyDescent="0.3">
      <c r="I12029" s="101"/>
    </row>
    <row r="12030" spans="9:9" x14ac:dyDescent="0.3">
      <c r="I12030" s="101"/>
    </row>
    <row r="12031" spans="9:9" x14ac:dyDescent="0.3">
      <c r="I12031" s="101"/>
    </row>
    <row r="12032" spans="9:9" x14ac:dyDescent="0.3">
      <c r="I12032" s="101"/>
    </row>
    <row r="12033" spans="9:9" x14ac:dyDescent="0.3">
      <c r="I12033" s="101"/>
    </row>
    <row r="12034" spans="9:9" x14ac:dyDescent="0.3">
      <c r="I12034" s="101"/>
    </row>
    <row r="12035" spans="9:9" x14ac:dyDescent="0.3">
      <c r="I12035" s="101"/>
    </row>
    <row r="12036" spans="9:9" x14ac:dyDescent="0.3">
      <c r="I12036" s="101"/>
    </row>
    <row r="12037" spans="9:9" x14ac:dyDescent="0.3">
      <c r="I12037" s="101"/>
    </row>
    <row r="12038" spans="9:9" x14ac:dyDescent="0.3">
      <c r="I12038" s="101"/>
    </row>
    <row r="12039" spans="9:9" x14ac:dyDescent="0.3">
      <c r="I12039" s="101"/>
    </row>
    <row r="12040" spans="9:9" x14ac:dyDescent="0.3">
      <c r="I12040" s="101"/>
    </row>
    <row r="12041" spans="9:9" x14ac:dyDescent="0.3">
      <c r="I12041" s="101"/>
    </row>
    <row r="12042" spans="9:9" x14ac:dyDescent="0.3">
      <c r="I12042" s="101"/>
    </row>
    <row r="12043" spans="9:9" x14ac:dyDescent="0.3">
      <c r="I12043" s="101"/>
    </row>
    <row r="12044" spans="9:9" x14ac:dyDescent="0.3">
      <c r="I12044" s="101"/>
    </row>
    <row r="12045" spans="9:9" x14ac:dyDescent="0.3">
      <c r="I12045" s="101"/>
    </row>
    <row r="12046" spans="9:9" x14ac:dyDescent="0.3">
      <c r="I12046" s="101"/>
    </row>
    <row r="12047" spans="9:9" x14ac:dyDescent="0.3">
      <c r="I12047" s="101"/>
    </row>
    <row r="12048" spans="9:9" x14ac:dyDescent="0.3">
      <c r="I12048" s="101"/>
    </row>
    <row r="12049" spans="9:9" x14ac:dyDescent="0.3">
      <c r="I12049" s="101"/>
    </row>
    <row r="12050" spans="9:9" x14ac:dyDescent="0.3">
      <c r="I12050" s="101"/>
    </row>
    <row r="12051" spans="9:9" x14ac:dyDescent="0.3">
      <c r="I12051" s="101"/>
    </row>
    <row r="12052" spans="9:9" x14ac:dyDescent="0.3">
      <c r="I12052" s="101"/>
    </row>
    <row r="12053" spans="9:9" x14ac:dyDescent="0.3">
      <c r="I12053" s="101"/>
    </row>
    <row r="12054" spans="9:9" x14ac:dyDescent="0.3">
      <c r="I12054" s="101"/>
    </row>
    <row r="12055" spans="9:9" x14ac:dyDescent="0.3">
      <c r="I12055" s="101"/>
    </row>
    <row r="12056" spans="9:9" x14ac:dyDescent="0.3">
      <c r="I12056" s="101"/>
    </row>
    <row r="12057" spans="9:9" x14ac:dyDescent="0.3">
      <c r="I12057" s="101"/>
    </row>
    <row r="12058" spans="9:9" x14ac:dyDescent="0.3">
      <c r="I12058" s="101"/>
    </row>
    <row r="12059" spans="9:9" x14ac:dyDescent="0.3">
      <c r="I12059" s="101"/>
    </row>
    <row r="12060" spans="9:9" x14ac:dyDescent="0.3">
      <c r="I12060" s="101"/>
    </row>
    <row r="12061" spans="9:9" x14ac:dyDescent="0.3">
      <c r="I12061" s="101"/>
    </row>
    <row r="12062" spans="9:9" x14ac:dyDescent="0.3">
      <c r="I12062" s="101"/>
    </row>
    <row r="12063" spans="9:9" x14ac:dyDescent="0.3">
      <c r="I12063" s="101"/>
    </row>
    <row r="12064" spans="9:9" x14ac:dyDescent="0.3">
      <c r="I12064" s="101"/>
    </row>
    <row r="12065" spans="9:9" x14ac:dyDescent="0.3">
      <c r="I12065" s="101"/>
    </row>
    <row r="12066" spans="9:9" x14ac:dyDescent="0.3">
      <c r="I12066" s="101"/>
    </row>
    <row r="12067" spans="9:9" x14ac:dyDescent="0.3">
      <c r="I12067" s="101"/>
    </row>
    <row r="12068" spans="9:9" x14ac:dyDescent="0.3">
      <c r="I12068" s="101"/>
    </row>
    <row r="12069" spans="9:9" x14ac:dyDescent="0.3">
      <c r="I12069" s="101"/>
    </row>
    <row r="12070" spans="9:9" x14ac:dyDescent="0.3">
      <c r="I12070" s="101"/>
    </row>
    <row r="12071" spans="9:9" x14ac:dyDescent="0.3">
      <c r="I12071" s="101"/>
    </row>
    <row r="12072" spans="9:9" x14ac:dyDescent="0.3">
      <c r="I12072" s="101"/>
    </row>
    <row r="12073" spans="9:9" x14ac:dyDescent="0.3">
      <c r="I12073" s="101"/>
    </row>
    <row r="12074" spans="9:9" x14ac:dyDescent="0.3">
      <c r="I12074" s="101"/>
    </row>
    <row r="12075" spans="9:9" x14ac:dyDescent="0.3">
      <c r="I12075" s="101"/>
    </row>
    <row r="12076" spans="9:9" x14ac:dyDescent="0.3">
      <c r="I12076" s="101"/>
    </row>
    <row r="12077" spans="9:9" x14ac:dyDescent="0.3">
      <c r="I12077" s="101"/>
    </row>
    <row r="12078" spans="9:9" x14ac:dyDescent="0.3">
      <c r="I12078" s="101"/>
    </row>
    <row r="12079" spans="9:9" x14ac:dyDescent="0.3">
      <c r="I12079" s="101"/>
    </row>
    <row r="12080" spans="9:9" x14ac:dyDescent="0.3">
      <c r="I12080" s="101"/>
    </row>
    <row r="12081" spans="9:9" x14ac:dyDescent="0.3">
      <c r="I12081" s="101"/>
    </row>
    <row r="12082" spans="9:9" x14ac:dyDescent="0.3">
      <c r="I12082" s="101"/>
    </row>
    <row r="12083" spans="9:9" x14ac:dyDescent="0.3">
      <c r="I12083" s="101"/>
    </row>
    <row r="12084" spans="9:9" x14ac:dyDescent="0.3">
      <c r="I12084" s="101"/>
    </row>
    <row r="12085" spans="9:9" x14ac:dyDescent="0.3">
      <c r="I12085" s="101"/>
    </row>
    <row r="12086" spans="9:9" x14ac:dyDescent="0.3">
      <c r="I12086" s="101"/>
    </row>
    <row r="12087" spans="9:9" x14ac:dyDescent="0.3">
      <c r="I12087" s="101"/>
    </row>
    <row r="12088" spans="9:9" x14ac:dyDescent="0.3">
      <c r="I12088" s="101"/>
    </row>
    <row r="12089" spans="9:9" x14ac:dyDescent="0.3">
      <c r="I12089" s="101"/>
    </row>
    <row r="12090" spans="9:9" x14ac:dyDescent="0.3">
      <c r="I12090" s="101"/>
    </row>
    <row r="12091" spans="9:9" x14ac:dyDescent="0.3">
      <c r="I12091" s="101"/>
    </row>
    <row r="12092" spans="9:9" x14ac:dyDescent="0.3">
      <c r="I12092" s="101"/>
    </row>
    <row r="12093" spans="9:9" x14ac:dyDescent="0.3">
      <c r="I12093" s="101"/>
    </row>
    <row r="12094" spans="9:9" x14ac:dyDescent="0.3">
      <c r="I12094" s="101"/>
    </row>
    <row r="12095" spans="9:9" x14ac:dyDescent="0.3">
      <c r="I12095" s="101"/>
    </row>
    <row r="12096" spans="9:9" x14ac:dyDescent="0.3">
      <c r="I12096" s="101"/>
    </row>
    <row r="12097" spans="9:9" x14ac:dyDescent="0.3">
      <c r="I12097" s="101"/>
    </row>
    <row r="12098" spans="9:9" x14ac:dyDescent="0.3">
      <c r="I12098" s="101"/>
    </row>
    <row r="12099" spans="9:9" x14ac:dyDescent="0.3">
      <c r="I12099" s="101"/>
    </row>
    <row r="12100" spans="9:9" x14ac:dyDescent="0.3">
      <c r="I12100" s="101"/>
    </row>
    <row r="12101" spans="9:9" x14ac:dyDescent="0.3">
      <c r="I12101" s="101"/>
    </row>
    <row r="12102" spans="9:9" x14ac:dyDescent="0.3">
      <c r="I12102" s="101"/>
    </row>
    <row r="12103" spans="9:9" x14ac:dyDescent="0.3">
      <c r="I12103" s="101"/>
    </row>
    <row r="12104" spans="9:9" x14ac:dyDescent="0.3">
      <c r="I12104" s="101"/>
    </row>
    <row r="12105" spans="9:9" x14ac:dyDescent="0.3">
      <c r="I12105" s="101"/>
    </row>
    <row r="12106" spans="9:9" x14ac:dyDescent="0.3">
      <c r="I12106" s="101"/>
    </row>
    <row r="12107" spans="9:9" x14ac:dyDescent="0.3">
      <c r="I12107" s="101"/>
    </row>
    <row r="12108" spans="9:9" x14ac:dyDescent="0.3">
      <c r="I12108" s="101"/>
    </row>
    <row r="12109" spans="9:9" x14ac:dyDescent="0.3">
      <c r="I12109" s="101"/>
    </row>
    <row r="12110" spans="9:9" x14ac:dyDescent="0.3">
      <c r="I12110" s="101"/>
    </row>
    <row r="12111" spans="9:9" x14ac:dyDescent="0.3">
      <c r="I12111" s="101"/>
    </row>
    <row r="12112" spans="9:9" x14ac:dyDescent="0.3">
      <c r="I12112" s="101"/>
    </row>
    <row r="12113" spans="9:9" x14ac:dyDescent="0.3">
      <c r="I12113" s="101"/>
    </row>
    <row r="12114" spans="9:9" x14ac:dyDescent="0.3">
      <c r="I12114" s="101"/>
    </row>
    <row r="12115" spans="9:9" x14ac:dyDescent="0.3">
      <c r="I12115" s="101"/>
    </row>
    <row r="12116" spans="9:9" x14ac:dyDescent="0.3">
      <c r="I12116" s="101"/>
    </row>
    <row r="12117" spans="9:9" x14ac:dyDescent="0.3">
      <c r="I12117" s="101"/>
    </row>
    <row r="12118" spans="9:9" x14ac:dyDescent="0.3">
      <c r="I12118" s="101"/>
    </row>
    <row r="12119" spans="9:9" x14ac:dyDescent="0.3">
      <c r="I12119" s="101"/>
    </row>
    <row r="12120" spans="9:9" x14ac:dyDescent="0.3">
      <c r="I12120" s="101"/>
    </row>
    <row r="12121" spans="9:9" x14ac:dyDescent="0.3">
      <c r="I12121" s="101"/>
    </row>
    <row r="12122" spans="9:9" x14ac:dyDescent="0.3">
      <c r="I12122" s="101"/>
    </row>
    <row r="12123" spans="9:9" x14ac:dyDescent="0.3">
      <c r="I12123" s="101"/>
    </row>
    <row r="12124" spans="9:9" x14ac:dyDescent="0.3">
      <c r="I12124" s="101"/>
    </row>
    <row r="12125" spans="9:9" x14ac:dyDescent="0.3">
      <c r="I12125" s="101"/>
    </row>
    <row r="12126" spans="9:9" x14ac:dyDescent="0.3">
      <c r="I12126" s="101"/>
    </row>
    <row r="12127" spans="9:9" x14ac:dyDescent="0.3">
      <c r="I12127" s="101"/>
    </row>
    <row r="12128" spans="9:9" x14ac:dyDescent="0.3">
      <c r="I12128" s="101"/>
    </row>
    <row r="12129" spans="9:9" x14ac:dyDescent="0.3">
      <c r="I12129" s="101"/>
    </row>
    <row r="12130" spans="9:9" x14ac:dyDescent="0.3">
      <c r="I12130" s="101"/>
    </row>
    <row r="12131" spans="9:9" x14ac:dyDescent="0.3">
      <c r="I12131" s="101"/>
    </row>
    <row r="12132" spans="9:9" x14ac:dyDescent="0.3">
      <c r="I12132" s="101"/>
    </row>
    <row r="12133" spans="9:9" x14ac:dyDescent="0.3">
      <c r="I12133" s="101"/>
    </row>
    <row r="12134" spans="9:9" x14ac:dyDescent="0.3">
      <c r="I12134" s="101"/>
    </row>
    <row r="12135" spans="9:9" x14ac:dyDescent="0.3">
      <c r="I12135" s="101"/>
    </row>
    <row r="12136" spans="9:9" x14ac:dyDescent="0.3">
      <c r="I12136" s="101"/>
    </row>
    <row r="12137" spans="9:9" x14ac:dyDescent="0.3">
      <c r="I12137" s="101"/>
    </row>
    <row r="12138" spans="9:9" x14ac:dyDescent="0.3">
      <c r="I12138" s="101"/>
    </row>
    <row r="12139" spans="9:9" x14ac:dyDescent="0.3">
      <c r="I12139" s="101"/>
    </row>
    <row r="12140" spans="9:9" x14ac:dyDescent="0.3">
      <c r="I12140" s="101"/>
    </row>
    <row r="12141" spans="9:9" x14ac:dyDescent="0.3">
      <c r="I12141" s="101"/>
    </row>
    <row r="12142" spans="9:9" x14ac:dyDescent="0.3">
      <c r="I12142" s="101"/>
    </row>
    <row r="12143" spans="9:9" x14ac:dyDescent="0.3">
      <c r="I12143" s="101"/>
    </row>
    <row r="12144" spans="9:9" x14ac:dyDescent="0.3">
      <c r="I12144" s="101"/>
    </row>
    <row r="12145" spans="9:9" x14ac:dyDescent="0.3">
      <c r="I12145" s="101"/>
    </row>
    <row r="12146" spans="9:9" x14ac:dyDescent="0.3">
      <c r="I12146" s="101"/>
    </row>
    <row r="12147" spans="9:9" x14ac:dyDescent="0.3">
      <c r="I12147" s="101"/>
    </row>
    <row r="12148" spans="9:9" x14ac:dyDescent="0.3">
      <c r="I12148" s="101"/>
    </row>
    <row r="12149" spans="9:9" x14ac:dyDescent="0.3">
      <c r="I12149" s="101"/>
    </row>
    <row r="12150" spans="9:9" x14ac:dyDescent="0.3">
      <c r="I12150" s="101"/>
    </row>
    <row r="12151" spans="9:9" x14ac:dyDescent="0.3">
      <c r="I12151" s="101"/>
    </row>
    <row r="12152" spans="9:9" x14ac:dyDescent="0.3">
      <c r="I12152" s="101"/>
    </row>
    <row r="12153" spans="9:9" x14ac:dyDescent="0.3">
      <c r="I12153" s="101"/>
    </row>
    <row r="12154" spans="9:9" x14ac:dyDescent="0.3">
      <c r="I12154" s="101"/>
    </row>
    <row r="12155" spans="9:9" x14ac:dyDescent="0.3">
      <c r="I12155" s="101"/>
    </row>
    <row r="12156" spans="9:9" x14ac:dyDescent="0.3">
      <c r="I12156" s="101"/>
    </row>
    <row r="12157" spans="9:9" x14ac:dyDescent="0.3">
      <c r="I12157" s="101"/>
    </row>
    <row r="12158" spans="9:9" x14ac:dyDescent="0.3">
      <c r="I12158" s="101"/>
    </row>
    <row r="12159" spans="9:9" x14ac:dyDescent="0.3">
      <c r="I12159" s="101"/>
    </row>
    <row r="12160" spans="9:9" x14ac:dyDescent="0.3">
      <c r="I12160" s="101"/>
    </row>
    <row r="12161" spans="9:9" x14ac:dyDescent="0.3">
      <c r="I12161" s="101"/>
    </row>
    <row r="12162" spans="9:9" x14ac:dyDescent="0.3">
      <c r="I12162" s="101"/>
    </row>
    <row r="12163" spans="9:9" x14ac:dyDescent="0.3">
      <c r="I12163" s="101"/>
    </row>
    <row r="12164" spans="9:9" x14ac:dyDescent="0.3">
      <c r="I12164" s="101"/>
    </row>
    <row r="12165" spans="9:9" x14ac:dyDescent="0.3">
      <c r="I12165" s="101"/>
    </row>
    <row r="12166" spans="9:9" x14ac:dyDescent="0.3">
      <c r="I12166" s="101"/>
    </row>
    <row r="12167" spans="9:9" x14ac:dyDescent="0.3">
      <c r="I12167" s="101"/>
    </row>
    <row r="12168" spans="9:9" x14ac:dyDescent="0.3">
      <c r="I12168" s="101"/>
    </row>
    <row r="12169" spans="9:9" x14ac:dyDescent="0.3">
      <c r="I12169" s="101"/>
    </row>
    <row r="12170" spans="9:9" x14ac:dyDescent="0.3">
      <c r="I12170" s="101"/>
    </row>
    <row r="12171" spans="9:9" x14ac:dyDescent="0.3">
      <c r="I12171" s="101"/>
    </row>
    <row r="12172" spans="9:9" x14ac:dyDescent="0.3">
      <c r="I12172" s="101"/>
    </row>
    <row r="12173" spans="9:9" x14ac:dyDescent="0.3">
      <c r="I12173" s="101"/>
    </row>
    <row r="12174" spans="9:9" x14ac:dyDescent="0.3">
      <c r="I12174" s="101"/>
    </row>
    <row r="12175" spans="9:9" x14ac:dyDescent="0.3">
      <c r="I12175" s="101"/>
    </row>
    <row r="12176" spans="9:9" x14ac:dyDescent="0.3">
      <c r="I12176" s="101"/>
    </row>
    <row r="12177" spans="9:9" x14ac:dyDescent="0.3">
      <c r="I12177" s="101"/>
    </row>
    <row r="12178" spans="9:9" x14ac:dyDescent="0.3">
      <c r="I12178" s="101"/>
    </row>
    <row r="12179" spans="9:9" x14ac:dyDescent="0.3">
      <c r="I12179" s="101"/>
    </row>
    <row r="12180" spans="9:9" x14ac:dyDescent="0.3">
      <c r="I12180" s="101"/>
    </row>
    <row r="12181" spans="9:9" x14ac:dyDescent="0.3">
      <c r="I12181" s="101"/>
    </row>
    <row r="12182" spans="9:9" x14ac:dyDescent="0.3">
      <c r="I12182" s="101"/>
    </row>
    <row r="12183" spans="9:9" x14ac:dyDescent="0.3">
      <c r="I12183" s="101"/>
    </row>
    <row r="12184" spans="9:9" x14ac:dyDescent="0.3">
      <c r="I12184" s="101"/>
    </row>
    <row r="12185" spans="9:9" x14ac:dyDescent="0.3">
      <c r="I12185" s="101"/>
    </row>
    <row r="12186" spans="9:9" x14ac:dyDescent="0.3">
      <c r="I12186" s="101"/>
    </row>
    <row r="12187" spans="9:9" x14ac:dyDescent="0.3">
      <c r="I12187" s="101"/>
    </row>
    <row r="12188" spans="9:9" x14ac:dyDescent="0.3">
      <c r="I12188" s="101"/>
    </row>
    <row r="12189" spans="9:9" x14ac:dyDescent="0.3">
      <c r="I12189" s="101"/>
    </row>
    <row r="12190" spans="9:9" x14ac:dyDescent="0.3">
      <c r="I12190" s="101"/>
    </row>
    <row r="12191" spans="9:9" x14ac:dyDescent="0.3">
      <c r="I12191" s="101"/>
    </row>
    <row r="12192" spans="9:9" x14ac:dyDescent="0.3">
      <c r="I12192" s="101"/>
    </row>
    <row r="12193" spans="9:9" x14ac:dyDescent="0.3">
      <c r="I12193" s="101"/>
    </row>
    <row r="12194" spans="9:9" x14ac:dyDescent="0.3">
      <c r="I12194" s="101"/>
    </row>
    <row r="12195" spans="9:9" x14ac:dyDescent="0.3">
      <c r="I12195" s="101"/>
    </row>
    <row r="12196" spans="9:9" x14ac:dyDescent="0.3">
      <c r="I12196" s="101"/>
    </row>
    <row r="12197" spans="9:9" x14ac:dyDescent="0.3">
      <c r="I12197" s="101"/>
    </row>
    <row r="12198" spans="9:9" x14ac:dyDescent="0.3">
      <c r="I12198" s="101"/>
    </row>
    <row r="12199" spans="9:9" x14ac:dyDescent="0.3">
      <c r="I12199" s="101"/>
    </row>
    <row r="12200" spans="9:9" x14ac:dyDescent="0.3">
      <c r="I12200" s="101"/>
    </row>
    <row r="12201" spans="9:9" x14ac:dyDescent="0.3">
      <c r="I12201" s="101"/>
    </row>
    <row r="12202" spans="9:9" x14ac:dyDescent="0.3">
      <c r="I12202" s="101"/>
    </row>
    <row r="12203" spans="9:9" x14ac:dyDescent="0.3">
      <c r="I12203" s="101"/>
    </row>
    <row r="12204" spans="9:9" x14ac:dyDescent="0.3">
      <c r="I12204" s="101"/>
    </row>
    <row r="12205" spans="9:9" x14ac:dyDescent="0.3">
      <c r="I12205" s="101"/>
    </row>
    <row r="12206" spans="9:9" x14ac:dyDescent="0.3">
      <c r="I12206" s="101"/>
    </row>
    <row r="12207" spans="9:9" x14ac:dyDescent="0.3">
      <c r="I12207" s="101"/>
    </row>
    <row r="12208" spans="9:9" x14ac:dyDescent="0.3">
      <c r="I12208" s="101"/>
    </row>
    <row r="12209" spans="9:9" x14ac:dyDescent="0.3">
      <c r="I12209" s="101"/>
    </row>
    <row r="12210" spans="9:9" x14ac:dyDescent="0.3">
      <c r="I12210" s="101"/>
    </row>
    <row r="12211" spans="9:9" x14ac:dyDescent="0.3">
      <c r="I12211" s="101"/>
    </row>
    <row r="12212" spans="9:9" x14ac:dyDescent="0.3">
      <c r="I12212" s="101"/>
    </row>
    <row r="12213" spans="9:9" x14ac:dyDescent="0.3">
      <c r="I12213" s="101"/>
    </row>
    <row r="12214" spans="9:9" x14ac:dyDescent="0.3">
      <c r="I12214" s="101"/>
    </row>
    <row r="12215" spans="9:9" x14ac:dyDescent="0.3">
      <c r="I12215" s="101"/>
    </row>
    <row r="12216" spans="9:9" x14ac:dyDescent="0.3">
      <c r="I12216" s="101"/>
    </row>
    <row r="12217" spans="9:9" x14ac:dyDescent="0.3">
      <c r="I12217" s="101"/>
    </row>
    <row r="12218" spans="9:9" x14ac:dyDescent="0.3">
      <c r="I12218" s="101"/>
    </row>
    <row r="12219" spans="9:9" x14ac:dyDescent="0.3">
      <c r="I12219" s="101"/>
    </row>
    <row r="12220" spans="9:9" x14ac:dyDescent="0.3">
      <c r="I12220" s="101"/>
    </row>
    <row r="12221" spans="9:9" x14ac:dyDescent="0.3">
      <c r="I12221" s="101"/>
    </row>
    <row r="12222" spans="9:9" x14ac:dyDescent="0.3">
      <c r="I12222" s="101"/>
    </row>
    <row r="12223" spans="9:9" x14ac:dyDescent="0.3">
      <c r="I12223" s="101"/>
    </row>
    <row r="12224" spans="9:9" x14ac:dyDescent="0.3">
      <c r="I12224" s="101"/>
    </row>
    <row r="12225" spans="9:9" x14ac:dyDescent="0.3">
      <c r="I12225" s="101"/>
    </row>
    <row r="12226" spans="9:9" x14ac:dyDescent="0.3">
      <c r="I12226" s="101"/>
    </row>
    <row r="12227" spans="9:9" x14ac:dyDescent="0.3">
      <c r="I12227" s="101"/>
    </row>
    <row r="12228" spans="9:9" x14ac:dyDescent="0.3">
      <c r="I12228" s="101"/>
    </row>
    <row r="12229" spans="9:9" x14ac:dyDescent="0.3">
      <c r="I12229" s="101"/>
    </row>
    <row r="12230" spans="9:9" x14ac:dyDescent="0.3">
      <c r="I12230" s="101"/>
    </row>
    <row r="12231" spans="9:9" x14ac:dyDescent="0.3">
      <c r="I12231" s="101"/>
    </row>
    <row r="12232" spans="9:9" x14ac:dyDescent="0.3">
      <c r="I12232" s="101"/>
    </row>
    <row r="12233" spans="9:9" x14ac:dyDescent="0.3">
      <c r="I12233" s="101"/>
    </row>
    <row r="12234" spans="9:9" x14ac:dyDescent="0.3">
      <c r="I12234" s="101"/>
    </row>
    <row r="12235" spans="9:9" x14ac:dyDescent="0.3">
      <c r="I12235" s="101"/>
    </row>
    <row r="12236" spans="9:9" x14ac:dyDescent="0.3">
      <c r="I12236" s="101"/>
    </row>
    <row r="12237" spans="9:9" x14ac:dyDescent="0.3">
      <c r="I12237" s="101"/>
    </row>
    <row r="12238" spans="9:9" x14ac:dyDescent="0.3">
      <c r="I12238" s="101"/>
    </row>
    <row r="12239" spans="9:9" x14ac:dyDescent="0.3">
      <c r="I12239" s="101"/>
    </row>
    <row r="12240" spans="9:9" x14ac:dyDescent="0.3">
      <c r="I12240" s="101"/>
    </row>
    <row r="12241" spans="9:9" x14ac:dyDescent="0.3">
      <c r="I12241" s="101"/>
    </row>
    <row r="12242" spans="9:9" x14ac:dyDescent="0.3">
      <c r="I12242" s="101"/>
    </row>
    <row r="12243" spans="9:9" x14ac:dyDescent="0.3">
      <c r="I12243" s="101"/>
    </row>
    <row r="12244" spans="9:9" x14ac:dyDescent="0.3">
      <c r="I12244" s="101"/>
    </row>
    <row r="12245" spans="9:9" x14ac:dyDescent="0.3">
      <c r="I12245" s="101"/>
    </row>
    <row r="12246" spans="9:9" x14ac:dyDescent="0.3">
      <c r="I12246" s="101"/>
    </row>
    <row r="12247" spans="9:9" x14ac:dyDescent="0.3">
      <c r="I12247" s="101"/>
    </row>
    <row r="12248" spans="9:9" x14ac:dyDescent="0.3">
      <c r="I12248" s="101"/>
    </row>
    <row r="12249" spans="9:9" x14ac:dyDescent="0.3">
      <c r="I12249" s="101"/>
    </row>
    <row r="12250" spans="9:9" x14ac:dyDescent="0.3">
      <c r="I12250" s="101"/>
    </row>
    <row r="12251" spans="9:9" x14ac:dyDescent="0.3">
      <c r="I12251" s="101"/>
    </row>
    <row r="12252" spans="9:9" x14ac:dyDescent="0.3">
      <c r="I12252" s="101"/>
    </row>
    <row r="12253" spans="9:9" x14ac:dyDescent="0.3">
      <c r="I12253" s="101"/>
    </row>
    <row r="12254" spans="9:9" x14ac:dyDescent="0.3">
      <c r="I12254" s="101"/>
    </row>
    <row r="12255" spans="9:9" x14ac:dyDescent="0.3">
      <c r="I12255" s="101"/>
    </row>
    <row r="12256" spans="9:9" x14ac:dyDescent="0.3">
      <c r="I12256" s="101"/>
    </row>
    <row r="12257" spans="9:9" x14ac:dyDescent="0.3">
      <c r="I12257" s="101"/>
    </row>
    <row r="12258" spans="9:9" x14ac:dyDescent="0.3">
      <c r="I12258" s="101"/>
    </row>
    <row r="12259" spans="9:9" x14ac:dyDescent="0.3">
      <c r="I12259" s="101"/>
    </row>
    <row r="12260" spans="9:9" x14ac:dyDescent="0.3">
      <c r="I12260" s="101"/>
    </row>
    <row r="12261" spans="9:9" x14ac:dyDescent="0.3">
      <c r="I12261" s="101"/>
    </row>
    <row r="12262" spans="9:9" x14ac:dyDescent="0.3">
      <c r="I12262" s="101"/>
    </row>
    <row r="12263" spans="9:9" x14ac:dyDescent="0.3">
      <c r="I12263" s="101"/>
    </row>
    <row r="12264" spans="9:9" x14ac:dyDescent="0.3">
      <c r="I12264" s="101"/>
    </row>
    <row r="12265" spans="9:9" x14ac:dyDescent="0.3">
      <c r="I12265" s="101"/>
    </row>
    <row r="12266" spans="9:9" x14ac:dyDescent="0.3">
      <c r="I12266" s="101"/>
    </row>
    <row r="12267" spans="9:9" x14ac:dyDescent="0.3">
      <c r="I12267" s="101"/>
    </row>
    <row r="12268" spans="9:9" x14ac:dyDescent="0.3">
      <c r="I12268" s="101"/>
    </row>
    <row r="12269" spans="9:9" x14ac:dyDescent="0.3">
      <c r="I12269" s="101"/>
    </row>
    <row r="12270" spans="9:9" x14ac:dyDescent="0.3">
      <c r="I12270" s="101"/>
    </row>
    <row r="12271" spans="9:9" x14ac:dyDescent="0.3">
      <c r="I12271" s="101"/>
    </row>
    <row r="12272" spans="9:9" x14ac:dyDescent="0.3">
      <c r="I12272" s="101"/>
    </row>
    <row r="12273" spans="9:9" x14ac:dyDescent="0.3">
      <c r="I12273" s="101"/>
    </row>
    <row r="12274" spans="9:9" x14ac:dyDescent="0.3">
      <c r="I12274" s="101"/>
    </row>
    <row r="12275" spans="9:9" x14ac:dyDescent="0.3">
      <c r="I12275" s="101"/>
    </row>
    <row r="12276" spans="9:9" x14ac:dyDescent="0.3">
      <c r="I12276" s="101"/>
    </row>
    <row r="12277" spans="9:9" x14ac:dyDescent="0.3">
      <c r="I12277" s="101"/>
    </row>
    <row r="12278" spans="9:9" x14ac:dyDescent="0.3">
      <c r="I12278" s="101"/>
    </row>
    <row r="12279" spans="9:9" x14ac:dyDescent="0.3">
      <c r="I12279" s="101"/>
    </row>
    <row r="12280" spans="9:9" x14ac:dyDescent="0.3">
      <c r="I12280" s="101"/>
    </row>
    <row r="12281" spans="9:9" x14ac:dyDescent="0.3">
      <c r="I12281" s="101"/>
    </row>
    <row r="12282" spans="9:9" x14ac:dyDescent="0.3">
      <c r="I12282" s="101"/>
    </row>
    <row r="12283" spans="9:9" x14ac:dyDescent="0.3">
      <c r="I12283" s="101"/>
    </row>
    <row r="12284" spans="9:9" x14ac:dyDescent="0.3">
      <c r="I12284" s="101"/>
    </row>
    <row r="12285" spans="9:9" x14ac:dyDescent="0.3">
      <c r="I12285" s="101"/>
    </row>
    <row r="12286" spans="9:9" x14ac:dyDescent="0.3">
      <c r="I12286" s="101"/>
    </row>
    <row r="12287" spans="9:9" x14ac:dyDescent="0.3">
      <c r="I12287" s="101"/>
    </row>
    <row r="12288" spans="9:9" x14ac:dyDescent="0.3">
      <c r="I12288" s="101"/>
    </row>
    <row r="12289" spans="9:9" x14ac:dyDescent="0.3">
      <c r="I12289" s="101"/>
    </row>
    <row r="12290" spans="9:9" x14ac:dyDescent="0.3">
      <c r="I12290" s="101"/>
    </row>
    <row r="12291" spans="9:9" x14ac:dyDescent="0.3">
      <c r="I12291" s="101"/>
    </row>
    <row r="12292" spans="9:9" x14ac:dyDescent="0.3">
      <c r="I12292" s="101"/>
    </row>
    <row r="12293" spans="9:9" x14ac:dyDescent="0.3">
      <c r="I12293" s="101"/>
    </row>
    <row r="12294" spans="9:9" x14ac:dyDescent="0.3">
      <c r="I12294" s="101"/>
    </row>
    <row r="12295" spans="9:9" x14ac:dyDescent="0.3">
      <c r="I12295" s="101"/>
    </row>
    <row r="12296" spans="9:9" x14ac:dyDescent="0.3">
      <c r="I12296" s="101"/>
    </row>
    <row r="12297" spans="9:9" x14ac:dyDescent="0.3">
      <c r="I12297" s="101"/>
    </row>
    <row r="12298" spans="9:9" x14ac:dyDescent="0.3">
      <c r="I12298" s="101"/>
    </row>
    <row r="12299" spans="9:9" x14ac:dyDescent="0.3">
      <c r="I12299" s="101"/>
    </row>
    <row r="12300" spans="9:9" x14ac:dyDescent="0.3">
      <c r="I12300" s="101"/>
    </row>
    <row r="12301" spans="9:9" x14ac:dyDescent="0.3">
      <c r="I12301" s="101"/>
    </row>
    <row r="12302" spans="9:9" x14ac:dyDescent="0.3">
      <c r="I12302" s="101"/>
    </row>
    <row r="12303" spans="9:9" x14ac:dyDescent="0.3">
      <c r="I12303" s="101"/>
    </row>
    <row r="12304" spans="9:9" x14ac:dyDescent="0.3">
      <c r="I12304" s="101"/>
    </row>
    <row r="12305" spans="9:9" x14ac:dyDescent="0.3">
      <c r="I12305" s="101"/>
    </row>
    <row r="12306" spans="9:9" x14ac:dyDescent="0.3">
      <c r="I12306" s="101"/>
    </row>
    <row r="12307" spans="9:9" x14ac:dyDescent="0.3">
      <c r="I12307" s="101"/>
    </row>
    <row r="12308" spans="9:9" x14ac:dyDescent="0.3">
      <c r="I12308" s="101"/>
    </row>
    <row r="12309" spans="9:9" x14ac:dyDescent="0.3">
      <c r="I12309" s="101"/>
    </row>
    <row r="12310" spans="9:9" x14ac:dyDescent="0.3">
      <c r="I12310" s="101"/>
    </row>
    <row r="12311" spans="9:9" x14ac:dyDescent="0.3">
      <c r="I12311" s="101"/>
    </row>
    <row r="12312" spans="9:9" x14ac:dyDescent="0.3">
      <c r="I12312" s="101"/>
    </row>
    <row r="12313" spans="9:9" x14ac:dyDescent="0.3">
      <c r="I12313" s="101"/>
    </row>
    <row r="12314" spans="9:9" x14ac:dyDescent="0.3">
      <c r="I12314" s="101"/>
    </row>
    <row r="12315" spans="9:9" x14ac:dyDescent="0.3">
      <c r="I12315" s="101"/>
    </row>
    <row r="12316" spans="9:9" x14ac:dyDescent="0.3">
      <c r="I12316" s="101"/>
    </row>
    <row r="12317" spans="9:9" x14ac:dyDescent="0.3">
      <c r="I12317" s="101"/>
    </row>
    <row r="12318" spans="9:9" x14ac:dyDescent="0.3">
      <c r="I12318" s="101"/>
    </row>
    <row r="12319" spans="9:9" x14ac:dyDescent="0.3">
      <c r="I12319" s="101"/>
    </row>
    <row r="12320" spans="9:9" x14ac:dyDescent="0.3">
      <c r="I12320" s="101"/>
    </row>
    <row r="12321" spans="9:9" x14ac:dyDescent="0.3">
      <c r="I12321" s="101"/>
    </row>
    <row r="12322" spans="9:9" x14ac:dyDescent="0.3">
      <c r="I12322" s="101"/>
    </row>
    <row r="12323" spans="9:9" x14ac:dyDescent="0.3">
      <c r="I12323" s="101"/>
    </row>
    <row r="12324" spans="9:9" x14ac:dyDescent="0.3">
      <c r="I12324" s="101"/>
    </row>
    <row r="12325" spans="9:9" x14ac:dyDescent="0.3">
      <c r="I12325" s="101"/>
    </row>
    <row r="12326" spans="9:9" x14ac:dyDescent="0.3">
      <c r="I12326" s="101"/>
    </row>
    <row r="12327" spans="9:9" x14ac:dyDescent="0.3">
      <c r="I12327" s="101"/>
    </row>
    <row r="12328" spans="9:9" x14ac:dyDescent="0.3">
      <c r="I12328" s="101"/>
    </row>
    <row r="12329" spans="9:9" x14ac:dyDescent="0.3">
      <c r="I12329" s="101"/>
    </row>
    <row r="12330" spans="9:9" x14ac:dyDescent="0.3">
      <c r="I12330" s="101"/>
    </row>
    <row r="12331" spans="9:9" x14ac:dyDescent="0.3">
      <c r="I12331" s="101"/>
    </row>
    <row r="12332" spans="9:9" x14ac:dyDescent="0.3">
      <c r="I12332" s="101"/>
    </row>
    <row r="12333" spans="9:9" x14ac:dyDescent="0.3">
      <c r="I12333" s="101"/>
    </row>
    <row r="12334" spans="9:9" x14ac:dyDescent="0.3">
      <c r="I12334" s="101"/>
    </row>
    <row r="12335" spans="9:9" x14ac:dyDescent="0.3">
      <c r="I12335" s="101"/>
    </row>
    <row r="12336" spans="9:9" x14ac:dyDescent="0.3">
      <c r="I12336" s="101"/>
    </row>
    <row r="12337" spans="9:9" x14ac:dyDescent="0.3">
      <c r="I12337" s="101"/>
    </row>
    <row r="12338" spans="9:9" x14ac:dyDescent="0.3">
      <c r="I12338" s="101"/>
    </row>
    <row r="12339" spans="9:9" x14ac:dyDescent="0.3">
      <c r="I12339" s="101"/>
    </row>
    <row r="12340" spans="9:9" x14ac:dyDescent="0.3">
      <c r="I12340" s="101"/>
    </row>
    <row r="12341" spans="9:9" x14ac:dyDescent="0.3">
      <c r="I12341" s="101"/>
    </row>
    <row r="12342" spans="9:9" x14ac:dyDescent="0.3">
      <c r="I12342" s="101"/>
    </row>
    <row r="12343" spans="9:9" x14ac:dyDescent="0.3">
      <c r="I12343" s="101"/>
    </row>
    <row r="12344" spans="9:9" x14ac:dyDescent="0.3">
      <c r="I12344" s="101"/>
    </row>
    <row r="12345" spans="9:9" x14ac:dyDescent="0.3">
      <c r="I12345" s="101"/>
    </row>
    <row r="12346" spans="9:9" x14ac:dyDescent="0.3">
      <c r="I12346" s="101"/>
    </row>
    <row r="12347" spans="9:9" x14ac:dyDescent="0.3">
      <c r="I12347" s="101"/>
    </row>
    <row r="12348" spans="9:9" x14ac:dyDescent="0.3">
      <c r="I12348" s="101"/>
    </row>
    <row r="12349" spans="9:9" x14ac:dyDescent="0.3">
      <c r="I12349" s="101"/>
    </row>
    <row r="12350" spans="9:9" x14ac:dyDescent="0.3">
      <c r="I12350" s="101"/>
    </row>
    <row r="12351" spans="9:9" x14ac:dyDescent="0.3">
      <c r="I12351" s="101"/>
    </row>
    <row r="12352" spans="9:9" x14ac:dyDescent="0.3">
      <c r="I12352" s="101"/>
    </row>
    <row r="12353" spans="9:9" x14ac:dyDescent="0.3">
      <c r="I12353" s="101"/>
    </row>
    <row r="12354" spans="9:9" x14ac:dyDescent="0.3">
      <c r="I12354" s="101"/>
    </row>
    <row r="12355" spans="9:9" x14ac:dyDescent="0.3">
      <c r="I12355" s="101"/>
    </row>
    <row r="12356" spans="9:9" x14ac:dyDescent="0.3">
      <c r="I12356" s="101"/>
    </row>
    <row r="12357" spans="9:9" x14ac:dyDescent="0.3">
      <c r="I12357" s="101"/>
    </row>
    <row r="12358" spans="9:9" x14ac:dyDescent="0.3">
      <c r="I12358" s="101"/>
    </row>
    <row r="12359" spans="9:9" x14ac:dyDescent="0.3">
      <c r="I12359" s="101"/>
    </row>
    <row r="12360" spans="9:9" x14ac:dyDescent="0.3">
      <c r="I12360" s="101"/>
    </row>
    <row r="12361" spans="9:9" x14ac:dyDescent="0.3">
      <c r="I12361" s="101"/>
    </row>
    <row r="12362" spans="9:9" x14ac:dyDescent="0.3">
      <c r="I12362" s="101"/>
    </row>
    <row r="12363" spans="9:9" x14ac:dyDescent="0.3">
      <c r="I12363" s="101"/>
    </row>
    <row r="12364" spans="9:9" x14ac:dyDescent="0.3">
      <c r="I12364" s="101"/>
    </row>
    <row r="12365" spans="9:9" x14ac:dyDescent="0.3">
      <c r="I12365" s="101"/>
    </row>
    <row r="12366" spans="9:9" x14ac:dyDescent="0.3">
      <c r="I12366" s="101"/>
    </row>
    <row r="12367" spans="9:9" x14ac:dyDescent="0.3">
      <c r="I12367" s="101"/>
    </row>
    <row r="12368" spans="9:9" x14ac:dyDescent="0.3">
      <c r="I12368" s="101"/>
    </row>
    <row r="12369" spans="9:9" x14ac:dyDescent="0.3">
      <c r="I12369" s="101"/>
    </row>
    <row r="12370" spans="9:9" x14ac:dyDescent="0.3">
      <c r="I12370" s="101"/>
    </row>
    <row r="12371" spans="9:9" x14ac:dyDescent="0.3">
      <c r="I12371" s="101"/>
    </row>
    <row r="12372" spans="9:9" x14ac:dyDescent="0.3">
      <c r="I12372" s="101"/>
    </row>
    <row r="12373" spans="9:9" x14ac:dyDescent="0.3">
      <c r="I12373" s="101"/>
    </row>
    <row r="12374" spans="9:9" x14ac:dyDescent="0.3">
      <c r="I12374" s="101"/>
    </row>
    <row r="12375" spans="9:9" x14ac:dyDescent="0.3">
      <c r="I12375" s="101"/>
    </row>
    <row r="12376" spans="9:9" x14ac:dyDescent="0.3">
      <c r="I12376" s="101"/>
    </row>
    <row r="12377" spans="9:9" x14ac:dyDescent="0.3">
      <c r="I12377" s="101"/>
    </row>
    <row r="12378" spans="9:9" x14ac:dyDescent="0.3">
      <c r="I12378" s="101"/>
    </row>
    <row r="12379" spans="9:9" x14ac:dyDescent="0.3">
      <c r="I12379" s="101"/>
    </row>
    <row r="12380" spans="9:9" x14ac:dyDescent="0.3">
      <c r="I12380" s="101"/>
    </row>
    <row r="12381" spans="9:9" x14ac:dyDescent="0.3">
      <c r="I12381" s="101"/>
    </row>
    <row r="12382" spans="9:9" x14ac:dyDescent="0.3">
      <c r="I12382" s="101"/>
    </row>
    <row r="12383" spans="9:9" x14ac:dyDescent="0.3">
      <c r="I12383" s="101"/>
    </row>
    <row r="12384" spans="9:9" x14ac:dyDescent="0.3">
      <c r="I12384" s="101"/>
    </row>
    <row r="12385" spans="9:9" x14ac:dyDescent="0.3">
      <c r="I12385" s="101"/>
    </row>
    <row r="12386" spans="9:9" x14ac:dyDescent="0.3">
      <c r="I12386" s="101"/>
    </row>
    <row r="12387" spans="9:9" x14ac:dyDescent="0.3">
      <c r="I12387" s="101"/>
    </row>
    <row r="12388" spans="9:9" x14ac:dyDescent="0.3">
      <c r="I12388" s="101"/>
    </row>
    <row r="12389" spans="9:9" x14ac:dyDescent="0.3">
      <c r="I12389" s="101"/>
    </row>
    <row r="12390" spans="9:9" x14ac:dyDescent="0.3">
      <c r="I12390" s="101"/>
    </row>
    <row r="12391" spans="9:9" x14ac:dyDescent="0.3">
      <c r="I12391" s="101"/>
    </row>
    <row r="12392" spans="9:9" x14ac:dyDescent="0.3">
      <c r="I12392" s="101"/>
    </row>
    <row r="12393" spans="9:9" x14ac:dyDescent="0.3">
      <c r="I12393" s="101"/>
    </row>
    <row r="12394" spans="9:9" x14ac:dyDescent="0.3">
      <c r="I12394" s="101"/>
    </row>
    <row r="12395" spans="9:9" x14ac:dyDescent="0.3">
      <c r="I12395" s="101"/>
    </row>
    <row r="12396" spans="9:9" x14ac:dyDescent="0.3">
      <c r="I12396" s="101"/>
    </row>
    <row r="12397" spans="9:9" x14ac:dyDescent="0.3">
      <c r="I12397" s="101"/>
    </row>
    <row r="12398" spans="9:9" x14ac:dyDescent="0.3">
      <c r="I12398" s="101"/>
    </row>
    <row r="12399" spans="9:9" x14ac:dyDescent="0.3">
      <c r="I12399" s="101"/>
    </row>
    <row r="12400" spans="9:9" x14ac:dyDescent="0.3">
      <c r="I12400" s="101"/>
    </row>
    <row r="12401" spans="9:9" x14ac:dyDescent="0.3">
      <c r="I12401" s="101"/>
    </row>
    <row r="12402" spans="9:9" x14ac:dyDescent="0.3">
      <c r="I12402" s="101"/>
    </row>
    <row r="12403" spans="9:9" x14ac:dyDescent="0.3">
      <c r="I12403" s="101"/>
    </row>
    <row r="12404" spans="9:9" x14ac:dyDescent="0.3">
      <c r="I12404" s="101"/>
    </row>
    <row r="12405" spans="9:9" x14ac:dyDescent="0.3">
      <c r="I12405" s="101"/>
    </row>
    <row r="12406" spans="9:9" x14ac:dyDescent="0.3">
      <c r="I12406" s="101"/>
    </row>
    <row r="12407" spans="9:9" x14ac:dyDescent="0.3">
      <c r="I12407" s="101"/>
    </row>
    <row r="12408" spans="9:9" x14ac:dyDescent="0.3">
      <c r="I12408" s="101"/>
    </row>
    <row r="12409" spans="9:9" x14ac:dyDescent="0.3">
      <c r="I12409" s="101"/>
    </row>
    <row r="12410" spans="9:9" x14ac:dyDescent="0.3">
      <c r="I12410" s="101"/>
    </row>
    <row r="12411" spans="9:9" x14ac:dyDescent="0.3">
      <c r="I12411" s="101"/>
    </row>
    <row r="12412" spans="9:9" x14ac:dyDescent="0.3">
      <c r="I12412" s="101"/>
    </row>
    <row r="12413" spans="9:9" x14ac:dyDescent="0.3">
      <c r="I12413" s="101"/>
    </row>
    <row r="12414" spans="9:9" x14ac:dyDescent="0.3">
      <c r="I12414" s="101"/>
    </row>
    <row r="12415" spans="9:9" x14ac:dyDescent="0.3">
      <c r="I12415" s="101"/>
    </row>
    <row r="12416" spans="9:9" x14ac:dyDescent="0.3">
      <c r="I12416" s="101"/>
    </row>
    <row r="12417" spans="9:9" x14ac:dyDescent="0.3">
      <c r="I12417" s="101"/>
    </row>
    <row r="12418" spans="9:9" x14ac:dyDescent="0.3">
      <c r="I12418" s="101"/>
    </row>
    <row r="12419" spans="9:9" x14ac:dyDescent="0.3">
      <c r="I12419" s="101"/>
    </row>
    <row r="12420" spans="9:9" x14ac:dyDescent="0.3">
      <c r="I12420" s="101"/>
    </row>
    <row r="12421" spans="9:9" x14ac:dyDescent="0.3">
      <c r="I12421" s="101"/>
    </row>
    <row r="12422" spans="9:9" x14ac:dyDescent="0.3">
      <c r="I12422" s="101"/>
    </row>
    <row r="12423" spans="9:9" x14ac:dyDescent="0.3">
      <c r="I12423" s="101"/>
    </row>
    <row r="12424" spans="9:9" x14ac:dyDescent="0.3">
      <c r="I12424" s="101"/>
    </row>
    <row r="12425" spans="9:9" x14ac:dyDescent="0.3">
      <c r="I12425" s="101"/>
    </row>
    <row r="12426" spans="9:9" x14ac:dyDescent="0.3">
      <c r="I12426" s="101"/>
    </row>
    <row r="12427" spans="9:9" x14ac:dyDescent="0.3">
      <c r="I12427" s="101"/>
    </row>
    <row r="12428" spans="9:9" x14ac:dyDescent="0.3">
      <c r="I12428" s="101"/>
    </row>
    <row r="12429" spans="9:9" x14ac:dyDescent="0.3">
      <c r="I12429" s="101"/>
    </row>
    <row r="12430" spans="9:9" x14ac:dyDescent="0.3">
      <c r="I12430" s="101"/>
    </row>
    <row r="12431" spans="9:9" x14ac:dyDescent="0.3">
      <c r="I12431" s="101"/>
    </row>
    <row r="12432" spans="9:9" x14ac:dyDescent="0.3">
      <c r="I12432" s="101"/>
    </row>
    <row r="12433" spans="9:9" x14ac:dyDescent="0.3">
      <c r="I12433" s="101"/>
    </row>
    <row r="12434" spans="9:9" x14ac:dyDescent="0.3">
      <c r="I12434" s="101"/>
    </row>
    <row r="12435" spans="9:9" x14ac:dyDescent="0.3">
      <c r="I12435" s="101"/>
    </row>
    <row r="12436" spans="9:9" x14ac:dyDescent="0.3">
      <c r="I12436" s="101"/>
    </row>
    <row r="12437" spans="9:9" x14ac:dyDescent="0.3">
      <c r="I12437" s="101"/>
    </row>
    <row r="12438" spans="9:9" x14ac:dyDescent="0.3">
      <c r="I12438" s="101"/>
    </row>
    <row r="12439" spans="9:9" x14ac:dyDescent="0.3">
      <c r="I12439" s="101"/>
    </row>
    <row r="12440" spans="9:9" x14ac:dyDescent="0.3">
      <c r="I12440" s="101"/>
    </row>
    <row r="12441" spans="9:9" x14ac:dyDescent="0.3">
      <c r="I12441" s="101"/>
    </row>
    <row r="12442" spans="9:9" x14ac:dyDescent="0.3">
      <c r="I12442" s="101"/>
    </row>
    <row r="12443" spans="9:9" x14ac:dyDescent="0.3">
      <c r="I12443" s="101"/>
    </row>
    <row r="12444" spans="9:9" x14ac:dyDescent="0.3">
      <c r="I12444" s="101"/>
    </row>
    <row r="12445" spans="9:9" x14ac:dyDescent="0.3">
      <c r="I12445" s="101"/>
    </row>
    <row r="12446" spans="9:9" x14ac:dyDescent="0.3">
      <c r="I12446" s="101"/>
    </row>
    <row r="12447" spans="9:9" x14ac:dyDescent="0.3">
      <c r="I12447" s="101"/>
    </row>
    <row r="12448" spans="9:9" x14ac:dyDescent="0.3">
      <c r="I12448" s="101"/>
    </row>
    <row r="12449" spans="9:9" x14ac:dyDescent="0.3">
      <c r="I12449" s="101"/>
    </row>
    <row r="12450" spans="9:9" x14ac:dyDescent="0.3">
      <c r="I12450" s="101"/>
    </row>
    <row r="12451" spans="9:9" x14ac:dyDescent="0.3">
      <c r="I12451" s="101"/>
    </row>
    <row r="12452" spans="9:9" x14ac:dyDescent="0.3">
      <c r="I12452" s="101"/>
    </row>
    <row r="12453" spans="9:9" x14ac:dyDescent="0.3">
      <c r="I12453" s="101"/>
    </row>
    <row r="12454" spans="9:9" x14ac:dyDescent="0.3">
      <c r="I12454" s="101"/>
    </row>
    <row r="12455" spans="9:9" x14ac:dyDescent="0.3">
      <c r="I12455" s="101"/>
    </row>
    <row r="12456" spans="9:9" x14ac:dyDescent="0.3">
      <c r="I12456" s="101"/>
    </row>
    <row r="12457" spans="9:9" x14ac:dyDescent="0.3">
      <c r="I12457" s="101"/>
    </row>
    <row r="12458" spans="9:9" x14ac:dyDescent="0.3">
      <c r="I12458" s="101"/>
    </row>
    <row r="12459" spans="9:9" x14ac:dyDescent="0.3">
      <c r="I12459" s="101"/>
    </row>
    <row r="12460" spans="9:9" x14ac:dyDescent="0.3">
      <c r="I12460" s="101"/>
    </row>
    <row r="12461" spans="9:9" x14ac:dyDescent="0.3">
      <c r="I12461" s="101"/>
    </row>
    <row r="12462" spans="9:9" x14ac:dyDescent="0.3">
      <c r="I12462" s="101"/>
    </row>
    <row r="12463" spans="9:9" x14ac:dyDescent="0.3">
      <c r="I12463" s="101"/>
    </row>
    <row r="12464" spans="9:9" x14ac:dyDescent="0.3">
      <c r="I12464" s="101"/>
    </row>
    <row r="12465" spans="9:9" x14ac:dyDescent="0.3">
      <c r="I12465" s="101"/>
    </row>
    <row r="12466" spans="9:9" x14ac:dyDescent="0.3">
      <c r="I12466" s="101"/>
    </row>
    <row r="12467" spans="9:9" x14ac:dyDescent="0.3">
      <c r="I12467" s="101"/>
    </row>
    <row r="12468" spans="9:9" x14ac:dyDescent="0.3">
      <c r="I12468" s="101"/>
    </row>
    <row r="12469" spans="9:9" x14ac:dyDescent="0.3">
      <c r="I12469" s="101"/>
    </row>
    <row r="12470" spans="9:9" x14ac:dyDescent="0.3">
      <c r="I12470" s="101"/>
    </row>
    <row r="12471" spans="9:9" x14ac:dyDescent="0.3">
      <c r="I12471" s="101"/>
    </row>
    <row r="12472" spans="9:9" x14ac:dyDescent="0.3">
      <c r="I12472" s="101"/>
    </row>
    <row r="12473" spans="9:9" x14ac:dyDescent="0.3">
      <c r="I12473" s="101"/>
    </row>
    <row r="12474" spans="9:9" x14ac:dyDescent="0.3">
      <c r="I12474" s="101"/>
    </row>
    <row r="12475" spans="9:9" x14ac:dyDescent="0.3">
      <c r="I12475" s="101"/>
    </row>
    <row r="12476" spans="9:9" x14ac:dyDescent="0.3">
      <c r="I12476" s="101"/>
    </row>
    <row r="12477" spans="9:9" x14ac:dyDescent="0.3">
      <c r="I12477" s="101"/>
    </row>
    <row r="12478" spans="9:9" x14ac:dyDescent="0.3">
      <c r="I12478" s="101"/>
    </row>
    <row r="12479" spans="9:9" x14ac:dyDescent="0.3">
      <c r="I12479" s="101"/>
    </row>
    <row r="12480" spans="9:9" x14ac:dyDescent="0.3">
      <c r="I12480" s="101"/>
    </row>
    <row r="12481" spans="9:9" x14ac:dyDescent="0.3">
      <c r="I12481" s="101"/>
    </row>
    <row r="12482" spans="9:9" x14ac:dyDescent="0.3">
      <c r="I12482" s="101"/>
    </row>
    <row r="12483" spans="9:9" x14ac:dyDescent="0.3">
      <c r="I12483" s="101"/>
    </row>
    <row r="12484" spans="9:9" x14ac:dyDescent="0.3">
      <c r="I12484" s="101"/>
    </row>
    <row r="12485" spans="9:9" x14ac:dyDescent="0.3">
      <c r="I12485" s="101"/>
    </row>
    <row r="12486" spans="9:9" x14ac:dyDescent="0.3">
      <c r="I12486" s="101"/>
    </row>
    <row r="12487" spans="9:9" x14ac:dyDescent="0.3">
      <c r="I12487" s="101"/>
    </row>
    <row r="12488" spans="9:9" x14ac:dyDescent="0.3">
      <c r="I12488" s="101"/>
    </row>
    <row r="12489" spans="9:9" x14ac:dyDescent="0.3">
      <c r="I12489" s="101"/>
    </row>
    <row r="12490" spans="9:9" x14ac:dyDescent="0.3">
      <c r="I12490" s="101"/>
    </row>
    <row r="12491" spans="9:9" x14ac:dyDescent="0.3">
      <c r="I12491" s="101"/>
    </row>
    <row r="12492" spans="9:9" x14ac:dyDescent="0.3">
      <c r="I12492" s="101"/>
    </row>
    <row r="12493" spans="9:9" x14ac:dyDescent="0.3">
      <c r="I12493" s="101"/>
    </row>
    <row r="12494" spans="9:9" x14ac:dyDescent="0.3">
      <c r="I12494" s="101"/>
    </row>
    <row r="12495" spans="9:9" x14ac:dyDescent="0.3">
      <c r="I12495" s="101"/>
    </row>
    <row r="12496" spans="9:9" x14ac:dyDescent="0.3">
      <c r="I12496" s="101"/>
    </row>
    <row r="12497" spans="9:9" x14ac:dyDescent="0.3">
      <c r="I12497" s="101"/>
    </row>
    <row r="12498" spans="9:9" x14ac:dyDescent="0.3">
      <c r="I12498" s="101"/>
    </row>
    <row r="12499" spans="9:9" x14ac:dyDescent="0.3">
      <c r="I12499" s="101"/>
    </row>
    <row r="12500" spans="9:9" x14ac:dyDescent="0.3">
      <c r="I12500" s="101"/>
    </row>
    <row r="12501" spans="9:9" x14ac:dyDescent="0.3">
      <c r="I12501" s="101"/>
    </row>
    <row r="12502" spans="9:9" x14ac:dyDescent="0.3">
      <c r="I12502" s="101"/>
    </row>
    <row r="12503" spans="9:9" x14ac:dyDescent="0.3">
      <c r="I12503" s="101"/>
    </row>
    <row r="12504" spans="9:9" x14ac:dyDescent="0.3">
      <c r="I12504" s="101"/>
    </row>
    <row r="12505" spans="9:9" x14ac:dyDescent="0.3">
      <c r="I12505" s="101"/>
    </row>
    <row r="12506" spans="9:9" x14ac:dyDescent="0.3">
      <c r="I12506" s="101"/>
    </row>
    <row r="12507" spans="9:9" x14ac:dyDescent="0.3">
      <c r="I12507" s="101"/>
    </row>
    <row r="12508" spans="9:9" x14ac:dyDescent="0.3">
      <c r="I12508" s="101"/>
    </row>
    <row r="12509" spans="9:9" x14ac:dyDescent="0.3">
      <c r="I12509" s="101"/>
    </row>
    <row r="12510" spans="9:9" x14ac:dyDescent="0.3">
      <c r="I12510" s="101"/>
    </row>
    <row r="12511" spans="9:9" x14ac:dyDescent="0.3">
      <c r="I12511" s="101"/>
    </row>
    <row r="12512" spans="9:9" x14ac:dyDescent="0.3">
      <c r="I12512" s="101"/>
    </row>
    <row r="12513" spans="9:9" x14ac:dyDescent="0.3">
      <c r="I12513" s="101"/>
    </row>
    <row r="12514" spans="9:9" x14ac:dyDescent="0.3">
      <c r="I12514" s="101"/>
    </row>
    <row r="12515" spans="9:9" x14ac:dyDescent="0.3">
      <c r="I12515" s="101"/>
    </row>
    <row r="12516" spans="9:9" x14ac:dyDescent="0.3">
      <c r="I12516" s="101"/>
    </row>
    <row r="12517" spans="9:9" x14ac:dyDescent="0.3">
      <c r="I12517" s="101"/>
    </row>
    <row r="12518" spans="9:9" x14ac:dyDescent="0.3">
      <c r="I12518" s="101"/>
    </row>
    <row r="12519" spans="9:9" x14ac:dyDescent="0.3">
      <c r="I12519" s="101"/>
    </row>
    <row r="12520" spans="9:9" x14ac:dyDescent="0.3">
      <c r="I12520" s="101"/>
    </row>
    <row r="12521" spans="9:9" x14ac:dyDescent="0.3">
      <c r="I12521" s="101"/>
    </row>
    <row r="12522" spans="9:9" x14ac:dyDescent="0.3">
      <c r="I12522" s="101"/>
    </row>
    <row r="12523" spans="9:9" x14ac:dyDescent="0.3">
      <c r="I12523" s="101"/>
    </row>
    <row r="12524" spans="9:9" x14ac:dyDescent="0.3">
      <c r="I12524" s="101"/>
    </row>
    <row r="12525" spans="9:9" x14ac:dyDescent="0.3">
      <c r="I12525" s="101"/>
    </row>
    <row r="12526" spans="9:9" x14ac:dyDescent="0.3">
      <c r="I12526" s="101"/>
    </row>
    <row r="12527" spans="9:9" x14ac:dyDescent="0.3">
      <c r="I12527" s="101"/>
    </row>
    <row r="12528" spans="9:9" x14ac:dyDescent="0.3">
      <c r="I12528" s="101"/>
    </row>
    <row r="12529" spans="9:9" x14ac:dyDescent="0.3">
      <c r="I12529" s="101"/>
    </row>
    <row r="12530" spans="9:9" x14ac:dyDescent="0.3">
      <c r="I12530" s="101"/>
    </row>
    <row r="12531" spans="9:9" x14ac:dyDescent="0.3">
      <c r="I12531" s="101"/>
    </row>
    <row r="12532" spans="9:9" x14ac:dyDescent="0.3">
      <c r="I12532" s="101"/>
    </row>
    <row r="12533" spans="9:9" x14ac:dyDescent="0.3">
      <c r="I12533" s="101"/>
    </row>
    <row r="12534" spans="9:9" x14ac:dyDescent="0.3">
      <c r="I12534" s="101"/>
    </row>
    <row r="12535" spans="9:9" x14ac:dyDescent="0.3">
      <c r="I12535" s="101"/>
    </row>
    <row r="12536" spans="9:9" x14ac:dyDescent="0.3">
      <c r="I12536" s="101"/>
    </row>
    <row r="12537" spans="9:9" x14ac:dyDescent="0.3">
      <c r="I12537" s="101"/>
    </row>
    <row r="12538" spans="9:9" x14ac:dyDescent="0.3">
      <c r="I12538" s="101"/>
    </row>
    <row r="12539" spans="9:9" x14ac:dyDescent="0.3">
      <c r="I12539" s="101"/>
    </row>
    <row r="12540" spans="9:9" x14ac:dyDescent="0.3">
      <c r="I12540" s="101"/>
    </row>
    <row r="12541" spans="9:9" x14ac:dyDescent="0.3">
      <c r="I12541" s="101"/>
    </row>
    <row r="12542" spans="9:9" x14ac:dyDescent="0.3">
      <c r="I12542" s="101"/>
    </row>
    <row r="12543" spans="9:9" x14ac:dyDescent="0.3">
      <c r="I12543" s="101"/>
    </row>
    <row r="12544" spans="9:9" x14ac:dyDescent="0.3">
      <c r="I12544" s="101"/>
    </row>
    <row r="12545" spans="9:9" x14ac:dyDescent="0.3">
      <c r="I12545" s="101"/>
    </row>
    <row r="12546" spans="9:9" x14ac:dyDescent="0.3">
      <c r="I12546" s="101"/>
    </row>
    <row r="12547" spans="9:9" x14ac:dyDescent="0.3">
      <c r="I12547" s="101"/>
    </row>
    <row r="12548" spans="9:9" x14ac:dyDescent="0.3">
      <c r="I12548" s="101"/>
    </row>
    <row r="12549" spans="9:9" x14ac:dyDescent="0.3">
      <c r="I12549" s="101"/>
    </row>
    <row r="12550" spans="9:9" x14ac:dyDescent="0.3">
      <c r="I12550" s="101"/>
    </row>
    <row r="12551" spans="9:9" x14ac:dyDescent="0.3">
      <c r="I12551" s="101"/>
    </row>
    <row r="12552" spans="9:9" x14ac:dyDescent="0.3">
      <c r="I12552" s="101"/>
    </row>
    <row r="12553" spans="9:9" x14ac:dyDescent="0.3">
      <c r="I12553" s="101"/>
    </row>
    <row r="12554" spans="9:9" x14ac:dyDescent="0.3">
      <c r="I12554" s="101"/>
    </row>
    <row r="12555" spans="9:9" x14ac:dyDescent="0.3">
      <c r="I12555" s="101"/>
    </row>
    <row r="12556" spans="9:9" x14ac:dyDescent="0.3">
      <c r="I12556" s="101"/>
    </row>
    <row r="12557" spans="9:9" x14ac:dyDescent="0.3">
      <c r="I12557" s="101"/>
    </row>
    <row r="12558" spans="9:9" x14ac:dyDescent="0.3">
      <c r="I12558" s="101"/>
    </row>
    <row r="12559" spans="9:9" x14ac:dyDescent="0.3">
      <c r="I12559" s="101"/>
    </row>
    <row r="12560" spans="9:9" x14ac:dyDescent="0.3">
      <c r="I12560" s="101"/>
    </row>
    <row r="12561" spans="9:9" x14ac:dyDescent="0.3">
      <c r="I12561" s="101"/>
    </row>
    <row r="12562" spans="9:9" x14ac:dyDescent="0.3">
      <c r="I12562" s="101"/>
    </row>
    <row r="12563" spans="9:9" x14ac:dyDescent="0.3">
      <c r="I12563" s="101"/>
    </row>
    <row r="12564" spans="9:9" x14ac:dyDescent="0.3">
      <c r="I12564" s="101"/>
    </row>
    <row r="12565" spans="9:9" x14ac:dyDescent="0.3">
      <c r="I12565" s="101"/>
    </row>
    <row r="12566" spans="9:9" x14ac:dyDescent="0.3">
      <c r="I12566" s="101"/>
    </row>
    <row r="12567" spans="9:9" x14ac:dyDescent="0.3">
      <c r="I12567" s="101"/>
    </row>
    <row r="12568" spans="9:9" x14ac:dyDescent="0.3">
      <c r="I12568" s="101"/>
    </row>
    <row r="12569" spans="9:9" x14ac:dyDescent="0.3">
      <c r="I12569" s="101"/>
    </row>
    <row r="12570" spans="9:9" x14ac:dyDescent="0.3">
      <c r="I12570" s="101"/>
    </row>
    <row r="12571" spans="9:9" x14ac:dyDescent="0.3">
      <c r="I12571" s="101"/>
    </row>
    <row r="12572" spans="9:9" x14ac:dyDescent="0.3">
      <c r="I12572" s="101"/>
    </row>
    <row r="12573" spans="9:9" x14ac:dyDescent="0.3">
      <c r="I12573" s="101"/>
    </row>
    <row r="12574" spans="9:9" x14ac:dyDescent="0.3">
      <c r="I12574" s="101"/>
    </row>
    <row r="12575" spans="9:9" x14ac:dyDescent="0.3">
      <c r="I12575" s="101"/>
    </row>
    <row r="12576" spans="9:9" x14ac:dyDescent="0.3">
      <c r="I12576" s="101"/>
    </row>
    <row r="12577" spans="9:9" x14ac:dyDescent="0.3">
      <c r="I12577" s="101"/>
    </row>
    <row r="12578" spans="9:9" x14ac:dyDescent="0.3">
      <c r="I12578" s="101"/>
    </row>
    <row r="12579" spans="9:9" x14ac:dyDescent="0.3">
      <c r="I12579" s="101"/>
    </row>
    <row r="12580" spans="9:9" x14ac:dyDescent="0.3">
      <c r="I12580" s="101"/>
    </row>
    <row r="12581" spans="9:9" x14ac:dyDescent="0.3">
      <c r="I12581" s="101"/>
    </row>
    <row r="12582" spans="9:9" x14ac:dyDescent="0.3">
      <c r="I12582" s="101"/>
    </row>
    <row r="12583" spans="9:9" x14ac:dyDescent="0.3">
      <c r="I12583" s="101"/>
    </row>
    <row r="12584" spans="9:9" x14ac:dyDescent="0.3">
      <c r="I12584" s="101"/>
    </row>
    <row r="12585" spans="9:9" x14ac:dyDescent="0.3">
      <c r="I12585" s="101"/>
    </row>
    <row r="12586" spans="9:9" x14ac:dyDescent="0.3">
      <c r="I12586" s="101"/>
    </row>
    <row r="12587" spans="9:9" x14ac:dyDescent="0.3">
      <c r="I12587" s="101"/>
    </row>
    <row r="12588" spans="9:9" x14ac:dyDescent="0.3">
      <c r="I12588" s="101"/>
    </row>
    <row r="12589" spans="9:9" x14ac:dyDescent="0.3">
      <c r="I12589" s="101"/>
    </row>
    <row r="12590" spans="9:9" x14ac:dyDescent="0.3">
      <c r="I12590" s="101"/>
    </row>
    <row r="12591" spans="9:9" x14ac:dyDescent="0.3">
      <c r="I12591" s="101"/>
    </row>
    <row r="12592" spans="9:9" x14ac:dyDescent="0.3">
      <c r="I12592" s="101"/>
    </row>
    <row r="12593" spans="9:9" x14ac:dyDescent="0.3">
      <c r="I12593" s="101"/>
    </row>
    <row r="12594" spans="9:9" x14ac:dyDescent="0.3">
      <c r="I12594" s="101"/>
    </row>
    <row r="12595" spans="9:9" x14ac:dyDescent="0.3">
      <c r="I12595" s="101"/>
    </row>
    <row r="12596" spans="9:9" x14ac:dyDescent="0.3">
      <c r="I12596" s="101"/>
    </row>
    <row r="12597" spans="9:9" x14ac:dyDescent="0.3">
      <c r="I12597" s="101"/>
    </row>
    <row r="12598" spans="9:9" x14ac:dyDescent="0.3">
      <c r="I12598" s="101"/>
    </row>
    <row r="12599" spans="9:9" x14ac:dyDescent="0.3">
      <c r="I12599" s="101"/>
    </row>
    <row r="12600" spans="9:9" x14ac:dyDescent="0.3">
      <c r="I12600" s="101"/>
    </row>
    <row r="12601" spans="9:9" x14ac:dyDescent="0.3">
      <c r="I12601" s="101"/>
    </row>
    <row r="12602" spans="9:9" x14ac:dyDescent="0.3">
      <c r="I12602" s="101"/>
    </row>
    <row r="12603" spans="9:9" x14ac:dyDescent="0.3">
      <c r="I12603" s="101"/>
    </row>
    <row r="12604" spans="9:9" x14ac:dyDescent="0.3">
      <c r="I12604" s="101"/>
    </row>
    <row r="12605" spans="9:9" x14ac:dyDescent="0.3">
      <c r="I12605" s="101"/>
    </row>
    <row r="12606" spans="9:9" x14ac:dyDescent="0.3">
      <c r="I12606" s="101"/>
    </row>
    <row r="12607" spans="9:9" x14ac:dyDescent="0.3">
      <c r="I12607" s="101"/>
    </row>
    <row r="12608" spans="9:9" x14ac:dyDescent="0.3">
      <c r="I12608" s="101"/>
    </row>
    <row r="12609" spans="9:9" x14ac:dyDescent="0.3">
      <c r="I12609" s="101"/>
    </row>
    <row r="12610" spans="9:9" x14ac:dyDescent="0.3">
      <c r="I12610" s="101"/>
    </row>
    <row r="12611" spans="9:9" x14ac:dyDescent="0.3">
      <c r="I12611" s="101"/>
    </row>
    <row r="12612" spans="9:9" x14ac:dyDescent="0.3">
      <c r="I12612" s="101"/>
    </row>
    <row r="12613" spans="9:9" x14ac:dyDescent="0.3">
      <c r="I12613" s="101"/>
    </row>
    <row r="12614" spans="9:9" x14ac:dyDescent="0.3">
      <c r="I12614" s="101"/>
    </row>
    <row r="12615" spans="9:9" x14ac:dyDescent="0.3">
      <c r="I12615" s="101"/>
    </row>
    <row r="12616" spans="9:9" x14ac:dyDescent="0.3">
      <c r="I12616" s="101"/>
    </row>
    <row r="12617" spans="9:9" x14ac:dyDescent="0.3">
      <c r="I12617" s="101"/>
    </row>
    <row r="12618" spans="9:9" x14ac:dyDescent="0.3">
      <c r="I12618" s="101"/>
    </row>
    <row r="12619" spans="9:9" x14ac:dyDescent="0.3">
      <c r="I12619" s="101"/>
    </row>
    <row r="12620" spans="9:9" x14ac:dyDescent="0.3">
      <c r="I12620" s="101"/>
    </row>
    <row r="12621" spans="9:9" x14ac:dyDescent="0.3">
      <c r="I12621" s="101"/>
    </row>
    <row r="12622" spans="9:9" x14ac:dyDescent="0.3">
      <c r="I12622" s="101"/>
    </row>
    <row r="12623" spans="9:9" x14ac:dyDescent="0.3">
      <c r="I12623" s="101"/>
    </row>
    <row r="12624" spans="9:9" x14ac:dyDescent="0.3">
      <c r="I12624" s="101"/>
    </row>
    <row r="12625" spans="9:9" x14ac:dyDescent="0.3">
      <c r="I12625" s="101"/>
    </row>
    <row r="12626" spans="9:9" x14ac:dyDescent="0.3">
      <c r="I12626" s="101"/>
    </row>
    <row r="12627" spans="9:9" x14ac:dyDescent="0.3">
      <c r="I12627" s="101"/>
    </row>
    <row r="12628" spans="9:9" x14ac:dyDescent="0.3">
      <c r="I12628" s="101"/>
    </row>
    <row r="12629" spans="9:9" x14ac:dyDescent="0.3">
      <c r="I12629" s="101"/>
    </row>
    <row r="12630" spans="9:9" x14ac:dyDescent="0.3">
      <c r="I12630" s="101"/>
    </row>
    <row r="12631" spans="9:9" x14ac:dyDescent="0.3">
      <c r="I12631" s="101"/>
    </row>
    <row r="12632" spans="9:9" x14ac:dyDescent="0.3">
      <c r="I12632" s="101"/>
    </row>
    <row r="12633" spans="9:9" x14ac:dyDescent="0.3">
      <c r="I12633" s="101"/>
    </row>
    <row r="12634" spans="9:9" x14ac:dyDescent="0.3">
      <c r="I12634" s="101"/>
    </row>
    <row r="12635" spans="9:9" x14ac:dyDescent="0.3">
      <c r="I12635" s="101"/>
    </row>
    <row r="12636" spans="9:9" x14ac:dyDescent="0.3">
      <c r="I12636" s="101"/>
    </row>
    <row r="12637" spans="9:9" x14ac:dyDescent="0.3">
      <c r="I12637" s="101"/>
    </row>
    <row r="12638" spans="9:9" x14ac:dyDescent="0.3">
      <c r="I12638" s="101"/>
    </row>
    <row r="12639" spans="9:9" x14ac:dyDescent="0.3">
      <c r="I12639" s="101"/>
    </row>
    <row r="12640" spans="9:9" x14ac:dyDescent="0.3">
      <c r="I12640" s="101"/>
    </row>
    <row r="12641" spans="9:9" x14ac:dyDescent="0.3">
      <c r="I12641" s="101"/>
    </row>
    <row r="12642" spans="9:9" x14ac:dyDescent="0.3">
      <c r="I12642" s="101"/>
    </row>
    <row r="12643" spans="9:9" x14ac:dyDescent="0.3">
      <c r="I12643" s="101"/>
    </row>
    <row r="12644" spans="9:9" x14ac:dyDescent="0.3">
      <c r="I12644" s="101"/>
    </row>
    <row r="12645" spans="9:9" x14ac:dyDescent="0.3">
      <c r="I12645" s="101"/>
    </row>
    <row r="12646" spans="9:9" x14ac:dyDescent="0.3">
      <c r="I12646" s="101"/>
    </row>
    <row r="12647" spans="9:9" x14ac:dyDescent="0.3">
      <c r="I12647" s="101"/>
    </row>
    <row r="12648" spans="9:9" x14ac:dyDescent="0.3">
      <c r="I12648" s="101"/>
    </row>
    <row r="12649" spans="9:9" x14ac:dyDescent="0.3">
      <c r="I12649" s="101"/>
    </row>
    <row r="12650" spans="9:9" x14ac:dyDescent="0.3">
      <c r="I12650" s="101"/>
    </row>
    <row r="12651" spans="9:9" x14ac:dyDescent="0.3">
      <c r="I12651" s="101"/>
    </row>
    <row r="12652" spans="9:9" x14ac:dyDescent="0.3">
      <c r="I12652" s="101"/>
    </row>
    <row r="12653" spans="9:9" x14ac:dyDescent="0.3">
      <c r="I12653" s="101"/>
    </row>
    <row r="12654" spans="9:9" x14ac:dyDescent="0.3">
      <c r="I12654" s="101"/>
    </row>
    <row r="12655" spans="9:9" x14ac:dyDescent="0.3">
      <c r="I12655" s="101"/>
    </row>
    <row r="12656" spans="9:9" x14ac:dyDescent="0.3">
      <c r="I12656" s="101"/>
    </row>
    <row r="12657" spans="9:9" x14ac:dyDescent="0.3">
      <c r="I12657" s="101"/>
    </row>
    <row r="12658" spans="9:9" x14ac:dyDescent="0.3">
      <c r="I12658" s="101"/>
    </row>
    <row r="12659" spans="9:9" x14ac:dyDescent="0.3">
      <c r="I12659" s="101"/>
    </row>
    <row r="12660" spans="9:9" x14ac:dyDescent="0.3">
      <c r="I12660" s="101"/>
    </row>
    <row r="12661" spans="9:9" x14ac:dyDescent="0.3">
      <c r="I12661" s="101"/>
    </row>
    <row r="12662" spans="9:9" x14ac:dyDescent="0.3">
      <c r="I12662" s="101"/>
    </row>
    <row r="12663" spans="9:9" x14ac:dyDescent="0.3">
      <c r="I12663" s="101"/>
    </row>
    <row r="12664" spans="9:9" x14ac:dyDescent="0.3">
      <c r="I12664" s="101"/>
    </row>
    <row r="12665" spans="9:9" x14ac:dyDescent="0.3">
      <c r="I12665" s="101"/>
    </row>
    <row r="12666" spans="9:9" x14ac:dyDescent="0.3">
      <c r="I12666" s="101"/>
    </row>
    <row r="12667" spans="9:9" x14ac:dyDescent="0.3">
      <c r="I12667" s="101"/>
    </row>
    <row r="12668" spans="9:9" x14ac:dyDescent="0.3">
      <c r="I12668" s="101"/>
    </row>
    <row r="12669" spans="9:9" x14ac:dyDescent="0.3">
      <c r="I12669" s="101"/>
    </row>
    <row r="12670" spans="9:9" x14ac:dyDescent="0.3">
      <c r="I12670" s="101"/>
    </row>
    <row r="12671" spans="9:9" x14ac:dyDescent="0.3">
      <c r="I12671" s="101"/>
    </row>
    <row r="12672" spans="9:9" x14ac:dyDescent="0.3">
      <c r="I12672" s="101"/>
    </row>
    <row r="12673" spans="9:9" x14ac:dyDescent="0.3">
      <c r="I12673" s="101"/>
    </row>
    <row r="12674" spans="9:9" x14ac:dyDescent="0.3">
      <c r="I12674" s="101"/>
    </row>
    <row r="12675" spans="9:9" x14ac:dyDescent="0.3">
      <c r="I12675" s="101"/>
    </row>
    <row r="12676" spans="9:9" x14ac:dyDescent="0.3">
      <c r="I12676" s="101"/>
    </row>
    <row r="12677" spans="9:9" x14ac:dyDescent="0.3">
      <c r="I12677" s="101"/>
    </row>
    <row r="12678" spans="9:9" x14ac:dyDescent="0.3">
      <c r="I12678" s="101"/>
    </row>
    <row r="12679" spans="9:9" x14ac:dyDescent="0.3">
      <c r="I12679" s="101"/>
    </row>
    <row r="12680" spans="9:9" x14ac:dyDescent="0.3">
      <c r="I12680" s="101"/>
    </row>
    <row r="12681" spans="9:9" x14ac:dyDescent="0.3">
      <c r="I12681" s="101"/>
    </row>
    <row r="12682" spans="9:9" x14ac:dyDescent="0.3">
      <c r="I12682" s="101"/>
    </row>
    <row r="12683" spans="9:9" x14ac:dyDescent="0.3">
      <c r="I12683" s="101"/>
    </row>
    <row r="12684" spans="9:9" x14ac:dyDescent="0.3">
      <c r="I12684" s="101"/>
    </row>
    <row r="12685" spans="9:9" x14ac:dyDescent="0.3">
      <c r="I12685" s="101"/>
    </row>
    <row r="12686" spans="9:9" x14ac:dyDescent="0.3">
      <c r="I12686" s="101"/>
    </row>
    <row r="12687" spans="9:9" x14ac:dyDescent="0.3">
      <c r="I12687" s="101"/>
    </row>
    <row r="12688" spans="9:9" x14ac:dyDescent="0.3">
      <c r="I12688" s="101"/>
    </row>
    <row r="12689" spans="9:9" x14ac:dyDescent="0.3">
      <c r="I12689" s="101"/>
    </row>
    <row r="12690" spans="9:9" x14ac:dyDescent="0.3">
      <c r="I12690" s="101"/>
    </row>
    <row r="12691" spans="9:9" x14ac:dyDescent="0.3">
      <c r="I12691" s="101"/>
    </row>
    <row r="12692" spans="9:9" x14ac:dyDescent="0.3">
      <c r="I12692" s="101"/>
    </row>
    <row r="12693" spans="9:9" x14ac:dyDescent="0.3">
      <c r="I12693" s="101"/>
    </row>
    <row r="12694" spans="9:9" x14ac:dyDescent="0.3">
      <c r="I12694" s="101"/>
    </row>
    <row r="12695" spans="9:9" x14ac:dyDescent="0.3">
      <c r="I12695" s="101"/>
    </row>
    <row r="12696" spans="9:9" x14ac:dyDescent="0.3">
      <c r="I12696" s="101"/>
    </row>
    <row r="12697" spans="9:9" x14ac:dyDescent="0.3">
      <c r="I12697" s="101"/>
    </row>
    <row r="12698" spans="9:9" x14ac:dyDescent="0.3">
      <c r="I12698" s="101"/>
    </row>
    <row r="12699" spans="9:9" x14ac:dyDescent="0.3">
      <c r="I12699" s="101"/>
    </row>
    <row r="12700" spans="9:9" x14ac:dyDescent="0.3">
      <c r="I12700" s="101"/>
    </row>
    <row r="12701" spans="9:9" x14ac:dyDescent="0.3">
      <c r="I12701" s="101"/>
    </row>
    <row r="12702" spans="9:9" x14ac:dyDescent="0.3">
      <c r="I12702" s="101"/>
    </row>
    <row r="12703" spans="9:9" x14ac:dyDescent="0.3">
      <c r="I12703" s="101"/>
    </row>
    <row r="12704" spans="9:9" x14ac:dyDescent="0.3">
      <c r="I12704" s="101"/>
    </row>
    <row r="12705" spans="9:9" x14ac:dyDescent="0.3">
      <c r="I12705" s="101"/>
    </row>
    <row r="12706" spans="9:9" x14ac:dyDescent="0.3">
      <c r="I12706" s="101"/>
    </row>
    <row r="12707" spans="9:9" x14ac:dyDescent="0.3">
      <c r="I12707" s="101"/>
    </row>
    <row r="12708" spans="9:9" x14ac:dyDescent="0.3">
      <c r="I12708" s="101"/>
    </row>
    <row r="12709" spans="9:9" x14ac:dyDescent="0.3">
      <c r="I12709" s="101"/>
    </row>
    <row r="12710" spans="9:9" x14ac:dyDescent="0.3">
      <c r="I12710" s="101"/>
    </row>
    <row r="12711" spans="9:9" x14ac:dyDescent="0.3">
      <c r="I12711" s="101"/>
    </row>
    <row r="12712" spans="9:9" x14ac:dyDescent="0.3">
      <c r="I12712" s="101"/>
    </row>
    <row r="12713" spans="9:9" x14ac:dyDescent="0.3">
      <c r="I12713" s="101"/>
    </row>
    <row r="12714" spans="9:9" x14ac:dyDescent="0.3">
      <c r="I12714" s="101"/>
    </row>
    <row r="12715" spans="9:9" x14ac:dyDescent="0.3">
      <c r="I12715" s="101"/>
    </row>
    <row r="12716" spans="9:9" x14ac:dyDescent="0.3">
      <c r="I12716" s="101"/>
    </row>
    <row r="12717" spans="9:9" x14ac:dyDescent="0.3">
      <c r="I12717" s="101"/>
    </row>
    <row r="12718" spans="9:9" x14ac:dyDescent="0.3">
      <c r="I12718" s="101"/>
    </row>
    <row r="12719" spans="9:9" x14ac:dyDescent="0.3">
      <c r="I12719" s="101"/>
    </row>
    <row r="12720" spans="9:9" x14ac:dyDescent="0.3">
      <c r="I12720" s="101"/>
    </row>
    <row r="12721" spans="9:9" x14ac:dyDescent="0.3">
      <c r="I12721" s="101"/>
    </row>
    <row r="12722" spans="9:9" x14ac:dyDescent="0.3">
      <c r="I12722" s="101"/>
    </row>
    <row r="12723" spans="9:9" x14ac:dyDescent="0.3">
      <c r="I12723" s="101"/>
    </row>
    <row r="12724" spans="9:9" x14ac:dyDescent="0.3">
      <c r="I12724" s="101"/>
    </row>
    <row r="12725" spans="9:9" x14ac:dyDescent="0.3">
      <c r="I12725" s="101"/>
    </row>
    <row r="12726" spans="9:9" x14ac:dyDescent="0.3">
      <c r="I12726" s="101"/>
    </row>
    <row r="12727" spans="9:9" x14ac:dyDescent="0.3">
      <c r="I12727" s="101"/>
    </row>
    <row r="12728" spans="9:9" x14ac:dyDescent="0.3">
      <c r="I12728" s="101"/>
    </row>
    <row r="12729" spans="9:9" x14ac:dyDescent="0.3">
      <c r="I12729" s="101"/>
    </row>
    <row r="12730" spans="9:9" x14ac:dyDescent="0.3">
      <c r="I12730" s="101"/>
    </row>
    <row r="12731" spans="9:9" x14ac:dyDescent="0.3">
      <c r="I12731" s="101"/>
    </row>
    <row r="12732" spans="9:9" x14ac:dyDescent="0.3">
      <c r="I12732" s="101"/>
    </row>
    <row r="12733" spans="9:9" x14ac:dyDescent="0.3">
      <c r="I12733" s="101"/>
    </row>
    <row r="12734" spans="9:9" x14ac:dyDescent="0.3">
      <c r="I12734" s="101"/>
    </row>
    <row r="12735" spans="9:9" x14ac:dyDescent="0.3">
      <c r="I12735" s="101"/>
    </row>
    <row r="12736" spans="9:9" x14ac:dyDescent="0.3">
      <c r="I12736" s="101"/>
    </row>
    <row r="12737" spans="9:9" x14ac:dyDescent="0.3">
      <c r="I12737" s="101"/>
    </row>
    <row r="12738" spans="9:9" x14ac:dyDescent="0.3">
      <c r="I12738" s="101"/>
    </row>
    <row r="12739" spans="9:9" x14ac:dyDescent="0.3">
      <c r="I12739" s="101"/>
    </row>
    <row r="12740" spans="9:9" x14ac:dyDescent="0.3">
      <c r="I12740" s="101"/>
    </row>
    <row r="12741" spans="9:9" x14ac:dyDescent="0.3">
      <c r="I12741" s="101"/>
    </row>
    <row r="12742" spans="9:9" x14ac:dyDescent="0.3">
      <c r="I12742" s="101"/>
    </row>
    <row r="12743" spans="9:9" x14ac:dyDescent="0.3">
      <c r="I12743" s="101"/>
    </row>
    <row r="12744" spans="9:9" x14ac:dyDescent="0.3">
      <c r="I12744" s="101"/>
    </row>
    <row r="12745" spans="9:9" x14ac:dyDescent="0.3">
      <c r="I12745" s="101"/>
    </row>
    <row r="12746" spans="9:9" x14ac:dyDescent="0.3">
      <c r="I12746" s="101"/>
    </row>
    <row r="12747" spans="9:9" x14ac:dyDescent="0.3">
      <c r="I12747" s="101"/>
    </row>
    <row r="12748" spans="9:9" x14ac:dyDescent="0.3">
      <c r="I12748" s="101"/>
    </row>
    <row r="12749" spans="9:9" x14ac:dyDescent="0.3">
      <c r="I12749" s="101"/>
    </row>
    <row r="12750" spans="9:9" x14ac:dyDescent="0.3">
      <c r="I12750" s="101"/>
    </row>
    <row r="12751" spans="9:9" x14ac:dyDescent="0.3">
      <c r="I12751" s="101"/>
    </row>
    <row r="12752" spans="9:9" x14ac:dyDescent="0.3">
      <c r="I12752" s="101"/>
    </row>
    <row r="12753" spans="9:9" x14ac:dyDescent="0.3">
      <c r="I12753" s="101"/>
    </row>
    <row r="12754" spans="9:9" x14ac:dyDescent="0.3">
      <c r="I12754" s="101"/>
    </row>
    <row r="12755" spans="9:9" x14ac:dyDescent="0.3">
      <c r="I12755" s="101"/>
    </row>
    <row r="12756" spans="9:9" x14ac:dyDescent="0.3">
      <c r="I12756" s="101"/>
    </row>
    <row r="12757" spans="9:9" x14ac:dyDescent="0.3">
      <c r="I12757" s="101"/>
    </row>
    <row r="12758" spans="9:9" x14ac:dyDescent="0.3">
      <c r="I12758" s="101"/>
    </row>
    <row r="12759" spans="9:9" x14ac:dyDescent="0.3">
      <c r="I12759" s="101"/>
    </row>
    <row r="12760" spans="9:9" x14ac:dyDescent="0.3">
      <c r="I12760" s="101"/>
    </row>
    <row r="12761" spans="9:9" x14ac:dyDescent="0.3">
      <c r="I12761" s="101"/>
    </row>
    <row r="12762" spans="9:9" x14ac:dyDescent="0.3">
      <c r="I12762" s="101"/>
    </row>
    <row r="12763" spans="9:9" x14ac:dyDescent="0.3">
      <c r="I12763" s="101"/>
    </row>
    <row r="12764" spans="9:9" x14ac:dyDescent="0.3">
      <c r="I12764" s="101"/>
    </row>
    <row r="12765" spans="9:9" x14ac:dyDescent="0.3">
      <c r="I12765" s="101"/>
    </row>
    <row r="12766" spans="9:9" x14ac:dyDescent="0.3">
      <c r="I12766" s="101"/>
    </row>
    <row r="12767" spans="9:9" x14ac:dyDescent="0.3">
      <c r="I12767" s="101"/>
    </row>
    <row r="12768" spans="9:9" x14ac:dyDescent="0.3">
      <c r="I12768" s="101"/>
    </row>
    <row r="12769" spans="9:9" x14ac:dyDescent="0.3">
      <c r="I12769" s="101"/>
    </row>
    <row r="12770" spans="9:9" x14ac:dyDescent="0.3">
      <c r="I12770" s="101"/>
    </row>
    <row r="12771" spans="9:9" x14ac:dyDescent="0.3">
      <c r="I12771" s="101"/>
    </row>
    <row r="12772" spans="9:9" x14ac:dyDescent="0.3">
      <c r="I12772" s="101"/>
    </row>
    <row r="12773" spans="9:9" x14ac:dyDescent="0.3">
      <c r="I12773" s="101"/>
    </row>
    <row r="12774" spans="9:9" x14ac:dyDescent="0.3">
      <c r="I12774" s="101"/>
    </row>
    <row r="12775" spans="9:9" x14ac:dyDescent="0.3">
      <c r="I12775" s="101"/>
    </row>
    <row r="12776" spans="9:9" x14ac:dyDescent="0.3">
      <c r="I12776" s="101"/>
    </row>
    <row r="12777" spans="9:9" x14ac:dyDescent="0.3">
      <c r="I12777" s="101"/>
    </row>
    <row r="12778" spans="9:9" x14ac:dyDescent="0.3">
      <c r="I12778" s="101"/>
    </row>
    <row r="12779" spans="9:9" x14ac:dyDescent="0.3">
      <c r="I12779" s="101"/>
    </row>
    <row r="12780" spans="9:9" x14ac:dyDescent="0.3">
      <c r="I12780" s="101"/>
    </row>
    <row r="12781" spans="9:9" x14ac:dyDescent="0.3">
      <c r="I12781" s="101"/>
    </row>
    <row r="12782" spans="9:9" x14ac:dyDescent="0.3">
      <c r="I12782" s="101"/>
    </row>
    <row r="12783" spans="9:9" x14ac:dyDescent="0.3">
      <c r="I12783" s="101"/>
    </row>
    <row r="12784" spans="9:9" x14ac:dyDescent="0.3">
      <c r="I12784" s="101"/>
    </row>
    <row r="12785" spans="9:9" x14ac:dyDescent="0.3">
      <c r="I12785" s="101"/>
    </row>
    <row r="12786" spans="9:9" x14ac:dyDescent="0.3">
      <c r="I12786" s="101"/>
    </row>
    <row r="12787" spans="9:9" x14ac:dyDescent="0.3">
      <c r="I12787" s="101"/>
    </row>
    <row r="12788" spans="9:9" x14ac:dyDescent="0.3">
      <c r="I12788" s="101"/>
    </row>
    <row r="12789" spans="9:9" x14ac:dyDescent="0.3">
      <c r="I12789" s="101"/>
    </row>
    <row r="12790" spans="9:9" x14ac:dyDescent="0.3">
      <c r="I12790" s="101"/>
    </row>
    <row r="12791" spans="9:9" x14ac:dyDescent="0.3">
      <c r="I12791" s="101"/>
    </row>
    <row r="12792" spans="9:9" x14ac:dyDescent="0.3">
      <c r="I12792" s="101"/>
    </row>
    <row r="12793" spans="9:9" x14ac:dyDescent="0.3">
      <c r="I12793" s="101"/>
    </row>
    <row r="12794" spans="9:9" x14ac:dyDescent="0.3">
      <c r="I12794" s="101"/>
    </row>
    <row r="12795" spans="9:9" x14ac:dyDescent="0.3">
      <c r="I12795" s="101"/>
    </row>
    <row r="12796" spans="9:9" x14ac:dyDescent="0.3">
      <c r="I12796" s="101"/>
    </row>
    <row r="12797" spans="9:9" x14ac:dyDescent="0.3">
      <c r="I12797" s="101"/>
    </row>
    <row r="12798" spans="9:9" x14ac:dyDescent="0.3">
      <c r="I12798" s="101"/>
    </row>
    <row r="12799" spans="9:9" x14ac:dyDescent="0.3">
      <c r="I12799" s="101"/>
    </row>
    <row r="12800" spans="9:9" x14ac:dyDescent="0.3">
      <c r="I12800" s="101"/>
    </row>
    <row r="12801" spans="9:9" x14ac:dyDescent="0.3">
      <c r="I12801" s="101"/>
    </row>
    <row r="12802" spans="9:9" x14ac:dyDescent="0.3">
      <c r="I12802" s="101"/>
    </row>
    <row r="12803" spans="9:9" x14ac:dyDescent="0.3">
      <c r="I12803" s="101"/>
    </row>
    <row r="12804" spans="9:9" x14ac:dyDescent="0.3">
      <c r="I12804" s="101"/>
    </row>
    <row r="12805" spans="9:9" x14ac:dyDescent="0.3">
      <c r="I12805" s="101"/>
    </row>
    <row r="12806" spans="9:9" x14ac:dyDescent="0.3">
      <c r="I12806" s="101"/>
    </row>
    <row r="12807" spans="9:9" x14ac:dyDescent="0.3">
      <c r="I12807" s="101"/>
    </row>
    <row r="12808" spans="9:9" x14ac:dyDescent="0.3">
      <c r="I12808" s="101"/>
    </row>
    <row r="12809" spans="9:9" x14ac:dyDescent="0.3">
      <c r="I12809" s="101"/>
    </row>
    <row r="12810" spans="9:9" x14ac:dyDescent="0.3">
      <c r="I12810" s="101"/>
    </row>
    <row r="12811" spans="9:9" x14ac:dyDescent="0.3">
      <c r="I12811" s="101"/>
    </row>
    <row r="12812" spans="9:9" x14ac:dyDescent="0.3">
      <c r="I12812" s="101"/>
    </row>
    <row r="12813" spans="9:9" x14ac:dyDescent="0.3">
      <c r="I12813" s="101"/>
    </row>
    <row r="12814" spans="9:9" x14ac:dyDescent="0.3">
      <c r="I12814" s="101"/>
    </row>
    <row r="12815" spans="9:9" x14ac:dyDescent="0.3">
      <c r="I12815" s="101"/>
    </row>
    <row r="12816" spans="9:9" x14ac:dyDescent="0.3">
      <c r="I12816" s="101"/>
    </row>
    <row r="12817" spans="9:9" x14ac:dyDescent="0.3">
      <c r="I12817" s="101"/>
    </row>
    <row r="12818" spans="9:9" x14ac:dyDescent="0.3">
      <c r="I12818" s="101"/>
    </row>
    <row r="12819" spans="9:9" x14ac:dyDescent="0.3">
      <c r="I12819" s="101"/>
    </row>
    <row r="12820" spans="9:9" x14ac:dyDescent="0.3">
      <c r="I12820" s="101"/>
    </row>
    <row r="12821" spans="9:9" x14ac:dyDescent="0.3">
      <c r="I12821" s="101"/>
    </row>
    <row r="12822" spans="9:9" x14ac:dyDescent="0.3">
      <c r="I12822" s="101"/>
    </row>
    <row r="12823" spans="9:9" x14ac:dyDescent="0.3">
      <c r="I12823" s="101"/>
    </row>
    <row r="12824" spans="9:9" x14ac:dyDescent="0.3">
      <c r="I12824" s="101"/>
    </row>
    <row r="12825" spans="9:9" x14ac:dyDescent="0.3">
      <c r="I12825" s="101"/>
    </row>
    <row r="12826" spans="9:9" x14ac:dyDescent="0.3">
      <c r="I12826" s="101"/>
    </row>
    <row r="12827" spans="9:9" x14ac:dyDescent="0.3">
      <c r="I12827" s="101"/>
    </row>
    <row r="12828" spans="9:9" x14ac:dyDescent="0.3">
      <c r="I12828" s="101"/>
    </row>
    <row r="12829" spans="9:9" x14ac:dyDescent="0.3">
      <c r="I12829" s="101"/>
    </row>
    <row r="12830" spans="9:9" x14ac:dyDescent="0.3">
      <c r="I12830" s="101"/>
    </row>
    <row r="12831" spans="9:9" x14ac:dyDescent="0.3">
      <c r="I12831" s="101"/>
    </row>
    <row r="12832" spans="9:9" x14ac:dyDescent="0.3">
      <c r="I12832" s="101"/>
    </row>
    <row r="12833" spans="9:9" x14ac:dyDescent="0.3">
      <c r="I12833" s="101"/>
    </row>
    <row r="12834" spans="9:9" x14ac:dyDescent="0.3">
      <c r="I12834" s="101"/>
    </row>
    <row r="12835" spans="9:9" x14ac:dyDescent="0.3">
      <c r="I12835" s="101"/>
    </row>
    <row r="12836" spans="9:9" x14ac:dyDescent="0.3">
      <c r="I12836" s="101"/>
    </row>
    <row r="12837" spans="9:9" x14ac:dyDescent="0.3">
      <c r="I12837" s="101"/>
    </row>
    <row r="12838" spans="9:9" x14ac:dyDescent="0.3">
      <c r="I12838" s="101"/>
    </row>
    <row r="12839" spans="9:9" x14ac:dyDescent="0.3">
      <c r="I12839" s="101"/>
    </row>
    <row r="12840" spans="9:9" x14ac:dyDescent="0.3">
      <c r="I12840" s="101"/>
    </row>
    <row r="12841" spans="9:9" x14ac:dyDescent="0.3">
      <c r="I12841" s="101"/>
    </row>
    <row r="12842" spans="9:9" x14ac:dyDescent="0.3">
      <c r="I12842" s="101"/>
    </row>
    <row r="12843" spans="9:9" x14ac:dyDescent="0.3">
      <c r="I12843" s="101"/>
    </row>
    <row r="12844" spans="9:9" x14ac:dyDescent="0.3">
      <c r="I12844" s="101"/>
    </row>
    <row r="12845" spans="9:9" x14ac:dyDescent="0.3">
      <c r="I12845" s="101"/>
    </row>
    <row r="12846" spans="9:9" x14ac:dyDescent="0.3">
      <c r="I12846" s="101"/>
    </row>
    <row r="12847" spans="9:9" x14ac:dyDescent="0.3">
      <c r="I12847" s="101"/>
    </row>
    <row r="12848" spans="9:9" x14ac:dyDescent="0.3">
      <c r="I12848" s="101"/>
    </row>
    <row r="12849" spans="9:9" x14ac:dyDescent="0.3">
      <c r="I12849" s="101"/>
    </row>
    <row r="12850" spans="9:9" x14ac:dyDescent="0.3">
      <c r="I12850" s="101"/>
    </row>
    <row r="12851" spans="9:9" x14ac:dyDescent="0.3">
      <c r="I12851" s="101"/>
    </row>
    <row r="12852" spans="9:9" x14ac:dyDescent="0.3">
      <c r="I12852" s="101"/>
    </row>
    <row r="12853" spans="9:9" x14ac:dyDescent="0.3">
      <c r="I12853" s="101"/>
    </row>
    <row r="12854" spans="9:9" x14ac:dyDescent="0.3">
      <c r="I12854" s="101"/>
    </row>
    <row r="12855" spans="9:9" x14ac:dyDescent="0.3">
      <c r="I12855" s="101"/>
    </row>
    <row r="12856" spans="9:9" x14ac:dyDescent="0.3">
      <c r="I12856" s="101"/>
    </row>
    <row r="12857" spans="9:9" x14ac:dyDescent="0.3">
      <c r="I12857" s="101"/>
    </row>
    <row r="12858" spans="9:9" x14ac:dyDescent="0.3">
      <c r="I12858" s="101"/>
    </row>
    <row r="12859" spans="9:9" x14ac:dyDescent="0.3">
      <c r="I12859" s="101"/>
    </row>
    <row r="12860" spans="9:9" x14ac:dyDescent="0.3">
      <c r="I12860" s="101"/>
    </row>
    <row r="12861" spans="9:9" x14ac:dyDescent="0.3">
      <c r="I12861" s="101"/>
    </row>
    <row r="12862" spans="9:9" x14ac:dyDescent="0.3">
      <c r="I12862" s="101"/>
    </row>
    <row r="12863" spans="9:9" x14ac:dyDescent="0.3">
      <c r="I12863" s="101"/>
    </row>
    <row r="12864" spans="9:9" x14ac:dyDescent="0.3">
      <c r="I12864" s="101"/>
    </row>
    <row r="12865" spans="9:9" x14ac:dyDescent="0.3">
      <c r="I12865" s="101"/>
    </row>
    <row r="12866" spans="9:9" x14ac:dyDescent="0.3">
      <c r="I12866" s="101"/>
    </row>
    <row r="12867" spans="9:9" x14ac:dyDescent="0.3">
      <c r="I12867" s="101"/>
    </row>
    <row r="12868" spans="9:9" x14ac:dyDescent="0.3">
      <c r="I12868" s="101"/>
    </row>
    <row r="12869" spans="9:9" x14ac:dyDescent="0.3">
      <c r="I12869" s="101"/>
    </row>
    <row r="12870" spans="9:9" x14ac:dyDescent="0.3">
      <c r="I12870" s="101"/>
    </row>
    <row r="12871" spans="9:9" x14ac:dyDescent="0.3">
      <c r="I12871" s="101"/>
    </row>
    <row r="12872" spans="9:9" x14ac:dyDescent="0.3">
      <c r="I12872" s="101"/>
    </row>
    <row r="12873" spans="9:9" x14ac:dyDescent="0.3">
      <c r="I12873" s="101"/>
    </row>
    <row r="12874" spans="9:9" x14ac:dyDescent="0.3">
      <c r="I12874" s="101"/>
    </row>
    <row r="12875" spans="9:9" x14ac:dyDescent="0.3">
      <c r="I12875" s="101"/>
    </row>
    <row r="12876" spans="9:9" x14ac:dyDescent="0.3">
      <c r="I12876" s="101"/>
    </row>
    <row r="12877" spans="9:9" x14ac:dyDescent="0.3">
      <c r="I12877" s="101"/>
    </row>
    <row r="12878" spans="9:9" x14ac:dyDescent="0.3">
      <c r="I12878" s="101"/>
    </row>
    <row r="12879" spans="9:9" x14ac:dyDescent="0.3">
      <c r="I12879" s="101"/>
    </row>
    <row r="12880" spans="9:9" x14ac:dyDescent="0.3">
      <c r="I12880" s="101"/>
    </row>
    <row r="12881" spans="9:9" x14ac:dyDescent="0.3">
      <c r="I12881" s="101"/>
    </row>
    <row r="12882" spans="9:9" x14ac:dyDescent="0.3">
      <c r="I12882" s="101"/>
    </row>
    <row r="12883" spans="9:9" x14ac:dyDescent="0.3">
      <c r="I12883" s="101"/>
    </row>
    <row r="12884" spans="9:9" x14ac:dyDescent="0.3">
      <c r="I12884" s="101"/>
    </row>
    <row r="12885" spans="9:9" x14ac:dyDescent="0.3">
      <c r="I12885" s="101"/>
    </row>
    <row r="12886" spans="9:9" x14ac:dyDescent="0.3">
      <c r="I12886" s="101"/>
    </row>
    <row r="12887" spans="9:9" x14ac:dyDescent="0.3">
      <c r="I12887" s="101"/>
    </row>
    <row r="12888" spans="9:9" x14ac:dyDescent="0.3">
      <c r="I12888" s="101"/>
    </row>
    <row r="12889" spans="9:9" x14ac:dyDescent="0.3">
      <c r="I12889" s="101"/>
    </row>
    <row r="12890" spans="9:9" x14ac:dyDescent="0.3">
      <c r="I12890" s="101"/>
    </row>
    <row r="12891" spans="9:9" x14ac:dyDescent="0.3">
      <c r="I12891" s="101"/>
    </row>
    <row r="12892" spans="9:9" x14ac:dyDescent="0.3">
      <c r="I12892" s="101"/>
    </row>
    <row r="12893" spans="9:9" x14ac:dyDescent="0.3">
      <c r="I12893" s="101"/>
    </row>
    <row r="12894" spans="9:9" x14ac:dyDescent="0.3">
      <c r="I12894" s="101"/>
    </row>
    <row r="12895" spans="9:9" x14ac:dyDescent="0.3">
      <c r="I12895" s="101"/>
    </row>
    <row r="12896" spans="9:9" x14ac:dyDescent="0.3">
      <c r="I12896" s="101"/>
    </row>
    <row r="12897" spans="9:9" x14ac:dyDescent="0.3">
      <c r="I12897" s="101"/>
    </row>
    <row r="12898" spans="9:9" x14ac:dyDescent="0.3">
      <c r="I12898" s="101"/>
    </row>
    <row r="12899" spans="9:9" x14ac:dyDescent="0.3">
      <c r="I12899" s="101"/>
    </row>
    <row r="12900" spans="9:9" x14ac:dyDescent="0.3">
      <c r="I12900" s="101"/>
    </row>
    <row r="12901" spans="9:9" x14ac:dyDescent="0.3">
      <c r="I12901" s="101"/>
    </row>
    <row r="12902" spans="9:9" x14ac:dyDescent="0.3">
      <c r="I12902" s="101"/>
    </row>
    <row r="12903" spans="9:9" x14ac:dyDescent="0.3">
      <c r="I12903" s="101"/>
    </row>
    <row r="12904" spans="9:9" x14ac:dyDescent="0.3">
      <c r="I12904" s="101"/>
    </row>
    <row r="12905" spans="9:9" x14ac:dyDescent="0.3">
      <c r="I12905" s="101"/>
    </row>
    <row r="12906" spans="9:9" x14ac:dyDescent="0.3">
      <c r="I12906" s="101"/>
    </row>
    <row r="12907" spans="9:9" x14ac:dyDescent="0.3">
      <c r="I12907" s="101"/>
    </row>
    <row r="12908" spans="9:9" x14ac:dyDescent="0.3">
      <c r="I12908" s="101"/>
    </row>
    <row r="12909" spans="9:9" x14ac:dyDescent="0.3">
      <c r="I12909" s="101"/>
    </row>
    <row r="12910" spans="9:9" x14ac:dyDescent="0.3">
      <c r="I12910" s="101"/>
    </row>
    <row r="12911" spans="9:9" x14ac:dyDescent="0.3">
      <c r="I12911" s="101"/>
    </row>
    <row r="12912" spans="9:9" x14ac:dyDescent="0.3">
      <c r="I12912" s="101"/>
    </row>
    <row r="12913" spans="9:9" x14ac:dyDescent="0.3">
      <c r="I12913" s="101"/>
    </row>
    <row r="12914" spans="9:9" x14ac:dyDescent="0.3">
      <c r="I12914" s="101"/>
    </row>
    <row r="12915" spans="9:9" x14ac:dyDescent="0.3">
      <c r="I12915" s="101"/>
    </row>
    <row r="12916" spans="9:9" x14ac:dyDescent="0.3">
      <c r="I12916" s="101"/>
    </row>
    <row r="12917" spans="9:9" x14ac:dyDescent="0.3">
      <c r="I12917" s="101"/>
    </row>
    <row r="12918" spans="9:9" x14ac:dyDescent="0.3">
      <c r="I12918" s="101"/>
    </row>
    <row r="12919" spans="9:9" x14ac:dyDescent="0.3">
      <c r="I12919" s="101"/>
    </row>
    <row r="12920" spans="9:9" x14ac:dyDescent="0.3">
      <c r="I12920" s="101"/>
    </row>
    <row r="12921" spans="9:9" x14ac:dyDescent="0.3">
      <c r="I12921" s="101"/>
    </row>
    <row r="12922" spans="9:9" x14ac:dyDescent="0.3">
      <c r="I12922" s="101"/>
    </row>
    <row r="12923" spans="9:9" x14ac:dyDescent="0.3">
      <c r="I12923" s="101"/>
    </row>
    <row r="12924" spans="9:9" x14ac:dyDescent="0.3">
      <c r="I12924" s="101"/>
    </row>
    <row r="12925" spans="9:9" x14ac:dyDescent="0.3">
      <c r="I12925" s="101"/>
    </row>
    <row r="12926" spans="9:9" x14ac:dyDescent="0.3">
      <c r="I12926" s="101"/>
    </row>
    <row r="12927" spans="9:9" x14ac:dyDescent="0.3">
      <c r="I12927" s="101"/>
    </row>
    <row r="12928" spans="9:9" x14ac:dyDescent="0.3">
      <c r="I12928" s="101"/>
    </row>
    <row r="12929" spans="9:9" x14ac:dyDescent="0.3">
      <c r="I12929" s="101"/>
    </row>
    <row r="12930" spans="9:9" x14ac:dyDescent="0.3">
      <c r="I12930" s="101"/>
    </row>
    <row r="12931" spans="9:9" x14ac:dyDescent="0.3">
      <c r="I12931" s="101"/>
    </row>
    <row r="12932" spans="9:9" x14ac:dyDescent="0.3">
      <c r="I12932" s="101"/>
    </row>
    <row r="12933" spans="9:9" x14ac:dyDescent="0.3">
      <c r="I12933" s="101"/>
    </row>
    <row r="12934" spans="9:9" x14ac:dyDescent="0.3">
      <c r="I12934" s="101"/>
    </row>
    <row r="12935" spans="9:9" x14ac:dyDescent="0.3">
      <c r="I12935" s="101"/>
    </row>
    <row r="12936" spans="9:9" x14ac:dyDescent="0.3">
      <c r="I12936" s="101"/>
    </row>
    <row r="12937" spans="9:9" x14ac:dyDescent="0.3">
      <c r="I12937" s="101"/>
    </row>
    <row r="12938" spans="9:9" x14ac:dyDescent="0.3">
      <c r="I12938" s="101"/>
    </row>
    <row r="12939" spans="9:9" x14ac:dyDescent="0.3">
      <c r="I12939" s="101"/>
    </row>
    <row r="12940" spans="9:9" x14ac:dyDescent="0.3">
      <c r="I12940" s="101"/>
    </row>
    <row r="12941" spans="9:9" x14ac:dyDescent="0.3">
      <c r="I12941" s="101"/>
    </row>
    <row r="12942" spans="9:9" x14ac:dyDescent="0.3">
      <c r="I12942" s="101"/>
    </row>
    <row r="12943" spans="9:9" x14ac:dyDescent="0.3">
      <c r="I12943" s="101"/>
    </row>
    <row r="12944" spans="9:9" x14ac:dyDescent="0.3">
      <c r="I12944" s="101"/>
    </row>
    <row r="12945" spans="9:9" x14ac:dyDescent="0.3">
      <c r="I12945" s="101"/>
    </row>
    <row r="12946" spans="9:9" x14ac:dyDescent="0.3">
      <c r="I12946" s="101"/>
    </row>
    <row r="12947" spans="9:9" x14ac:dyDescent="0.3">
      <c r="I12947" s="101"/>
    </row>
    <row r="12948" spans="9:9" x14ac:dyDescent="0.3">
      <c r="I12948" s="101"/>
    </row>
    <row r="12949" spans="9:9" x14ac:dyDescent="0.3">
      <c r="I12949" s="101"/>
    </row>
    <row r="12950" spans="9:9" x14ac:dyDescent="0.3">
      <c r="I12950" s="101"/>
    </row>
    <row r="12951" spans="9:9" x14ac:dyDescent="0.3">
      <c r="I12951" s="101"/>
    </row>
    <row r="12952" spans="9:9" x14ac:dyDescent="0.3">
      <c r="I12952" s="101"/>
    </row>
    <row r="12953" spans="9:9" x14ac:dyDescent="0.3">
      <c r="I12953" s="101"/>
    </row>
    <row r="12954" spans="9:9" x14ac:dyDescent="0.3">
      <c r="I12954" s="101"/>
    </row>
    <row r="12955" spans="9:9" x14ac:dyDescent="0.3">
      <c r="I12955" s="101"/>
    </row>
    <row r="12956" spans="9:9" x14ac:dyDescent="0.3">
      <c r="I12956" s="101"/>
    </row>
    <row r="12957" spans="9:9" x14ac:dyDescent="0.3">
      <c r="I12957" s="101"/>
    </row>
    <row r="12958" spans="9:9" x14ac:dyDescent="0.3">
      <c r="I12958" s="101"/>
    </row>
    <row r="12959" spans="9:9" x14ac:dyDescent="0.3">
      <c r="I12959" s="101"/>
    </row>
    <row r="12960" spans="9:9" x14ac:dyDescent="0.3">
      <c r="I12960" s="101"/>
    </row>
    <row r="12961" spans="9:9" x14ac:dyDescent="0.3">
      <c r="I12961" s="101"/>
    </row>
    <row r="12962" spans="9:9" x14ac:dyDescent="0.3">
      <c r="I12962" s="101"/>
    </row>
    <row r="12963" spans="9:9" x14ac:dyDescent="0.3">
      <c r="I12963" s="101"/>
    </row>
    <row r="12964" spans="9:9" x14ac:dyDescent="0.3">
      <c r="I12964" s="101"/>
    </row>
    <row r="12965" spans="9:9" x14ac:dyDescent="0.3">
      <c r="I12965" s="101"/>
    </row>
    <row r="12966" spans="9:9" x14ac:dyDescent="0.3">
      <c r="I12966" s="101"/>
    </row>
    <row r="12967" spans="9:9" x14ac:dyDescent="0.3">
      <c r="I12967" s="101"/>
    </row>
    <row r="12968" spans="9:9" x14ac:dyDescent="0.3">
      <c r="I12968" s="101"/>
    </row>
    <row r="12969" spans="9:9" x14ac:dyDescent="0.3">
      <c r="I12969" s="101"/>
    </row>
    <row r="12970" spans="9:9" x14ac:dyDescent="0.3">
      <c r="I12970" s="101"/>
    </row>
    <row r="12971" spans="9:9" x14ac:dyDescent="0.3">
      <c r="I12971" s="101"/>
    </row>
    <row r="12972" spans="9:9" x14ac:dyDescent="0.3">
      <c r="I12972" s="101"/>
    </row>
    <row r="12973" spans="9:9" x14ac:dyDescent="0.3">
      <c r="I12973" s="101"/>
    </row>
    <row r="12974" spans="9:9" x14ac:dyDescent="0.3">
      <c r="I12974" s="101"/>
    </row>
    <row r="12975" spans="9:9" x14ac:dyDescent="0.3">
      <c r="I12975" s="101"/>
    </row>
    <row r="12976" spans="9:9" x14ac:dyDescent="0.3">
      <c r="I12976" s="101"/>
    </row>
    <row r="12977" spans="9:9" x14ac:dyDescent="0.3">
      <c r="I12977" s="101"/>
    </row>
    <row r="12978" spans="9:9" x14ac:dyDescent="0.3">
      <c r="I12978" s="101"/>
    </row>
    <row r="12979" spans="9:9" x14ac:dyDescent="0.3">
      <c r="I12979" s="101"/>
    </row>
    <row r="12980" spans="9:9" x14ac:dyDescent="0.3">
      <c r="I12980" s="101"/>
    </row>
    <row r="12981" spans="9:9" x14ac:dyDescent="0.3">
      <c r="I12981" s="101"/>
    </row>
    <row r="12982" spans="9:9" x14ac:dyDescent="0.3">
      <c r="I12982" s="101"/>
    </row>
    <row r="12983" spans="9:9" x14ac:dyDescent="0.3">
      <c r="I12983" s="101"/>
    </row>
    <row r="12984" spans="9:9" x14ac:dyDescent="0.3">
      <c r="I12984" s="101"/>
    </row>
    <row r="12985" spans="9:9" x14ac:dyDescent="0.3">
      <c r="I12985" s="101"/>
    </row>
    <row r="12986" spans="9:9" x14ac:dyDescent="0.3">
      <c r="I12986" s="101"/>
    </row>
    <row r="12987" spans="9:9" x14ac:dyDescent="0.3">
      <c r="I12987" s="101"/>
    </row>
    <row r="12988" spans="9:9" x14ac:dyDescent="0.3">
      <c r="I12988" s="101"/>
    </row>
    <row r="12989" spans="9:9" x14ac:dyDescent="0.3">
      <c r="I12989" s="101"/>
    </row>
    <row r="12990" spans="9:9" x14ac:dyDescent="0.3">
      <c r="I12990" s="101"/>
    </row>
    <row r="12991" spans="9:9" x14ac:dyDescent="0.3">
      <c r="I12991" s="101"/>
    </row>
    <row r="12992" spans="9:9" x14ac:dyDescent="0.3">
      <c r="I12992" s="101"/>
    </row>
    <row r="12993" spans="9:9" x14ac:dyDescent="0.3">
      <c r="I12993" s="101"/>
    </row>
    <row r="12994" spans="9:9" x14ac:dyDescent="0.3">
      <c r="I12994" s="101"/>
    </row>
    <row r="12995" spans="9:9" x14ac:dyDescent="0.3">
      <c r="I12995" s="101"/>
    </row>
    <row r="12996" spans="9:9" x14ac:dyDescent="0.3">
      <c r="I12996" s="101"/>
    </row>
    <row r="12997" spans="9:9" x14ac:dyDescent="0.3">
      <c r="I12997" s="101"/>
    </row>
    <row r="12998" spans="9:9" x14ac:dyDescent="0.3">
      <c r="I12998" s="101"/>
    </row>
    <row r="12999" spans="9:9" x14ac:dyDescent="0.3">
      <c r="I12999" s="101"/>
    </row>
    <row r="13000" spans="9:9" x14ac:dyDescent="0.3">
      <c r="I13000" s="101"/>
    </row>
    <row r="13001" spans="9:9" x14ac:dyDescent="0.3">
      <c r="I13001" s="101"/>
    </row>
    <row r="13002" spans="9:9" x14ac:dyDescent="0.3">
      <c r="I13002" s="101"/>
    </row>
    <row r="13003" spans="9:9" x14ac:dyDescent="0.3">
      <c r="I13003" s="101"/>
    </row>
    <row r="13004" spans="9:9" x14ac:dyDescent="0.3">
      <c r="I13004" s="101"/>
    </row>
    <row r="13005" spans="9:9" x14ac:dyDescent="0.3">
      <c r="I13005" s="101"/>
    </row>
    <row r="13006" spans="9:9" x14ac:dyDescent="0.3">
      <c r="I13006" s="101"/>
    </row>
    <row r="13007" spans="9:9" x14ac:dyDescent="0.3">
      <c r="I13007" s="101"/>
    </row>
    <row r="13008" spans="9:9" x14ac:dyDescent="0.3">
      <c r="I13008" s="101"/>
    </row>
    <row r="13009" spans="9:9" x14ac:dyDescent="0.3">
      <c r="I13009" s="101"/>
    </row>
    <row r="13010" spans="9:9" x14ac:dyDescent="0.3">
      <c r="I13010" s="101"/>
    </row>
    <row r="13011" spans="9:9" x14ac:dyDescent="0.3">
      <c r="I13011" s="101"/>
    </row>
    <row r="13012" spans="9:9" x14ac:dyDescent="0.3">
      <c r="I13012" s="101"/>
    </row>
    <row r="13013" spans="9:9" x14ac:dyDescent="0.3">
      <c r="I13013" s="101"/>
    </row>
    <row r="13014" spans="9:9" x14ac:dyDescent="0.3">
      <c r="I13014" s="101"/>
    </row>
    <row r="13015" spans="9:9" x14ac:dyDescent="0.3">
      <c r="I13015" s="101"/>
    </row>
    <row r="13016" spans="9:9" x14ac:dyDescent="0.3">
      <c r="I13016" s="101"/>
    </row>
    <row r="13017" spans="9:9" x14ac:dyDescent="0.3">
      <c r="I13017" s="101"/>
    </row>
    <row r="13018" spans="9:9" x14ac:dyDescent="0.3">
      <c r="I13018" s="101"/>
    </row>
    <row r="13019" spans="9:9" x14ac:dyDescent="0.3">
      <c r="I13019" s="101"/>
    </row>
    <row r="13020" spans="9:9" x14ac:dyDescent="0.3">
      <c r="I13020" s="101"/>
    </row>
    <row r="13021" spans="9:9" x14ac:dyDescent="0.3">
      <c r="I13021" s="101"/>
    </row>
    <row r="13022" spans="9:9" x14ac:dyDescent="0.3">
      <c r="I13022" s="101"/>
    </row>
    <row r="13023" spans="9:9" x14ac:dyDescent="0.3">
      <c r="I13023" s="101"/>
    </row>
    <row r="13024" spans="9:9" x14ac:dyDescent="0.3">
      <c r="I13024" s="101"/>
    </row>
    <row r="13025" spans="9:9" x14ac:dyDescent="0.3">
      <c r="I13025" s="101"/>
    </row>
    <row r="13026" spans="9:9" x14ac:dyDescent="0.3">
      <c r="I13026" s="101"/>
    </row>
    <row r="13027" spans="9:9" x14ac:dyDescent="0.3">
      <c r="I13027" s="101"/>
    </row>
    <row r="13028" spans="9:9" x14ac:dyDescent="0.3">
      <c r="I13028" s="101"/>
    </row>
    <row r="13029" spans="9:9" x14ac:dyDescent="0.3">
      <c r="I13029" s="101"/>
    </row>
    <row r="13030" spans="9:9" x14ac:dyDescent="0.3">
      <c r="I13030" s="101"/>
    </row>
    <row r="13031" spans="9:9" x14ac:dyDescent="0.3">
      <c r="I13031" s="101"/>
    </row>
    <row r="13032" spans="9:9" x14ac:dyDescent="0.3">
      <c r="I13032" s="101"/>
    </row>
    <row r="13033" spans="9:9" x14ac:dyDescent="0.3">
      <c r="I13033" s="101"/>
    </row>
    <row r="13034" spans="9:9" x14ac:dyDescent="0.3">
      <c r="I13034" s="101"/>
    </row>
    <row r="13035" spans="9:9" x14ac:dyDescent="0.3">
      <c r="I13035" s="101"/>
    </row>
    <row r="13036" spans="9:9" x14ac:dyDescent="0.3">
      <c r="I13036" s="101"/>
    </row>
    <row r="13037" spans="9:9" x14ac:dyDescent="0.3">
      <c r="I13037" s="101"/>
    </row>
    <row r="13038" spans="9:9" x14ac:dyDescent="0.3">
      <c r="I13038" s="101"/>
    </row>
    <row r="13039" spans="9:9" x14ac:dyDescent="0.3">
      <c r="I13039" s="101"/>
    </row>
    <row r="13040" spans="9:9" x14ac:dyDescent="0.3">
      <c r="I13040" s="101"/>
    </row>
    <row r="13041" spans="9:9" x14ac:dyDescent="0.3">
      <c r="I13041" s="101"/>
    </row>
    <row r="13042" spans="9:9" x14ac:dyDescent="0.3">
      <c r="I13042" s="101"/>
    </row>
    <row r="13043" spans="9:9" x14ac:dyDescent="0.3">
      <c r="I13043" s="101"/>
    </row>
    <row r="13044" spans="9:9" x14ac:dyDescent="0.3">
      <c r="I13044" s="101"/>
    </row>
    <row r="13045" spans="9:9" x14ac:dyDescent="0.3">
      <c r="I13045" s="101"/>
    </row>
    <row r="13046" spans="9:9" x14ac:dyDescent="0.3">
      <c r="I13046" s="101"/>
    </row>
    <row r="13047" spans="9:9" x14ac:dyDescent="0.3">
      <c r="I13047" s="101"/>
    </row>
    <row r="13048" spans="9:9" x14ac:dyDescent="0.3">
      <c r="I13048" s="101"/>
    </row>
    <row r="13049" spans="9:9" x14ac:dyDescent="0.3">
      <c r="I13049" s="101"/>
    </row>
    <row r="13050" spans="9:9" x14ac:dyDescent="0.3">
      <c r="I13050" s="101"/>
    </row>
    <row r="13051" spans="9:9" x14ac:dyDescent="0.3">
      <c r="I13051" s="101"/>
    </row>
    <row r="13052" spans="9:9" x14ac:dyDescent="0.3">
      <c r="I13052" s="101"/>
    </row>
    <row r="13053" spans="9:9" x14ac:dyDescent="0.3">
      <c r="I13053" s="101"/>
    </row>
    <row r="13054" spans="9:9" x14ac:dyDescent="0.3">
      <c r="I13054" s="101"/>
    </row>
    <row r="13055" spans="9:9" x14ac:dyDescent="0.3">
      <c r="I13055" s="101"/>
    </row>
    <row r="13056" spans="9:9" x14ac:dyDescent="0.3">
      <c r="I13056" s="101"/>
    </row>
    <row r="13057" spans="9:9" x14ac:dyDescent="0.3">
      <c r="I13057" s="101"/>
    </row>
    <row r="13058" spans="9:9" x14ac:dyDescent="0.3">
      <c r="I13058" s="101"/>
    </row>
    <row r="13059" spans="9:9" x14ac:dyDescent="0.3">
      <c r="I13059" s="101"/>
    </row>
    <row r="13060" spans="9:9" x14ac:dyDescent="0.3">
      <c r="I13060" s="101"/>
    </row>
    <row r="13061" spans="9:9" x14ac:dyDescent="0.3">
      <c r="I13061" s="101"/>
    </row>
    <row r="13062" spans="9:9" x14ac:dyDescent="0.3">
      <c r="I13062" s="101"/>
    </row>
    <row r="13063" spans="9:9" x14ac:dyDescent="0.3">
      <c r="I13063" s="101"/>
    </row>
    <row r="13064" spans="9:9" x14ac:dyDescent="0.3">
      <c r="I13064" s="101"/>
    </row>
    <row r="13065" spans="9:9" x14ac:dyDescent="0.3">
      <c r="I13065" s="101"/>
    </row>
    <row r="13066" spans="9:9" x14ac:dyDescent="0.3">
      <c r="I13066" s="101"/>
    </row>
    <row r="13067" spans="9:9" x14ac:dyDescent="0.3">
      <c r="I13067" s="101"/>
    </row>
    <row r="13068" spans="9:9" x14ac:dyDescent="0.3">
      <c r="I13068" s="101"/>
    </row>
    <row r="13069" spans="9:9" x14ac:dyDescent="0.3">
      <c r="I13069" s="101"/>
    </row>
    <row r="13070" spans="9:9" x14ac:dyDescent="0.3">
      <c r="I13070" s="101"/>
    </row>
    <row r="13071" spans="9:9" x14ac:dyDescent="0.3">
      <c r="I13071" s="101"/>
    </row>
    <row r="13072" spans="9:9" x14ac:dyDescent="0.3">
      <c r="I13072" s="101"/>
    </row>
    <row r="13073" spans="9:9" x14ac:dyDescent="0.3">
      <c r="I13073" s="101"/>
    </row>
    <row r="13074" spans="9:9" x14ac:dyDescent="0.3">
      <c r="I13074" s="101"/>
    </row>
    <row r="13075" spans="9:9" x14ac:dyDescent="0.3">
      <c r="I13075" s="101"/>
    </row>
    <row r="13076" spans="9:9" x14ac:dyDescent="0.3">
      <c r="I13076" s="101"/>
    </row>
    <row r="13077" spans="9:9" x14ac:dyDescent="0.3">
      <c r="I13077" s="101"/>
    </row>
    <row r="13078" spans="9:9" x14ac:dyDescent="0.3">
      <c r="I13078" s="101"/>
    </row>
    <row r="13079" spans="9:9" x14ac:dyDescent="0.3">
      <c r="I13079" s="101"/>
    </row>
    <row r="13080" spans="9:9" x14ac:dyDescent="0.3">
      <c r="I13080" s="101"/>
    </row>
    <row r="13081" spans="9:9" x14ac:dyDescent="0.3">
      <c r="I13081" s="101"/>
    </row>
    <row r="13082" spans="9:9" x14ac:dyDescent="0.3">
      <c r="I13082" s="101"/>
    </row>
    <row r="13083" spans="9:9" x14ac:dyDescent="0.3">
      <c r="I13083" s="101"/>
    </row>
    <row r="13084" spans="9:9" x14ac:dyDescent="0.3">
      <c r="I13084" s="101"/>
    </row>
    <row r="13085" spans="9:9" x14ac:dyDescent="0.3">
      <c r="I13085" s="101"/>
    </row>
    <row r="13086" spans="9:9" x14ac:dyDescent="0.3">
      <c r="I13086" s="101"/>
    </row>
    <row r="13087" spans="9:9" x14ac:dyDescent="0.3">
      <c r="I13087" s="101"/>
    </row>
    <row r="13088" spans="9:9" x14ac:dyDescent="0.3">
      <c r="I13088" s="101"/>
    </row>
    <row r="13089" spans="9:9" x14ac:dyDescent="0.3">
      <c r="I13089" s="101"/>
    </row>
    <row r="13090" spans="9:9" x14ac:dyDescent="0.3">
      <c r="I13090" s="101"/>
    </row>
    <row r="13091" spans="9:9" x14ac:dyDescent="0.3">
      <c r="I13091" s="101"/>
    </row>
    <row r="13092" spans="9:9" x14ac:dyDescent="0.3">
      <c r="I13092" s="101"/>
    </row>
    <row r="13093" spans="9:9" x14ac:dyDescent="0.3">
      <c r="I13093" s="101"/>
    </row>
    <row r="13094" spans="9:9" x14ac:dyDescent="0.3">
      <c r="I13094" s="101"/>
    </row>
    <row r="13095" spans="9:9" x14ac:dyDescent="0.3">
      <c r="I13095" s="101"/>
    </row>
    <row r="13096" spans="9:9" x14ac:dyDescent="0.3">
      <c r="I13096" s="101"/>
    </row>
    <row r="13097" spans="9:9" x14ac:dyDescent="0.3">
      <c r="I13097" s="101"/>
    </row>
    <row r="13098" spans="9:9" x14ac:dyDescent="0.3">
      <c r="I13098" s="101"/>
    </row>
    <row r="13099" spans="9:9" x14ac:dyDescent="0.3">
      <c r="I13099" s="101"/>
    </row>
    <row r="13100" spans="9:9" x14ac:dyDescent="0.3">
      <c r="I13100" s="101"/>
    </row>
    <row r="13101" spans="9:9" x14ac:dyDescent="0.3">
      <c r="I13101" s="101"/>
    </row>
    <row r="13102" spans="9:9" x14ac:dyDescent="0.3">
      <c r="I13102" s="101"/>
    </row>
    <row r="13103" spans="9:9" x14ac:dyDescent="0.3">
      <c r="I13103" s="101"/>
    </row>
    <row r="13104" spans="9:9" x14ac:dyDescent="0.3">
      <c r="I13104" s="101"/>
    </row>
    <row r="13105" spans="9:9" x14ac:dyDescent="0.3">
      <c r="I13105" s="101"/>
    </row>
    <row r="13106" spans="9:9" x14ac:dyDescent="0.3">
      <c r="I13106" s="101"/>
    </row>
    <row r="13107" spans="9:9" x14ac:dyDescent="0.3">
      <c r="I13107" s="101"/>
    </row>
    <row r="13108" spans="9:9" x14ac:dyDescent="0.3">
      <c r="I13108" s="101"/>
    </row>
    <row r="13109" spans="9:9" x14ac:dyDescent="0.3">
      <c r="I13109" s="101"/>
    </row>
    <row r="13110" spans="9:9" x14ac:dyDescent="0.3">
      <c r="I13110" s="101"/>
    </row>
    <row r="13111" spans="9:9" x14ac:dyDescent="0.3">
      <c r="I13111" s="101"/>
    </row>
    <row r="13112" spans="9:9" x14ac:dyDescent="0.3">
      <c r="I13112" s="101"/>
    </row>
    <row r="13113" spans="9:9" x14ac:dyDescent="0.3">
      <c r="I13113" s="101"/>
    </row>
    <row r="13114" spans="9:9" x14ac:dyDescent="0.3">
      <c r="I13114" s="101"/>
    </row>
    <row r="13115" spans="9:9" x14ac:dyDescent="0.3">
      <c r="I13115" s="101"/>
    </row>
    <row r="13116" spans="9:9" x14ac:dyDescent="0.3">
      <c r="I13116" s="101"/>
    </row>
    <row r="13117" spans="9:9" x14ac:dyDescent="0.3">
      <c r="I13117" s="101"/>
    </row>
    <row r="13118" spans="9:9" x14ac:dyDescent="0.3">
      <c r="I13118" s="101"/>
    </row>
    <row r="13119" spans="9:9" x14ac:dyDescent="0.3">
      <c r="I13119" s="101"/>
    </row>
    <row r="13120" spans="9:9" x14ac:dyDescent="0.3">
      <c r="I13120" s="101"/>
    </row>
    <row r="13121" spans="9:9" x14ac:dyDescent="0.3">
      <c r="I13121" s="101"/>
    </row>
    <row r="13122" spans="9:9" x14ac:dyDescent="0.3">
      <c r="I13122" s="101"/>
    </row>
    <row r="13123" spans="9:9" x14ac:dyDescent="0.3">
      <c r="I13123" s="101"/>
    </row>
    <row r="13124" spans="9:9" x14ac:dyDescent="0.3">
      <c r="I13124" s="101"/>
    </row>
    <row r="13125" spans="9:9" x14ac:dyDescent="0.3">
      <c r="I13125" s="101"/>
    </row>
    <row r="13126" spans="9:9" x14ac:dyDescent="0.3">
      <c r="I13126" s="101"/>
    </row>
    <row r="13127" spans="9:9" x14ac:dyDescent="0.3">
      <c r="I13127" s="101"/>
    </row>
    <row r="13128" spans="9:9" x14ac:dyDescent="0.3">
      <c r="I13128" s="101"/>
    </row>
    <row r="13129" spans="9:9" x14ac:dyDescent="0.3">
      <c r="I13129" s="101"/>
    </row>
    <row r="13130" spans="9:9" x14ac:dyDescent="0.3">
      <c r="I13130" s="101"/>
    </row>
    <row r="13131" spans="9:9" x14ac:dyDescent="0.3">
      <c r="I13131" s="101"/>
    </row>
    <row r="13132" spans="9:9" x14ac:dyDescent="0.3">
      <c r="I13132" s="101"/>
    </row>
    <row r="13133" spans="9:9" x14ac:dyDescent="0.3">
      <c r="I13133" s="101"/>
    </row>
    <row r="13134" spans="9:9" x14ac:dyDescent="0.3">
      <c r="I13134" s="101"/>
    </row>
    <row r="13135" spans="9:9" x14ac:dyDescent="0.3">
      <c r="I13135" s="101"/>
    </row>
    <row r="13136" spans="9:9" x14ac:dyDescent="0.3">
      <c r="I13136" s="101"/>
    </row>
    <row r="13137" spans="9:9" x14ac:dyDescent="0.3">
      <c r="I13137" s="101"/>
    </row>
    <row r="13138" spans="9:9" x14ac:dyDescent="0.3">
      <c r="I13138" s="101"/>
    </row>
    <row r="13139" spans="9:9" x14ac:dyDescent="0.3">
      <c r="I13139" s="101"/>
    </row>
    <row r="13140" spans="9:9" x14ac:dyDescent="0.3">
      <c r="I13140" s="101"/>
    </row>
    <row r="13141" spans="9:9" x14ac:dyDescent="0.3">
      <c r="I13141" s="101"/>
    </row>
    <row r="13142" spans="9:9" x14ac:dyDescent="0.3">
      <c r="I13142" s="101"/>
    </row>
    <row r="13143" spans="9:9" x14ac:dyDescent="0.3">
      <c r="I13143" s="101"/>
    </row>
    <row r="13144" spans="9:9" x14ac:dyDescent="0.3">
      <c r="I13144" s="101"/>
    </row>
    <row r="13145" spans="9:9" x14ac:dyDescent="0.3">
      <c r="I13145" s="101"/>
    </row>
    <row r="13146" spans="9:9" x14ac:dyDescent="0.3">
      <c r="I13146" s="101"/>
    </row>
    <row r="13147" spans="9:9" x14ac:dyDescent="0.3">
      <c r="I13147" s="101"/>
    </row>
    <row r="13148" spans="9:9" x14ac:dyDescent="0.3">
      <c r="I13148" s="101"/>
    </row>
    <row r="13149" spans="9:9" x14ac:dyDescent="0.3">
      <c r="I13149" s="101"/>
    </row>
    <row r="13150" spans="9:9" x14ac:dyDescent="0.3">
      <c r="I13150" s="101"/>
    </row>
    <row r="13151" spans="9:9" x14ac:dyDescent="0.3">
      <c r="I13151" s="101"/>
    </row>
    <row r="13152" spans="9:9" x14ac:dyDescent="0.3">
      <c r="I13152" s="101"/>
    </row>
    <row r="13153" spans="9:9" x14ac:dyDescent="0.3">
      <c r="I13153" s="101"/>
    </row>
    <row r="13154" spans="9:9" x14ac:dyDescent="0.3">
      <c r="I13154" s="101"/>
    </row>
    <row r="13155" spans="9:9" x14ac:dyDescent="0.3">
      <c r="I13155" s="101"/>
    </row>
    <row r="13156" spans="9:9" x14ac:dyDescent="0.3">
      <c r="I13156" s="101"/>
    </row>
    <row r="13157" spans="9:9" x14ac:dyDescent="0.3">
      <c r="I13157" s="101"/>
    </row>
    <row r="13158" spans="9:9" x14ac:dyDescent="0.3">
      <c r="I13158" s="101"/>
    </row>
    <row r="13159" spans="9:9" x14ac:dyDescent="0.3">
      <c r="I13159" s="101"/>
    </row>
    <row r="13160" spans="9:9" x14ac:dyDescent="0.3">
      <c r="I13160" s="101"/>
    </row>
    <row r="13161" spans="9:9" x14ac:dyDescent="0.3">
      <c r="I13161" s="101"/>
    </row>
    <row r="13162" spans="9:9" x14ac:dyDescent="0.3">
      <c r="I13162" s="101"/>
    </row>
    <row r="13163" spans="9:9" x14ac:dyDescent="0.3">
      <c r="I13163" s="101"/>
    </row>
    <row r="13164" spans="9:9" x14ac:dyDescent="0.3">
      <c r="I13164" s="101"/>
    </row>
    <row r="13165" spans="9:9" x14ac:dyDescent="0.3">
      <c r="I13165" s="101"/>
    </row>
    <row r="13166" spans="9:9" x14ac:dyDescent="0.3">
      <c r="I13166" s="101"/>
    </row>
    <row r="13167" spans="9:9" x14ac:dyDescent="0.3">
      <c r="I13167" s="101"/>
    </row>
    <row r="13168" spans="9:9" x14ac:dyDescent="0.3">
      <c r="I13168" s="101"/>
    </row>
    <row r="13169" spans="9:9" x14ac:dyDescent="0.3">
      <c r="I13169" s="101"/>
    </row>
    <row r="13170" spans="9:9" x14ac:dyDescent="0.3">
      <c r="I13170" s="101"/>
    </row>
    <row r="13171" spans="9:9" x14ac:dyDescent="0.3">
      <c r="I13171" s="101"/>
    </row>
    <row r="13172" spans="9:9" x14ac:dyDescent="0.3">
      <c r="I13172" s="101"/>
    </row>
    <row r="13173" spans="9:9" x14ac:dyDescent="0.3">
      <c r="I13173" s="101"/>
    </row>
    <row r="13174" spans="9:9" x14ac:dyDescent="0.3">
      <c r="I13174" s="101"/>
    </row>
    <row r="13175" spans="9:9" x14ac:dyDescent="0.3">
      <c r="I13175" s="101"/>
    </row>
    <row r="13176" spans="9:9" x14ac:dyDescent="0.3">
      <c r="I13176" s="101"/>
    </row>
    <row r="13177" spans="9:9" x14ac:dyDescent="0.3">
      <c r="I13177" s="101"/>
    </row>
    <row r="13178" spans="9:9" x14ac:dyDescent="0.3">
      <c r="I13178" s="101"/>
    </row>
    <row r="13179" spans="9:9" x14ac:dyDescent="0.3">
      <c r="I13179" s="101"/>
    </row>
    <row r="13180" spans="9:9" x14ac:dyDescent="0.3">
      <c r="I13180" s="101"/>
    </row>
    <row r="13181" spans="9:9" x14ac:dyDescent="0.3">
      <c r="I13181" s="101"/>
    </row>
    <row r="13182" spans="9:9" x14ac:dyDescent="0.3">
      <c r="I13182" s="101"/>
    </row>
    <row r="13183" spans="9:9" x14ac:dyDescent="0.3">
      <c r="I13183" s="101"/>
    </row>
    <row r="13184" spans="9:9" x14ac:dyDescent="0.3">
      <c r="I13184" s="101"/>
    </row>
    <row r="13185" spans="9:9" x14ac:dyDescent="0.3">
      <c r="I13185" s="101"/>
    </row>
    <row r="13186" spans="9:9" x14ac:dyDescent="0.3">
      <c r="I13186" s="101"/>
    </row>
    <row r="13187" spans="9:9" x14ac:dyDescent="0.3">
      <c r="I13187" s="101"/>
    </row>
    <row r="13188" spans="9:9" x14ac:dyDescent="0.3">
      <c r="I13188" s="101"/>
    </row>
    <row r="13189" spans="9:9" x14ac:dyDescent="0.3">
      <c r="I13189" s="101"/>
    </row>
    <row r="13190" spans="9:9" x14ac:dyDescent="0.3">
      <c r="I13190" s="101"/>
    </row>
    <row r="13191" spans="9:9" x14ac:dyDescent="0.3">
      <c r="I13191" s="101"/>
    </row>
    <row r="13192" spans="9:9" x14ac:dyDescent="0.3">
      <c r="I13192" s="101"/>
    </row>
    <row r="13193" spans="9:9" x14ac:dyDescent="0.3">
      <c r="I13193" s="101"/>
    </row>
    <row r="13194" spans="9:9" x14ac:dyDescent="0.3">
      <c r="I13194" s="101"/>
    </row>
    <row r="13195" spans="9:9" x14ac:dyDescent="0.3">
      <c r="I13195" s="101"/>
    </row>
    <row r="13196" spans="9:9" x14ac:dyDescent="0.3">
      <c r="I13196" s="101"/>
    </row>
    <row r="13197" spans="9:9" x14ac:dyDescent="0.3">
      <c r="I13197" s="101"/>
    </row>
    <row r="13198" spans="9:9" x14ac:dyDescent="0.3">
      <c r="I13198" s="101"/>
    </row>
    <row r="13199" spans="9:9" x14ac:dyDescent="0.3">
      <c r="I13199" s="101"/>
    </row>
    <row r="13200" spans="9:9" x14ac:dyDescent="0.3">
      <c r="I13200" s="101"/>
    </row>
    <row r="13201" spans="9:9" x14ac:dyDescent="0.3">
      <c r="I13201" s="101"/>
    </row>
    <row r="13202" spans="9:9" x14ac:dyDescent="0.3">
      <c r="I13202" s="101"/>
    </row>
    <row r="13203" spans="9:9" x14ac:dyDescent="0.3">
      <c r="I13203" s="101"/>
    </row>
    <row r="13204" spans="9:9" x14ac:dyDescent="0.3">
      <c r="I13204" s="101"/>
    </row>
    <row r="13205" spans="9:9" x14ac:dyDescent="0.3">
      <c r="I13205" s="101"/>
    </row>
    <row r="13206" spans="9:9" x14ac:dyDescent="0.3">
      <c r="I13206" s="101"/>
    </row>
    <row r="13207" spans="9:9" x14ac:dyDescent="0.3">
      <c r="I13207" s="101"/>
    </row>
    <row r="13208" spans="9:9" x14ac:dyDescent="0.3">
      <c r="I13208" s="101"/>
    </row>
    <row r="13209" spans="9:9" x14ac:dyDescent="0.3">
      <c r="I13209" s="101"/>
    </row>
    <row r="13210" spans="9:9" x14ac:dyDescent="0.3">
      <c r="I13210" s="101"/>
    </row>
    <row r="13211" spans="9:9" x14ac:dyDescent="0.3">
      <c r="I13211" s="101"/>
    </row>
    <row r="13212" spans="9:9" x14ac:dyDescent="0.3">
      <c r="I13212" s="101"/>
    </row>
    <row r="13213" spans="9:9" x14ac:dyDescent="0.3">
      <c r="I13213" s="101"/>
    </row>
    <row r="13214" spans="9:9" x14ac:dyDescent="0.3">
      <c r="I13214" s="101"/>
    </row>
    <row r="13215" spans="9:9" x14ac:dyDescent="0.3">
      <c r="I13215" s="101"/>
    </row>
    <row r="13216" spans="9:9" x14ac:dyDescent="0.3">
      <c r="I13216" s="101"/>
    </row>
    <row r="13217" spans="9:9" x14ac:dyDescent="0.3">
      <c r="I13217" s="101"/>
    </row>
    <row r="13218" spans="9:9" x14ac:dyDescent="0.3">
      <c r="I13218" s="101"/>
    </row>
    <row r="13219" spans="9:9" x14ac:dyDescent="0.3">
      <c r="I13219" s="101"/>
    </row>
    <row r="13220" spans="9:9" x14ac:dyDescent="0.3">
      <c r="I13220" s="101"/>
    </row>
    <row r="13221" spans="9:9" x14ac:dyDescent="0.3">
      <c r="I13221" s="101"/>
    </row>
    <row r="13222" spans="9:9" x14ac:dyDescent="0.3">
      <c r="I13222" s="101"/>
    </row>
    <row r="13223" spans="9:9" x14ac:dyDescent="0.3">
      <c r="I13223" s="101"/>
    </row>
    <row r="13224" spans="9:9" x14ac:dyDescent="0.3">
      <c r="I13224" s="101"/>
    </row>
    <row r="13225" spans="9:9" x14ac:dyDescent="0.3">
      <c r="I13225" s="101"/>
    </row>
    <row r="13226" spans="9:9" x14ac:dyDescent="0.3">
      <c r="I13226" s="101"/>
    </row>
    <row r="13227" spans="9:9" x14ac:dyDescent="0.3">
      <c r="I13227" s="101"/>
    </row>
    <row r="13228" spans="9:9" x14ac:dyDescent="0.3">
      <c r="I13228" s="101"/>
    </row>
    <row r="13229" spans="9:9" x14ac:dyDescent="0.3">
      <c r="I13229" s="101"/>
    </row>
    <row r="13230" spans="9:9" x14ac:dyDescent="0.3">
      <c r="I13230" s="101"/>
    </row>
    <row r="13231" spans="9:9" x14ac:dyDescent="0.3">
      <c r="I13231" s="101"/>
    </row>
    <row r="13232" spans="9:9" x14ac:dyDescent="0.3">
      <c r="I13232" s="101"/>
    </row>
    <row r="13233" spans="9:9" x14ac:dyDescent="0.3">
      <c r="I13233" s="101"/>
    </row>
    <row r="13234" spans="9:9" x14ac:dyDescent="0.3">
      <c r="I13234" s="101"/>
    </row>
    <row r="13235" spans="9:9" x14ac:dyDescent="0.3">
      <c r="I13235" s="101"/>
    </row>
    <row r="13236" spans="9:9" x14ac:dyDescent="0.3">
      <c r="I13236" s="101"/>
    </row>
    <row r="13237" spans="9:9" x14ac:dyDescent="0.3">
      <c r="I13237" s="101"/>
    </row>
    <row r="13238" spans="9:9" x14ac:dyDescent="0.3">
      <c r="I13238" s="101"/>
    </row>
    <row r="13239" spans="9:9" x14ac:dyDescent="0.3">
      <c r="I13239" s="101"/>
    </row>
    <row r="13240" spans="9:9" x14ac:dyDescent="0.3">
      <c r="I13240" s="101"/>
    </row>
    <row r="13241" spans="9:9" x14ac:dyDescent="0.3">
      <c r="I13241" s="101"/>
    </row>
    <row r="13242" spans="9:9" x14ac:dyDescent="0.3">
      <c r="I13242" s="101"/>
    </row>
    <row r="13243" spans="9:9" x14ac:dyDescent="0.3">
      <c r="I13243" s="101"/>
    </row>
    <row r="13244" spans="9:9" x14ac:dyDescent="0.3">
      <c r="I13244" s="101"/>
    </row>
    <row r="13245" spans="9:9" x14ac:dyDescent="0.3">
      <c r="I13245" s="101"/>
    </row>
    <row r="13246" spans="9:9" x14ac:dyDescent="0.3">
      <c r="I13246" s="101"/>
    </row>
    <row r="13247" spans="9:9" x14ac:dyDescent="0.3">
      <c r="I13247" s="101"/>
    </row>
    <row r="13248" spans="9:9" x14ac:dyDescent="0.3">
      <c r="I13248" s="101"/>
    </row>
    <row r="13249" spans="9:9" x14ac:dyDescent="0.3">
      <c r="I13249" s="101"/>
    </row>
    <row r="13250" spans="9:9" x14ac:dyDescent="0.3">
      <c r="I13250" s="101"/>
    </row>
    <row r="13251" spans="9:9" x14ac:dyDescent="0.3">
      <c r="I13251" s="101"/>
    </row>
    <row r="13252" spans="9:9" x14ac:dyDescent="0.3">
      <c r="I13252" s="101"/>
    </row>
    <row r="13253" spans="9:9" x14ac:dyDescent="0.3">
      <c r="I13253" s="101"/>
    </row>
    <row r="13254" spans="9:9" x14ac:dyDescent="0.3">
      <c r="I13254" s="101"/>
    </row>
    <row r="13255" spans="9:9" x14ac:dyDescent="0.3">
      <c r="I13255" s="101"/>
    </row>
    <row r="13256" spans="9:9" x14ac:dyDescent="0.3">
      <c r="I13256" s="101"/>
    </row>
    <row r="13257" spans="9:9" x14ac:dyDescent="0.3">
      <c r="I13257" s="101"/>
    </row>
    <row r="13258" spans="9:9" x14ac:dyDescent="0.3">
      <c r="I13258" s="101"/>
    </row>
    <row r="13259" spans="9:9" x14ac:dyDescent="0.3">
      <c r="I13259" s="101"/>
    </row>
    <row r="13260" spans="9:9" x14ac:dyDescent="0.3">
      <c r="I13260" s="101"/>
    </row>
    <row r="13261" spans="9:9" x14ac:dyDescent="0.3">
      <c r="I13261" s="101"/>
    </row>
    <row r="13262" spans="9:9" x14ac:dyDescent="0.3">
      <c r="I13262" s="101"/>
    </row>
    <row r="13263" spans="9:9" x14ac:dyDescent="0.3">
      <c r="I13263" s="101"/>
    </row>
    <row r="13264" spans="9:9" x14ac:dyDescent="0.3">
      <c r="I13264" s="101"/>
    </row>
    <row r="13265" spans="9:9" x14ac:dyDescent="0.3">
      <c r="I13265" s="101"/>
    </row>
    <row r="13266" spans="9:9" x14ac:dyDescent="0.3">
      <c r="I13266" s="101"/>
    </row>
    <row r="13267" spans="9:9" x14ac:dyDescent="0.3">
      <c r="I13267" s="101"/>
    </row>
    <row r="13268" spans="9:9" x14ac:dyDescent="0.3">
      <c r="I13268" s="101"/>
    </row>
    <row r="13269" spans="9:9" x14ac:dyDescent="0.3">
      <c r="I13269" s="101"/>
    </row>
    <row r="13270" spans="9:9" x14ac:dyDescent="0.3">
      <c r="I13270" s="101"/>
    </row>
    <row r="13271" spans="9:9" x14ac:dyDescent="0.3">
      <c r="I13271" s="101"/>
    </row>
    <row r="13272" spans="9:9" x14ac:dyDescent="0.3">
      <c r="I13272" s="101"/>
    </row>
    <row r="13273" spans="9:9" x14ac:dyDescent="0.3">
      <c r="I13273" s="101"/>
    </row>
    <row r="13274" spans="9:9" x14ac:dyDescent="0.3">
      <c r="I13274" s="101"/>
    </row>
    <row r="13275" spans="9:9" x14ac:dyDescent="0.3">
      <c r="I13275" s="101"/>
    </row>
    <row r="13276" spans="9:9" x14ac:dyDescent="0.3">
      <c r="I13276" s="101"/>
    </row>
    <row r="13277" spans="9:9" x14ac:dyDescent="0.3">
      <c r="I13277" s="101"/>
    </row>
    <row r="13278" spans="9:9" x14ac:dyDescent="0.3">
      <c r="I13278" s="101"/>
    </row>
    <row r="13279" spans="9:9" x14ac:dyDescent="0.3">
      <c r="I13279" s="101"/>
    </row>
    <row r="13280" spans="9:9" x14ac:dyDescent="0.3">
      <c r="I13280" s="101"/>
    </row>
    <row r="13281" spans="9:9" x14ac:dyDescent="0.3">
      <c r="I13281" s="101"/>
    </row>
    <row r="13282" spans="9:9" x14ac:dyDescent="0.3">
      <c r="I13282" s="101"/>
    </row>
    <row r="13283" spans="9:9" x14ac:dyDescent="0.3">
      <c r="I13283" s="101"/>
    </row>
    <row r="13284" spans="9:9" x14ac:dyDescent="0.3">
      <c r="I13284" s="101"/>
    </row>
    <row r="13285" spans="9:9" x14ac:dyDescent="0.3">
      <c r="I13285" s="101"/>
    </row>
    <row r="13286" spans="9:9" x14ac:dyDescent="0.3">
      <c r="I13286" s="101"/>
    </row>
    <row r="13287" spans="9:9" x14ac:dyDescent="0.3">
      <c r="I13287" s="101"/>
    </row>
    <row r="13288" spans="9:9" x14ac:dyDescent="0.3">
      <c r="I13288" s="101"/>
    </row>
    <row r="13289" spans="9:9" x14ac:dyDescent="0.3">
      <c r="I13289" s="101"/>
    </row>
    <row r="13290" spans="9:9" x14ac:dyDescent="0.3">
      <c r="I13290" s="101"/>
    </row>
    <row r="13291" spans="9:9" x14ac:dyDescent="0.3">
      <c r="I13291" s="101"/>
    </row>
    <row r="13292" spans="9:9" x14ac:dyDescent="0.3">
      <c r="I13292" s="101"/>
    </row>
    <row r="13293" spans="9:9" x14ac:dyDescent="0.3">
      <c r="I13293" s="101"/>
    </row>
    <row r="13294" spans="9:9" x14ac:dyDescent="0.3">
      <c r="I13294" s="101"/>
    </row>
    <row r="13295" spans="9:9" x14ac:dyDescent="0.3">
      <c r="I13295" s="101"/>
    </row>
    <row r="13296" spans="9:9" x14ac:dyDescent="0.3">
      <c r="I13296" s="101"/>
    </row>
    <row r="13297" spans="9:9" x14ac:dyDescent="0.3">
      <c r="I13297" s="101"/>
    </row>
    <row r="13298" spans="9:9" x14ac:dyDescent="0.3">
      <c r="I13298" s="101"/>
    </row>
    <row r="13299" spans="9:9" x14ac:dyDescent="0.3">
      <c r="I13299" s="101"/>
    </row>
    <row r="13300" spans="9:9" x14ac:dyDescent="0.3">
      <c r="I13300" s="101"/>
    </row>
    <row r="13301" spans="9:9" x14ac:dyDescent="0.3">
      <c r="I13301" s="101"/>
    </row>
    <row r="13302" spans="9:9" x14ac:dyDescent="0.3">
      <c r="I13302" s="101"/>
    </row>
    <row r="13303" spans="9:9" x14ac:dyDescent="0.3">
      <c r="I13303" s="101"/>
    </row>
    <row r="13304" spans="9:9" x14ac:dyDescent="0.3">
      <c r="I13304" s="101"/>
    </row>
    <row r="13305" spans="9:9" x14ac:dyDescent="0.3">
      <c r="I13305" s="101"/>
    </row>
    <row r="13306" spans="9:9" x14ac:dyDescent="0.3">
      <c r="I13306" s="101"/>
    </row>
    <row r="13307" spans="9:9" x14ac:dyDescent="0.3">
      <c r="I13307" s="101"/>
    </row>
    <row r="13308" spans="9:9" x14ac:dyDescent="0.3">
      <c r="I13308" s="101"/>
    </row>
    <row r="13309" spans="9:9" x14ac:dyDescent="0.3">
      <c r="I13309" s="101"/>
    </row>
    <row r="13310" spans="9:9" x14ac:dyDescent="0.3">
      <c r="I13310" s="101"/>
    </row>
    <row r="13311" spans="9:9" x14ac:dyDescent="0.3">
      <c r="I13311" s="101"/>
    </row>
    <row r="13312" spans="9:9" x14ac:dyDescent="0.3">
      <c r="I13312" s="101"/>
    </row>
    <row r="13313" spans="9:9" x14ac:dyDescent="0.3">
      <c r="I13313" s="101"/>
    </row>
    <row r="13314" spans="9:9" x14ac:dyDescent="0.3">
      <c r="I13314" s="101"/>
    </row>
    <row r="13315" spans="9:9" x14ac:dyDescent="0.3">
      <c r="I13315" s="101"/>
    </row>
    <row r="13316" spans="9:9" x14ac:dyDescent="0.3">
      <c r="I13316" s="101"/>
    </row>
    <row r="13317" spans="9:9" x14ac:dyDescent="0.3">
      <c r="I13317" s="101"/>
    </row>
    <row r="13318" spans="9:9" x14ac:dyDescent="0.3">
      <c r="I13318" s="101"/>
    </row>
    <row r="13319" spans="9:9" x14ac:dyDescent="0.3">
      <c r="I13319" s="101"/>
    </row>
    <row r="13320" spans="9:9" x14ac:dyDescent="0.3">
      <c r="I13320" s="101"/>
    </row>
    <row r="13321" spans="9:9" x14ac:dyDescent="0.3">
      <c r="I13321" s="101"/>
    </row>
    <row r="13322" spans="9:9" x14ac:dyDescent="0.3">
      <c r="I13322" s="101"/>
    </row>
    <row r="13323" spans="9:9" x14ac:dyDescent="0.3">
      <c r="I13323" s="101"/>
    </row>
    <row r="13324" spans="9:9" x14ac:dyDescent="0.3">
      <c r="I13324" s="101"/>
    </row>
    <row r="13325" spans="9:9" x14ac:dyDescent="0.3">
      <c r="I13325" s="101"/>
    </row>
    <row r="13326" spans="9:9" x14ac:dyDescent="0.3">
      <c r="I13326" s="101"/>
    </row>
    <row r="13327" spans="9:9" x14ac:dyDescent="0.3">
      <c r="I13327" s="101"/>
    </row>
    <row r="13328" spans="9:9" x14ac:dyDescent="0.3">
      <c r="I13328" s="101"/>
    </row>
    <row r="13329" spans="9:9" x14ac:dyDescent="0.3">
      <c r="I13329" s="101"/>
    </row>
    <row r="13330" spans="9:9" x14ac:dyDescent="0.3">
      <c r="I13330" s="101"/>
    </row>
    <row r="13331" spans="9:9" x14ac:dyDescent="0.3">
      <c r="I13331" s="101"/>
    </row>
    <row r="13332" spans="9:9" x14ac:dyDescent="0.3">
      <c r="I13332" s="101"/>
    </row>
    <row r="13333" spans="9:9" x14ac:dyDescent="0.3">
      <c r="I13333" s="101"/>
    </row>
    <row r="13334" spans="9:9" x14ac:dyDescent="0.3">
      <c r="I13334" s="101"/>
    </row>
    <row r="13335" spans="9:9" x14ac:dyDescent="0.3">
      <c r="I13335" s="101"/>
    </row>
    <row r="13336" spans="9:9" x14ac:dyDescent="0.3">
      <c r="I13336" s="101"/>
    </row>
    <row r="13337" spans="9:9" x14ac:dyDescent="0.3">
      <c r="I13337" s="101"/>
    </row>
    <row r="13338" spans="9:9" x14ac:dyDescent="0.3">
      <c r="I13338" s="101"/>
    </row>
    <row r="13339" spans="9:9" x14ac:dyDescent="0.3">
      <c r="I13339" s="101"/>
    </row>
    <row r="13340" spans="9:9" x14ac:dyDescent="0.3">
      <c r="I13340" s="101"/>
    </row>
    <row r="13341" spans="9:9" x14ac:dyDescent="0.3">
      <c r="I13341" s="101"/>
    </row>
    <row r="13342" spans="9:9" x14ac:dyDescent="0.3">
      <c r="I13342" s="101"/>
    </row>
    <row r="13343" spans="9:9" x14ac:dyDescent="0.3">
      <c r="I13343" s="101"/>
    </row>
    <row r="13344" spans="9:9" x14ac:dyDescent="0.3">
      <c r="I13344" s="101"/>
    </row>
    <row r="13345" spans="9:9" x14ac:dyDescent="0.3">
      <c r="I13345" s="101"/>
    </row>
    <row r="13346" spans="9:9" x14ac:dyDescent="0.3">
      <c r="I13346" s="101"/>
    </row>
    <row r="13347" spans="9:9" x14ac:dyDescent="0.3">
      <c r="I13347" s="101"/>
    </row>
    <row r="13348" spans="9:9" x14ac:dyDescent="0.3">
      <c r="I13348" s="101"/>
    </row>
    <row r="13349" spans="9:9" x14ac:dyDescent="0.3">
      <c r="I13349" s="101"/>
    </row>
    <row r="13350" spans="9:9" x14ac:dyDescent="0.3">
      <c r="I13350" s="101"/>
    </row>
    <row r="13351" spans="9:9" x14ac:dyDescent="0.3">
      <c r="I13351" s="101"/>
    </row>
    <row r="13352" spans="9:9" x14ac:dyDescent="0.3">
      <c r="I13352" s="101"/>
    </row>
    <row r="13353" spans="9:9" x14ac:dyDescent="0.3">
      <c r="I13353" s="101"/>
    </row>
    <row r="13354" spans="9:9" x14ac:dyDescent="0.3">
      <c r="I13354" s="101"/>
    </row>
    <row r="13355" spans="9:9" x14ac:dyDescent="0.3">
      <c r="I13355" s="101"/>
    </row>
    <row r="13356" spans="9:9" x14ac:dyDescent="0.3">
      <c r="I13356" s="101"/>
    </row>
    <row r="13357" spans="9:9" x14ac:dyDescent="0.3">
      <c r="I13357" s="101"/>
    </row>
    <row r="13358" spans="9:9" x14ac:dyDescent="0.3">
      <c r="I13358" s="101"/>
    </row>
    <row r="13359" spans="9:9" x14ac:dyDescent="0.3">
      <c r="I13359" s="101"/>
    </row>
    <row r="13360" spans="9:9" x14ac:dyDescent="0.3">
      <c r="I13360" s="101"/>
    </row>
    <row r="13361" spans="9:9" x14ac:dyDescent="0.3">
      <c r="I13361" s="101"/>
    </row>
    <row r="13362" spans="9:9" x14ac:dyDescent="0.3">
      <c r="I13362" s="101"/>
    </row>
    <row r="13363" spans="9:9" x14ac:dyDescent="0.3">
      <c r="I13363" s="101"/>
    </row>
    <row r="13364" spans="9:9" x14ac:dyDescent="0.3">
      <c r="I13364" s="101"/>
    </row>
    <row r="13365" spans="9:9" x14ac:dyDescent="0.3">
      <c r="I13365" s="101"/>
    </row>
    <row r="13366" spans="9:9" x14ac:dyDescent="0.3">
      <c r="I13366" s="101"/>
    </row>
    <row r="13367" spans="9:9" x14ac:dyDescent="0.3">
      <c r="I13367" s="101"/>
    </row>
    <row r="13368" spans="9:9" x14ac:dyDescent="0.3">
      <c r="I13368" s="101"/>
    </row>
    <row r="13369" spans="9:9" x14ac:dyDescent="0.3">
      <c r="I13369" s="101"/>
    </row>
    <row r="13370" spans="9:9" x14ac:dyDescent="0.3">
      <c r="I13370" s="101"/>
    </row>
    <row r="13371" spans="9:9" x14ac:dyDescent="0.3">
      <c r="I13371" s="101"/>
    </row>
    <row r="13372" spans="9:9" x14ac:dyDescent="0.3">
      <c r="I13372" s="101"/>
    </row>
    <row r="13373" spans="9:9" x14ac:dyDescent="0.3">
      <c r="I13373" s="101"/>
    </row>
    <row r="13374" spans="9:9" x14ac:dyDescent="0.3">
      <c r="I13374" s="101"/>
    </row>
    <row r="13375" spans="9:9" x14ac:dyDescent="0.3">
      <c r="I13375" s="101"/>
    </row>
    <row r="13376" spans="9:9" x14ac:dyDescent="0.3">
      <c r="I13376" s="101"/>
    </row>
    <row r="13377" spans="9:9" x14ac:dyDescent="0.3">
      <c r="I13377" s="101"/>
    </row>
    <row r="13378" spans="9:9" x14ac:dyDescent="0.3">
      <c r="I13378" s="101"/>
    </row>
    <row r="13379" spans="9:9" x14ac:dyDescent="0.3">
      <c r="I13379" s="101"/>
    </row>
    <row r="13380" spans="9:9" x14ac:dyDescent="0.3">
      <c r="I13380" s="101"/>
    </row>
    <row r="13381" spans="9:9" x14ac:dyDescent="0.3">
      <c r="I13381" s="101"/>
    </row>
    <row r="13382" spans="9:9" x14ac:dyDescent="0.3">
      <c r="I13382" s="101"/>
    </row>
    <row r="13383" spans="9:9" x14ac:dyDescent="0.3">
      <c r="I13383" s="101"/>
    </row>
    <row r="13384" spans="9:9" x14ac:dyDescent="0.3">
      <c r="I13384" s="101"/>
    </row>
    <row r="13385" spans="9:9" x14ac:dyDescent="0.3">
      <c r="I13385" s="101"/>
    </row>
    <row r="13386" spans="9:9" x14ac:dyDescent="0.3">
      <c r="I13386" s="101"/>
    </row>
    <row r="13387" spans="9:9" x14ac:dyDescent="0.3">
      <c r="I13387" s="101"/>
    </row>
    <row r="13388" spans="9:9" x14ac:dyDescent="0.3">
      <c r="I13388" s="101"/>
    </row>
    <row r="13389" spans="9:9" x14ac:dyDescent="0.3">
      <c r="I13389" s="101"/>
    </row>
    <row r="13390" spans="9:9" x14ac:dyDescent="0.3">
      <c r="I13390" s="101"/>
    </row>
    <row r="13391" spans="9:9" x14ac:dyDescent="0.3">
      <c r="I13391" s="101"/>
    </row>
    <row r="13392" spans="9:9" x14ac:dyDescent="0.3">
      <c r="I13392" s="101"/>
    </row>
    <row r="13393" spans="9:9" x14ac:dyDescent="0.3">
      <c r="I13393" s="101"/>
    </row>
    <row r="13394" spans="9:9" x14ac:dyDescent="0.3">
      <c r="I13394" s="101"/>
    </row>
    <row r="13395" spans="9:9" x14ac:dyDescent="0.3">
      <c r="I13395" s="101"/>
    </row>
    <row r="13396" spans="9:9" x14ac:dyDescent="0.3">
      <c r="I13396" s="101"/>
    </row>
    <row r="13397" spans="9:9" x14ac:dyDescent="0.3">
      <c r="I13397" s="101"/>
    </row>
    <row r="13398" spans="9:9" x14ac:dyDescent="0.3">
      <c r="I13398" s="101"/>
    </row>
    <row r="13399" spans="9:9" x14ac:dyDescent="0.3">
      <c r="I13399" s="101"/>
    </row>
    <row r="13400" spans="9:9" x14ac:dyDescent="0.3">
      <c r="I13400" s="101"/>
    </row>
    <row r="13401" spans="9:9" x14ac:dyDescent="0.3">
      <c r="I13401" s="101"/>
    </row>
    <row r="13402" spans="9:9" x14ac:dyDescent="0.3">
      <c r="I13402" s="101"/>
    </row>
    <row r="13403" spans="9:9" x14ac:dyDescent="0.3">
      <c r="I13403" s="101"/>
    </row>
    <row r="13404" spans="9:9" x14ac:dyDescent="0.3">
      <c r="I13404" s="101"/>
    </row>
    <row r="13405" spans="9:9" x14ac:dyDescent="0.3">
      <c r="I13405" s="101"/>
    </row>
    <row r="13406" spans="9:9" x14ac:dyDescent="0.3">
      <c r="I13406" s="101"/>
    </row>
    <row r="13407" spans="9:9" x14ac:dyDescent="0.3">
      <c r="I13407" s="101"/>
    </row>
    <row r="13408" spans="9:9" x14ac:dyDescent="0.3">
      <c r="I13408" s="101"/>
    </row>
    <row r="13409" spans="9:9" x14ac:dyDescent="0.3">
      <c r="I13409" s="101"/>
    </row>
    <row r="13410" spans="9:9" x14ac:dyDescent="0.3">
      <c r="I13410" s="101"/>
    </row>
    <row r="13411" spans="9:9" x14ac:dyDescent="0.3">
      <c r="I13411" s="101"/>
    </row>
    <row r="13412" spans="9:9" x14ac:dyDescent="0.3">
      <c r="I13412" s="101"/>
    </row>
    <row r="13413" spans="9:9" x14ac:dyDescent="0.3">
      <c r="I13413" s="101"/>
    </row>
    <row r="13414" spans="9:9" x14ac:dyDescent="0.3">
      <c r="I13414" s="101"/>
    </row>
    <row r="13415" spans="9:9" x14ac:dyDescent="0.3">
      <c r="I13415" s="101"/>
    </row>
    <row r="13416" spans="9:9" x14ac:dyDescent="0.3">
      <c r="I13416" s="101"/>
    </row>
    <row r="13417" spans="9:9" x14ac:dyDescent="0.3">
      <c r="I13417" s="101"/>
    </row>
    <row r="13418" spans="9:9" x14ac:dyDescent="0.3">
      <c r="I13418" s="101"/>
    </row>
    <row r="13419" spans="9:9" x14ac:dyDescent="0.3">
      <c r="I13419" s="101"/>
    </row>
    <row r="13420" spans="9:9" x14ac:dyDescent="0.3">
      <c r="I13420" s="101"/>
    </row>
    <row r="13421" spans="9:9" x14ac:dyDescent="0.3">
      <c r="I13421" s="101"/>
    </row>
    <row r="13422" spans="9:9" x14ac:dyDescent="0.3">
      <c r="I13422" s="101"/>
    </row>
    <row r="13423" spans="9:9" x14ac:dyDescent="0.3">
      <c r="I13423" s="101"/>
    </row>
    <row r="13424" spans="9:9" x14ac:dyDescent="0.3">
      <c r="I13424" s="101"/>
    </row>
    <row r="13425" spans="9:9" x14ac:dyDescent="0.3">
      <c r="I13425" s="101"/>
    </row>
    <row r="13426" spans="9:9" x14ac:dyDescent="0.3">
      <c r="I13426" s="101"/>
    </row>
    <row r="13427" spans="9:9" x14ac:dyDescent="0.3">
      <c r="I13427" s="101"/>
    </row>
    <row r="13428" spans="9:9" x14ac:dyDescent="0.3">
      <c r="I13428" s="101"/>
    </row>
    <row r="13429" spans="9:9" x14ac:dyDescent="0.3">
      <c r="I13429" s="101"/>
    </row>
    <row r="13430" spans="9:9" x14ac:dyDescent="0.3">
      <c r="I13430" s="101"/>
    </row>
    <row r="13431" spans="9:9" x14ac:dyDescent="0.3">
      <c r="I13431" s="101"/>
    </row>
    <row r="13432" spans="9:9" x14ac:dyDescent="0.3">
      <c r="I13432" s="101"/>
    </row>
    <row r="13433" spans="9:9" x14ac:dyDescent="0.3">
      <c r="I13433" s="101"/>
    </row>
    <row r="13434" spans="9:9" x14ac:dyDescent="0.3">
      <c r="I13434" s="101"/>
    </row>
    <row r="13435" spans="9:9" x14ac:dyDescent="0.3">
      <c r="I13435" s="101"/>
    </row>
    <row r="13436" spans="9:9" x14ac:dyDescent="0.3">
      <c r="I13436" s="101"/>
    </row>
    <row r="13437" spans="9:9" x14ac:dyDescent="0.3">
      <c r="I13437" s="101"/>
    </row>
    <row r="13438" spans="9:9" x14ac:dyDescent="0.3">
      <c r="I13438" s="101"/>
    </row>
    <row r="13439" spans="9:9" x14ac:dyDescent="0.3">
      <c r="I13439" s="101"/>
    </row>
    <row r="13440" spans="9:9" x14ac:dyDescent="0.3">
      <c r="I13440" s="101"/>
    </row>
    <row r="13441" spans="9:9" x14ac:dyDescent="0.3">
      <c r="I13441" s="101"/>
    </row>
    <row r="13442" spans="9:9" x14ac:dyDescent="0.3">
      <c r="I13442" s="101"/>
    </row>
    <row r="13443" spans="9:9" x14ac:dyDescent="0.3">
      <c r="I13443" s="101"/>
    </row>
    <row r="13444" spans="9:9" x14ac:dyDescent="0.3">
      <c r="I13444" s="101"/>
    </row>
    <row r="13445" spans="9:9" x14ac:dyDescent="0.3">
      <c r="I13445" s="101"/>
    </row>
    <row r="13446" spans="9:9" x14ac:dyDescent="0.3">
      <c r="I13446" s="101"/>
    </row>
    <row r="13447" spans="9:9" x14ac:dyDescent="0.3">
      <c r="I13447" s="101"/>
    </row>
    <row r="13448" spans="9:9" x14ac:dyDescent="0.3">
      <c r="I13448" s="101"/>
    </row>
    <row r="13449" spans="9:9" x14ac:dyDescent="0.3">
      <c r="I13449" s="101"/>
    </row>
    <row r="13450" spans="9:9" x14ac:dyDescent="0.3">
      <c r="I13450" s="101"/>
    </row>
    <row r="13451" spans="9:9" x14ac:dyDescent="0.3">
      <c r="I13451" s="101"/>
    </row>
    <row r="13452" spans="9:9" x14ac:dyDescent="0.3">
      <c r="I13452" s="101"/>
    </row>
    <row r="13453" spans="9:9" x14ac:dyDescent="0.3">
      <c r="I13453" s="101"/>
    </row>
    <row r="13454" spans="9:9" x14ac:dyDescent="0.3">
      <c r="I13454" s="101"/>
    </row>
    <row r="13455" spans="9:9" x14ac:dyDescent="0.3">
      <c r="I13455" s="101"/>
    </row>
    <row r="13456" spans="9:9" x14ac:dyDescent="0.3">
      <c r="I13456" s="101"/>
    </row>
    <row r="13457" spans="9:9" x14ac:dyDescent="0.3">
      <c r="I13457" s="101"/>
    </row>
    <row r="13458" spans="9:9" x14ac:dyDescent="0.3">
      <c r="I13458" s="101"/>
    </row>
    <row r="13459" spans="9:9" x14ac:dyDescent="0.3">
      <c r="I13459" s="101"/>
    </row>
    <row r="13460" spans="9:9" x14ac:dyDescent="0.3">
      <c r="I13460" s="101"/>
    </row>
    <row r="13461" spans="9:9" x14ac:dyDescent="0.3">
      <c r="I13461" s="101"/>
    </row>
    <row r="13462" spans="9:9" x14ac:dyDescent="0.3">
      <c r="I13462" s="101"/>
    </row>
    <row r="13463" spans="9:9" x14ac:dyDescent="0.3">
      <c r="I13463" s="101"/>
    </row>
    <row r="13464" spans="9:9" x14ac:dyDescent="0.3">
      <c r="I13464" s="101"/>
    </row>
    <row r="13465" spans="9:9" x14ac:dyDescent="0.3">
      <c r="I13465" s="101"/>
    </row>
    <row r="13466" spans="9:9" x14ac:dyDescent="0.3">
      <c r="I13466" s="101"/>
    </row>
    <row r="13467" spans="9:9" x14ac:dyDescent="0.3">
      <c r="I13467" s="101"/>
    </row>
    <row r="13468" spans="9:9" x14ac:dyDescent="0.3">
      <c r="I13468" s="101"/>
    </row>
    <row r="13469" spans="9:9" x14ac:dyDescent="0.3">
      <c r="I13469" s="101"/>
    </row>
    <row r="13470" spans="9:9" x14ac:dyDescent="0.3">
      <c r="I13470" s="101"/>
    </row>
    <row r="13471" spans="9:9" x14ac:dyDescent="0.3">
      <c r="I13471" s="101"/>
    </row>
    <row r="13472" spans="9:9" x14ac:dyDescent="0.3">
      <c r="I13472" s="101"/>
    </row>
    <row r="13473" spans="9:9" x14ac:dyDescent="0.3">
      <c r="I13473" s="101"/>
    </row>
    <row r="13474" spans="9:9" x14ac:dyDescent="0.3">
      <c r="I13474" s="101"/>
    </row>
    <row r="13475" spans="9:9" x14ac:dyDescent="0.3">
      <c r="I13475" s="101"/>
    </row>
    <row r="13476" spans="9:9" x14ac:dyDescent="0.3">
      <c r="I13476" s="101"/>
    </row>
    <row r="13477" spans="9:9" x14ac:dyDescent="0.3">
      <c r="I13477" s="101"/>
    </row>
    <row r="13478" spans="9:9" x14ac:dyDescent="0.3">
      <c r="I13478" s="101"/>
    </row>
    <row r="13479" spans="9:9" x14ac:dyDescent="0.3">
      <c r="I13479" s="101"/>
    </row>
    <row r="13480" spans="9:9" x14ac:dyDescent="0.3">
      <c r="I13480" s="101"/>
    </row>
    <row r="13481" spans="9:9" x14ac:dyDescent="0.3">
      <c r="I13481" s="101"/>
    </row>
    <row r="13482" spans="9:9" x14ac:dyDescent="0.3">
      <c r="I13482" s="101"/>
    </row>
    <row r="13483" spans="9:9" x14ac:dyDescent="0.3">
      <c r="I13483" s="101"/>
    </row>
    <row r="13484" spans="9:9" x14ac:dyDescent="0.3">
      <c r="I13484" s="101"/>
    </row>
    <row r="13485" spans="9:9" x14ac:dyDescent="0.3">
      <c r="I13485" s="101"/>
    </row>
    <row r="13486" spans="9:9" x14ac:dyDescent="0.3">
      <c r="I13486" s="101"/>
    </row>
    <row r="13487" spans="9:9" x14ac:dyDescent="0.3">
      <c r="I13487" s="101"/>
    </row>
    <row r="13488" spans="9:9" x14ac:dyDescent="0.3">
      <c r="I13488" s="101"/>
    </row>
    <row r="13489" spans="9:9" x14ac:dyDescent="0.3">
      <c r="I13489" s="101"/>
    </row>
    <row r="13490" spans="9:9" x14ac:dyDescent="0.3">
      <c r="I13490" s="101"/>
    </row>
    <row r="13491" spans="9:9" x14ac:dyDescent="0.3">
      <c r="I13491" s="101"/>
    </row>
    <row r="13492" spans="9:9" x14ac:dyDescent="0.3">
      <c r="I13492" s="101"/>
    </row>
    <row r="13493" spans="9:9" x14ac:dyDescent="0.3">
      <c r="I13493" s="101"/>
    </row>
    <row r="13494" spans="9:9" x14ac:dyDescent="0.3">
      <c r="I13494" s="101"/>
    </row>
    <row r="13495" spans="9:9" x14ac:dyDescent="0.3">
      <c r="I13495" s="101"/>
    </row>
    <row r="13496" spans="9:9" x14ac:dyDescent="0.3">
      <c r="I13496" s="101"/>
    </row>
    <row r="13497" spans="9:9" x14ac:dyDescent="0.3">
      <c r="I13497" s="101"/>
    </row>
    <row r="13498" spans="9:9" x14ac:dyDescent="0.3">
      <c r="I13498" s="101"/>
    </row>
    <row r="13499" spans="9:9" x14ac:dyDescent="0.3">
      <c r="I13499" s="101"/>
    </row>
    <row r="13500" spans="9:9" x14ac:dyDescent="0.3">
      <c r="I13500" s="101"/>
    </row>
    <row r="13501" spans="9:9" x14ac:dyDescent="0.3">
      <c r="I13501" s="101"/>
    </row>
    <row r="13502" spans="9:9" x14ac:dyDescent="0.3">
      <c r="I13502" s="101"/>
    </row>
    <row r="13503" spans="9:9" x14ac:dyDescent="0.3">
      <c r="I13503" s="101"/>
    </row>
    <row r="13504" spans="9:9" x14ac:dyDescent="0.3">
      <c r="I13504" s="101"/>
    </row>
    <row r="13505" spans="9:9" x14ac:dyDescent="0.3">
      <c r="I13505" s="101"/>
    </row>
    <row r="13506" spans="9:9" x14ac:dyDescent="0.3">
      <c r="I13506" s="101"/>
    </row>
    <row r="13507" spans="9:9" x14ac:dyDescent="0.3">
      <c r="I13507" s="101"/>
    </row>
    <row r="13508" spans="9:9" x14ac:dyDescent="0.3">
      <c r="I13508" s="101"/>
    </row>
    <row r="13509" spans="9:9" x14ac:dyDescent="0.3">
      <c r="I13509" s="101"/>
    </row>
    <row r="13510" spans="9:9" x14ac:dyDescent="0.3">
      <c r="I13510" s="101"/>
    </row>
    <row r="13511" spans="9:9" x14ac:dyDescent="0.3">
      <c r="I13511" s="101"/>
    </row>
    <row r="13512" spans="9:9" x14ac:dyDescent="0.3">
      <c r="I13512" s="101"/>
    </row>
    <row r="13513" spans="9:9" x14ac:dyDescent="0.3">
      <c r="I13513" s="101"/>
    </row>
    <row r="13514" spans="9:9" x14ac:dyDescent="0.3">
      <c r="I13514" s="101"/>
    </row>
    <row r="13515" spans="9:9" x14ac:dyDescent="0.3">
      <c r="I13515" s="101"/>
    </row>
    <row r="13516" spans="9:9" x14ac:dyDescent="0.3">
      <c r="I13516" s="101"/>
    </row>
    <row r="13517" spans="9:9" x14ac:dyDescent="0.3">
      <c r="I13517" s="101"/>
    </row>
    <row r="13518" spans="9:9" x14ac:dyDescent="0.3">
      <c r="I13518" s="101"/>
    </row>
    <row r="13519" spans="9:9" x14ac:dyDescent="0.3">
      <c r="I13519" s="101"/>
    </row>
    <row r="13520" spans="9:9" x14ac:dyDescent="0.3">
      <c r="I13520" s="101"/>
    </row>
    <row r="13521" spans="9:9" x14ac:dyDescent="0.3">
      <c r="I13521" s="101"/>
    </row>
    <row r="13522" spans="9:9" x14ac:dyDescent="0.3">
      <c r="I13522" s="101"/>
    </row>
    <row r="13523" spans="9:9" x14ac:dyDescent="0.3">
      <c r="I13523" s="101"/>
    </row>
    <row r="13524" spans="9:9" x14ac:dyDescent="0.3">
      <c r="I13524" s="101"/>
    </row>
    <row r="13525" spans="9:9" x14ac:dyDescent="0.3">
      <c r="I13525" s="101"/>
    </row>
    <row r="13526" spans="9:9" x14ac:dyDescent="0.3">
      <c r="I13526" s="101"/>
    </row>
    <row r="13527" spans="9:9" x14ac:dyDescent="0.3">
      <c r="I13527" s="101"/>
    </row>
    <row r="13528" spans="9:9" x14ac:dyDescent="0.3">
      <c r="I13528" s="101"/>
    </row>
    <row r="13529" spans="9:9" x14ac:dyDescent="0.3">
      <c r="I13529" s="101"/>
    </row>
    <row r="13530" spans="9:9" x14ac:dyDescent="0.3">
      <c r="I13530" s="101"/>
    </row>
    <row r="13531" spans="9:9" x14ac:dyDescent="0.3">
      <c r="I13531" s="101"/>
    </row>
    <row r="13532" spans="9:9" x14ac:dyDescent="0.3">
      <c r="I13532" s="101"/>
    </row>
    <row r="13533" spans="9:9" x14ac:dyDescent="0.3">
      <c r="I13533" s="101"/>
    </row>
    <row r="13534" spans="9:9" x14ac:dyDescent="0.3">
      <c r="I13534" s="101"/>
    </row>
    <row r="13535" spans="9:9" x14ac:dyDescent="0.3">
      <c r="I13535" s="101"/>
    </row>
    <row r="13536" spans="9:9" x14ac:dyDescent="0.3">
      <c r="I13536" s="101"/>
    </row>
    <row r="13537" spans="9:9" x14ac:dyDescent="0.3">
      <c r="I13537" s="101"/>
    </row>
    <row r="13538" spans="9:9" x14ac:dyDescent="0.3">
      <c r="I13538" s="101"/>
    </row>
    <row r="13539" spans="9:9" x14ac:dyDescent="0.3">
      <c r="I13539" s="101"/>
    </row>
    <row r="13540" spans="9:9" x14ac:dyDescent="0.3">
      <c r="I13540" s="101"/>
    </row>
    <row r="13541" spans="9:9" x14ac:dyDescent="0.3">
      <c r="I13541" s="101"/>
    </row>
    <row r="13542" spans="9:9" x14ac:dyDescent="0.3">
      <c r="I13542" s="101"/>
    </row>
    <row r="13543" spans="9:9" x14ac:dyDescent="0.3">
      <c r="I13543" s="101"/>
    </row>
    <row r="13544" spans="9:9" x14ac:dyDescent="0.3">
      <c r="I13544" s="101"/>
    </row>
    <row r="13545" spans="9:9" x14ac:dyDescent="0.3">
      <c r="I13545" s="101"/>
    </row>
    <row r="13546" spans="9:9" x14ac:dyDescent="0.3">
      <c r="I13546" s="101"/>
    </row>
    <row r="13547" spans="9:9" x14ac:dyDescent="0.3">
      <c r="I13547" s="101"/>
    </row>
    <row r="13548" spans="9:9" x14ac:dyDescent="0.3">
      <c r="I13548" s="101"/>
    </row>
    <row r="13549" spans="9:9" x14ac:dyDescent="0.3">
      <c r="I13549" s="101"/>
    </row>
    <row r="13550" spans="9:9" x14ac:dyDescent="0.3">
      <c r="I13550" s="101"/>
    </row>
    <row r="13551" spans="9:9" x14ac:dyDescent="0.3">
      <c r="I13551" s="101"/>
    </row>
    <row r="13552" spans="9:9" x14ac:dyDescent="0.3">
      <c r="I13552" s="101"/>
    </row>
    <row r="13553" spans="9:9" x14ac:dyDescent="0.3">
      <c r="I13553" s="101"/>
    </row>
    <row r="13554" spans="9:9" x14ac:dyDescent="0.3">
      <c r="I13554" s="101"/>
    </row>
    <row r="13555" spans="9:9" x14ac:dyDescent="0.3">
      <c r="I13555" s="101"/>
    </row>
    <row r="13556" spans="9:9" x14ac:dyDescent="0.3">
      <c r="I13556" s="101"/>
    </row>
    <row r="13557" spans="9:9" x14ac:dyDescent="0.3">
      <c r="I13557" s="101"/>
    </row>
    <row r="13558" spans="9:9" x14ac:dyDescent="0.3">
      <c r="I13558" s="101"/>
    </row>
    <row r="13559" spans="9:9" x14ac:dyDescent="0.3">
      <c r="I13559" s="101"/>
    </row>
    <row r="13560" spans="9:9" x14ac:dyDescent="0.3">
      <c r="I13560" s="101"/>
    </row>
    <row r="13561" spans="9:9" x14ac:dyDescent="0.3">
      <c r="I13561" s="101"/>
    </row>
    <row r="13562" spans="9:9" x14ac:dyDescent="0.3">
      <c r="I13562" s="101"/>
    </row>
    <row r="13563" spans="9:9" x14ac:dyDescent="0.3">
      <c r="I13563" s="101"/>
    </row>
    <row r="13564" spans="9:9" x14ac:dyDescent="0.3">
      <c r="I13564" s="101"/>
    </row>
    <row r="13565" spans="9:9" x14ac:dyDescent="0.3">
      <c r="I13565" s="101"/>
    </row>
    <row r="13566" spans="9:9" x14ac:dyDescent="0.3">
      <c r="I13566" s="101"/>
    </row>
    <row r="13567" spans="9:9" x14ac:dyDescent="0.3">
      <c r="I13567" s="101"/>
    </row>
    <row r="13568" spans="9:9" x14ac:dyDescent="0.3">
      <c r="I13568" s="101"/>
    </row>
    <row r="13569" spans="9:9" x14ac:dyDescent="0.3">
      <c r="I13569" s="101"/>
    </row>
    <row r="13570" spans="9:9" x14ac:dyDescent="0.3">
      <c r="I13570" s="101"/>
    </row>
    <row r="13571" spans="9:9" x14ac:dyDescent="0.3">
      <c r="I13571" s="101"/>
    </row>
    <row r="13572" spans="9:9" x14ac:dyDescent="0.3">
      <c r="I13572" s="101"/>
    </row>
    <row r="13573" spans="9:9" x14ac:dyDescent="0.3">
      <c r="I13573" s="101"/>
    </row>
    <row r="13574" spans="9:9" x14ac:dyDescent="0.3">
      <c r="I13574" s="101"/>
    </row>
    <row r="13575" spans="9:9" x14ac:dyDescent="0.3">
      <c r="I13575" s="101"/>
    </row>
    <row r="13576" spans="9:9" x14ac:dyDescent="0.3">
      <c r="I13576" s="101"/>
    </row>
    <row r="13577" spans="9:9" x14ac:dyDescent="0.3">
      <c r="I13577" s="101"/>
    </row>
    <row r="13578" spans="9:9" x14ac:dyDescent="0.3">
      <c r="I13578" s="101"/>
    </row>
    <row r="13579" spans="9:9" x14ac:dyDescent="0.3">
      <c r="I13579" s="101"/>
    </row>
    <row r="13580" spans="9:9" x14ac:dyDescent="0.3">
      <c r="I13580" s="101"/>
    </row>
    <row r="13581" spans="9:9" x14ac:dyDescent="0.3">
      <c r="I13581" s="101"/>
    </row>
    <row r="13582" spans="9:9" x14ac:dyDescent="0.3">
      <c r="I13582" s="101"/>
    </row>
    <row r="13583" spans="9:9" x14ac:dyDescent="0.3">
      <c r="I13583" s="101"/>
    </row>
    <row r="13584" spans="9:9" x14ac:dyDescent="0.3">
      <c r="I13584" s="101"/>
    </row>
    <row r="13585" spans="9:9" x14ac:dyDescent="0.3">
      <c r="I13585" s="101"/>
    </row>
    <row r="13586" spans="9:9" x14ac:dyDescent="0.3">
      <c r="I13586" s="101"/>
    </row>
    <row r="13587" spans="9:9" x14ac:dyDescent="0.3">
      <c r="I13587" s="101"/>
    </row>
    <row r="13588" spans="9:9" x14ac:dyDescent="0.3">
      <c r="I13588" s="101"/>
    </row>
    <row r="13589" spans="9:9" x14ac:dyDescent="0.3">
      <c r="I13589" s="101"/>
    </row>
    <row r="13590" spans="9:9" x14ac:dyDescent="0.3">
      <c r="I13590" s="101"/>
    </row>
    <row r="13591" spans="9:9" x14ac:dyDescent="0.3">
      <c r="I13591" s="101"/>
    </row>
    <row r="13592" spans="9:9" x14ac:dyDescent="0.3">
      <c r="I13592" s="101"/>
    </row>
    <row r="13593" spans="9:9" x14ac:dyDescent="0.3">
      <c r="I13593" s="101"/>
    </row>
    <row r="13594" spans="9:9" x14ac:dyDescent="0.3">
      <c r="I13594" s="101"/>
    </row>
    <row r="13595" spans="9:9" x14ac:dyDescent="0.3">
      <c r="I13595" s="101"/>
    </row>
    <row r="13596" spans="9:9" x14ac:dyDescent="0.3">
      <c r="I13596" s="101"/>
    </row>
    <row r="13597" spans="9:9" x14ac:dyDescent="0.3">
      <c r="I13597" s="101"/>
    </row>
    <row r="13598" spans="9:9" x14ac:dyDescent="0.3">
      <c r="I13598" s="101"/>
    </row>
    <row r="13599" spans="9:9" x14ac:dyDescent="0.3">
      <c r="I13599" s="101"/>
    </row>
    <row r="13600" spans="9:9" x14ac:dyDescent="0.3">
      <c r="I13600" s="101"/>
    </row>
    <row r="13601" spans="9:9" x14ac:dyDescent="0.3">
      <c r="I13601" s="101"/>
    </row>
    <row r="13602" spans="9:9" x14ac:dyDescent="0.3">
      <c r="I13602" s="101"/>
    </row>
    <row r="13603" spans="9:9" x14ac:dyDescent="0.3">
      <c r="I13603" s="101"/>
    </row>
    <row r="13604" spans="9:9" x14ac:dyDescent="0.3">
      <c r="I13604" s="101"/>
    </row>
    <row r="13605" spans="9:9" x14ac:dyDescent="0.3">
      <c r="I13605" s="101"/>
    </row>
    <row r="13606" spans="9:9" x14ac:dyDescent="0.3">
      <c r="I13606" s="101"/>
    </row>
    <row r="13607" spans="9:9" x14ac:dyDescent="0.3">
      <c r="I13607" s="101"/>
    </row>
    <row r="13608" spans="9:9" x14ac:dyDescent="0.3">
      <c r="I13608" s="101"/>
    </row>
    <row r="13609" spans="9:9" x14ac:dyDescent="0.3">
      <c r="I13609" s="101"/>
    </row>
    <row r="13610" spans="9:9" x14ac:dyDescent="0.3">
      <c r="I13610" s="101"/>
    </row>
    <row r="13611" spans="9:9" x14ac:dyDescent="0.3">
      <c r="I13611" s="101"/>
    </row>
    <row r="13612" spans="9:9" x14ac:dyDescent="0.3">
      <c r="I13612" s="101"/>
    </row>
    <row r="13613" spans="9:9" x14ac:dyDescent="0.3">
      <c r="I13613" s="101"/>
    </row>
    <row r="13614" spans="9:9" x14ac:dyDescent="0.3">
      <c r="I13614" s="101"/>
    </row>
    <row r="13615" spans="9:9" x14ac:dyDescent="0.3">
      <c r="I13615" s="101"/>
    </row>
    <row r="13616" spans="9:9" x14ac:dyDescent="0.3">
      <c r="I13616" s="101"/>
    </row>
    <row r="13617" spans="9:9" x14ac:dyDescent="0.3">
      <c r="I13617" s="101"/>
    </row>
    <row r="13618" spans="9:9" x14ac:dyDescent="0.3">
      <c r="I13618" s="101"/>
    </row>
    <row r="13619" spans="9:9" x14ac:dyDescent="0.3">
      <c r="I13619" s="101"/>
    </row>
    <row r="13620" spans="9:9" x14ac:dyDescent="0.3">
      <c r="I13620" s="101"/>
    </row>
    <row r="13621" spans="9:9" x14ac:dyDescent="0.3">
      <c r="I13621" s="101"/>
    </row>
    <row r="13622" spans="9:9" x14ac:dyDescent="0.3">
      <c r="I13622" s="101"/>
    </row>
    <row r="13623" spans="9:9" x14ac:dyDescent="0.3">
      <c r="I13623" s="101"/>
    </row>
    <row r="13624" spans="9:9" x14ac:dyDescent="0.3">
      <c r="I13624" s="101"/>
    </row>
    <row r="13625" spans="9:9" x14ac:dyDescent="0.3">
      <c r="I13625" s="101"/>
    </row>
    <row r="13626" spans="9:9" x14ac:dyDescent="0.3">
      <c r="I13626" s="101"/>
    </row>
    <row r="13627" spans="9:9" x14ac:dyDescent="0.3">
      <c r="I13627" s="101"/>
    </row>
    <row r="13628" spans="9:9" x14ac:dyDescent="0.3">
      <c r="I13628" s="101"/>
    </row>
    <row r="13629" spans="9:9" x14ac:dyDescent="0.3">
      <c r="I13629" s="101"/>
    </row>
    <row r="13630" spans="9:9" x14ac:dyDescent="0.3">
      <c r="I13630" s="101"/>
    </row>
    <row r="13631" spans="9:9" x14ac:dyDescent="0.3">
      <c r="I13631" s="101"/>
    </row>
    <row r="13632" spans="9:9" x14ac:dyDescent="0.3">
      <c r="I13632" s="101"/>
    </row>
    <row r="13633" spans="9:9" x14ac:dyDescent="0.3">
      <c r="I13633" s="101"/>
    </row>
    <row r="13634" spans="9:9" x14ac:dyDescent="0.3">
      <c r="I13634" s="101"/>
    </row>
    <row r="13635" spans="9:9" x14ac:dyDescent="0.3">
      <c r="I13635" s="101"/>
    </row>
    <row r="13636" spans="9:9" x14ac:dyDescent="0.3">
      <c r="I13636" s="101"/>
    </row>
    <row r="13637" spans="9:9" x14ac:dyDescent="0.3">
      <c r="I13637" s="101"/>
    </row>
    <row r="13638" spans="9:9" x14ac:dyDescent="0.3">
      <c r="I13638" s="101"/>
    </row>
    <row r="13639" spans="9:9" x14ac:dyDescent="0.3">
      <c r="I13639" s="101"/>
    </row>
    <row r="13640" spans="9:9" x14ac:dyDescent="0.3">
      <c r="I13640" s="101"/>
    </row>
    <row r="13641" spans="9:9" x14ac:dyDescent="0.3">
      <c r="I13641" s="101"/>
    </row>
    <row r="13642" spans="9:9" x14ac:dyDescent="0.3">
      <c r="I13642" s="101"/>
    </row>
    <row r="13643" spans="9:9" x14ac:dyDescent="0.3">
      <c r="I13643" s="101"/>
    </row>
    <row r="13644" spans="9:9" x14ac:dyDescent="0.3">
      <c r="I13644" s="101"/>
    </row>
    <row r="13645" spans="9:9" x14ac:dyDescent="0.3">
      <c r="I13645" s="101"/>
    </row>
    <row r="13646" spans="9:9" x14ac:dyDescent="0.3">
      <c r="I13646" s="101"/>
    </row>
    <row r="13647" spans="9:9" x14ac:dyDescent="0.3">
      <c r="I13647" s="101"/>
    </row>
    <row r="13648" spans="9:9" x14ac:dyDescent="0.3">
      <c r="I13648" s="101"/>
    </row>
    <row r="13649" spans="9:9" x14ac:dyDescent="0.3">
      <c r="I13649" s="101"/>
    </row>
    <row r="13650" spans="9:9" x14ac:dyDescent="0.3">
      <c r="I13650" s="101"/>
    </row>
    <row r="13651" spans="9:9" x14ac:dyDescent="0.3">
      <c r="I13651" s="101"/>
    </row>
    <row r="13652" spans="9:9" x14ac:dyDescent="0.3">
      <c r="I13652" s="101"/>
    </row>
    <row r="13653" spans="9:9" x14ac:dyDescent="0.3">
      <c r="I13653" s="101"/>
    </row>
    <row r="13654" spans="9:9" x14ac:dyDescent="0.3">
      <c r="I13654" s="101"/>
    </row>
    <row r="13655" spans="9:9" x14ac:dyDescent="0.3">
      <c r="I13655" s="101"/>
    </row>
    <row r="13656" spans="9:9" x14ac:dyDescent="0.3">
      <c r="I13656" s="101"/>
    </row>
    <row r="13657" spans="9:9" x14ac:dyDescent="0.3">
      <c r="I13657" s="101"/>
    </row>
    <row r="13658" spans="9:9" x14ac:dyDescent="0.3">
      <c r="I13658" s="101"/>
    </row>
    <row r="13659" spans="9:9" x14ac:dyDescent="0.3">
      <c r="I13659" s="101"/>
    </row>
    <row r="13660" spans="9:9" x14ac:dyDescent="0.3">
      <c r="I13660" s="101"/>
    </row>
    <row r="13661" spans="9:9" x14ac:dyDescent="0.3">
      <c r="I13661" s="101"/>
    </row>
    <row r="13662" spans="9:9" x14ac:dyDescent="0.3">
      <c r="I13662" s="101"/>
    </row>
    <row r="13663" spans="9:9" x14ac:dyDescent="0.3">
      <c r="I13663" s="101"/>
    </row>
    <row r="13664" spans="9:9" x14ac:dyDescent="0.3">
      <c r="I13664" s="101"/>
    </row>
    <row r="13665" spans="9:9" x14ac:dyDescent="0.3">
      <c r="I13665" s="101"/>
    </row>
    <row r="13666" spans="9:9" x14ac:dyDescent="0.3">
      <c r="I13666" s="101"/>
    </row>
    <row r="13667" spans="9:9" x14ac:dyDescent="0.3">
      <c r="I13667" s="101"/>
    </row>
    <row r="13668" spans="9:9" x14ac:dyDescent="0.3">
      <c r="I13668" s="101"/>
    </row>
    <row r="13669" spans="9:9" x14ac:dyDescent="0.3">
      <c r="I13669" s="101"/>
    </row>
    <row r="13670" spans="9:9" x14ac:dyDescent="0.3">
      <c r="I13670" s="101"/>
    </row>
    <row r="13671" spans="9:9" x14ac:dyDescent="0.3">
      <c r="I13671" s="101"/>
    </row>
    <row r="13672" spans="9:9" x14ac:dyDescent="0.3">
      <c r="I13672" s="101"/>
    </row>
    <row r="13673" spans="9:9" x14ac:dyDescent="0.3">
      <c r="I13673" s="101"/>
    </row>
    <row r="13674" spans="9:9" x14ac:dyDescent="0.3">
      <c r="I13674" s="101"/>
    </row>
    <row r="13675" spans="9:9" x14ac:dyDescent="0.3">
      <c r="I13675" s="101"/>
    </row>
    <row r="13676" spans="9:9" x14ac:dyDescent="0.3">
      <c r="I13676" s="101"/>
    </row>
    <row r="13677" spans="9:9" x14ac:dyDescent="0.3">
      <c r="I13677" s="101"/>
    </row>
    <row r="13678" spans="9:9" x14ac:dyDescent="0.3">
      <c r="I13678" s="101"/>
    </row>
    <row r="13679" spans="9:9" x14ac:dyDescent="0.3">
      <c r="I13679" s="101"/>
    </row>
    <row r="13680" spans="9:9" x14ac:dyDescent="0.3">
      <c r="I13680" s="101"/>
    </row>
    <row r="13681" spans="9:9" x14ac:dyDescent="0.3">
      <c r="I13681" s="101"/>
    </row>
    <row r="13682" spans="9:9" x14ac:dyDescent="0.3">
      <c r="I13682" s="101"/>
    </row>
    <row r="13683" spans="9:9" x14ac:dyDescent="0.3">
      <c r="I13683" s="101"/>
    </row>
    <row r="13684" spans="9:9" x14ac:dyDescent="0.3">
      <c r="I13684" s="101"/>
    </row>
    <row r="13685" spans="9:9" x14ac:dyDescent="0.3">
      <c r="I13685" s="101"/>
    </row>
    <row r="13686" spans="9:9" x14ac:dyDescent="0.3">
      <c r="I13686" s="101"/>
    </row>
    <row r="13687" spans="9:9" x14ac:dyDescent="0.3">
      <c r="I13687" s="101"/>
    </row>
    <row r="13688" spans="9:9" x14ac:dyDescent="0.3">
      <c r="I13688" s="101"/>
    </row>
    <row r="13689" spans="9:9" x14ac:dyDescent="0.3">
      <c r="I13689" s="101"/>
    </row>
    <row r="13690" spans="9:9" x14ac:dyDescent="0.3">
      <c r="I13690" s="101"/>
    </row>
    <row r="13691" spans="9:9" x14ac:dyDescent="0.3">
      <c r="I13691" s="101"/>
    </row>
    <row r="13692" spans="9:9" x14ac:dyDescent="0.3">
      <c r="I13692" s="101"/>
    </row>
    <row r="13693" spans="9:9" x14ac:dyDescent="0.3">
      <c r="I13693" s="101"/>
    </row>
    <row r="13694" spans="9:9" x14ac:dyDescent="0.3">
      <c r="I13694" s="101"/>
    </row>
    <row r="13695" spans="9:9" x14ac:dyDescent="0.3">
      <c r="I13695" s="101"/>
    </row>
    <row r="13696" spans="9:9" x14ac:dyDescent="0.3">
      <c r="I13696" s="101"/>
    </row>
    <row r="13697" spans="9:9" x14ac:dyDescent="0.3">
      <c r="I13697" s="101"/>
    </row>
    <row r="13698" spans="9:9" x14ac:dyDescent="0.3">
      <c r="I13698" s="101"/>
    </row>
    <row r="13699" spans="9:9" x14ac:dyDescent="0.3">
      <c r="I13699" s="101"/>
    </row>
    <row r="13700" spans="9:9" x14ac:dyDescent="0.3">
      <c r="I13700" s="101"/>
    </row>
    <row r="13701" spans="9:9" x14ac:dyDescent="0.3">
      <c r="I13701" s="101"/>
    </row>
    <row r="13702" spans="9:9" x14ac:dyDescent="0.3">
      <c r="I13702" s="101"/>
    </row>
    <row r="13703" spans="9:9" x14ac:dyDescent="0.3">
      <c r="I13703" s="101"/>
    </row>
    <row r="13704" spans="9:9" x14ac:dyDescent="0.3">
      <c r="I13704" s="101"/>
    </row>
    <row r="13705" spans="9:9" x14ac:dyDescent="0.3">
      <c r="I13705" s="101"/>
    </row>
    <row r="13706" spans="9:9" x14ac:dyDescent="0.3">
      <c r="I13706" s="101"/>
    </row>
    <row r="13707" spans="9:9" x14ac:dyDescent="0.3">
      <c r="I13707" s="101"/>
    </row>
    <row r="13708" spans="9:9" x14ac:dyDescent="0.3">
      <c r="I13708" s="101"/>
    </row>
    <row r="13709" spans="9:9" x14ac:dyDescent="0.3">
      <c r="I13709" s="101"/>
    </row>
    <row r="13710" spans="9:9" x14ac:dyDescent="0.3">
      <c r="I13710" s="101"/>
    </row>
    <row r="13711" spans="9:9" x14ac:dyDescent="0.3">
      <c r="I13711" s="101"/>
    </row>
    <row r="13712" spans="9:9" x14ac:dyDescent="0.3">
      <c r="I13712" s="101"/>
    </row>
    <row r="13713" spans="9:9" x14ac:dyDescent="0.3">
      <c r="I13713" s="101"/>
    </row>
    <row r="13714" spans="9:9" x14ac:dyDescent="0.3">
      <c r="I13714" s="101"/>
    </row>
    <row r="13715" spans="9:9" x14ac:dyDescent="0.3">
      <c r="I13715" s="101"/>
    </row>
    <row r="13716" spans="9:9" x14ac:dyDescent="0.3">
      <c r="I13716" s="101"/>
    </row>
    <row r="13717" spans="9:9" x14ac:dyDescent="0.3">
      <c r="I13717" s="101"/>
    </row>
    <row r="13718" spans="9:9" x14ac:dyDescent="0.3">
      <c r="I13718" s="101"/>
    </row>
    <row r="13719" spans="9:9" x14ac:dyDescent="0.3">
      <c r="I13719" s="101"/>
    </row>
    <row r="13720" spans="9:9" x14ac:dyDescent="0.3">
      <c r="I13720" s="101"/>
    </row>
    <row r="13721" spans="9:9" x14ac:dyDescent="0.3">
      <c r="I13721" s="101"/>
    </row>
    <row r="13722" spans="9:9" x14ac:dyDescent="0.3">
      <c r="I13722" s="101"/>
    </row>
    <row r="13723" spans="9:9" x14ac:dyDescent="0.3">
      <c r="I13723" s="101"/>
    </row>
    <row r="13724" spans="9:9" x14ac:dyDescent="0.3">
      <c r="I13724" s="101"/>
    </row>
    <row r="13725" spans="9:9" x14ac:dyDescent="0.3">
      <c r="I13725" s="101"/>
    </row>
    <row r="13726" spans="9:9" x14ac:dyDescent="0.3">
      <c r="I13726" s="101"/>
    </row>
    <row r="13727" spans="9:9" x14ac:dyDescent="0.3">
      <c r="I13727" s="101"/>
    </row>
    <row r="13728" spans="9:9" x14ac:dyDescent="0.3">
      <c r="I13728" s="101"/>
    </row>
    <row r="13729" spans="9:9" x14ac:dyDescent="0.3">
      <c r="I13729" s="101"/>
    </row>
    <row r="13730" spans="9:9" x14ac:dyDescent="0.3">
      <c r="I13730" s="101"/>
    </row>
    <row r="13731" spans="9:9" x14ac:dyDescent="0.3">
      <c r="I13731" s="101"/>
    </row>
    <row r="13732" spans="9:9" x14ac:dyDescent="0.3">
      <c r="I13732" s="101"/>
    </row>
    <row r="13733" spans="9:9" x14ac:dyDescent="0.3">
      <c r="I13733" s="101"/>
    </row>
    <row r="13734" spans="9:9" x14ac:dyDescent="0.3">
      <c r="I13734" s="101"/>
    </row>
    <row r="13735" spans="9:9" x14ac:dyDescent="0.3">
      <c r="I13735" s="101"/>
    </row>
    <row r="13736" spans="9:9" x14ac:dyDescent="0.3">
      <c r="I13736" s="101"/>
    </row>
    <row r="13737" spans="9:9" x14ac:dyDescent="0.3">
      <c r="I13737" s="101"/>
    </row>
    <row r="13738" spans="9:9" x14ac:dyDescent="0.3">
      <c r="I13738" s="101"/>
    </row>
    <row r="13739" spans="9:9" x14ac:dyDescent="0.3">
      <c r="I13739" s="101"/>
    </row>
    <row r="13740" spans="9:9" x14ac:dyDescent="0.3">
      <c r="I13740" s="101"/>
    </row>
    <row r="13741" spans="9:9" x14ac:dyDescent="0.3">
      <c r="I13741" s="101"/>
    </row>
    <row r="13742" spans="9:9" x14ac:dyDescent="0.3">
      <c r="I13742" s="101"/>
    </row>
    <row r="13743" spans="9:9" x14ac:dyDescent="0.3">
      <c r="I13743" s="101"/>
    </row>
    <row r="13744" spans="9:9" x14ac:dyDescent="0.3">
      <c r="I13744" s="101"/>
    </row>
    <row r="13745" spans="9:9" x14ac:dyDescent="0.3">
      <c r="I13745" s="101"/>
    </row>
    <row r="13746" spans="9:9" x14ac:dyDescent="0.3">
      <c r="I13746" s="101"/>
    </row>
    <row r="13747" spans="9:9" x14ac:dyDescent="0.3">
      <c r="I13747" s="101"/>
    </row>
    <row r="13748" spans="9:9" x14ac:dyDescent="0.3">
      <c r="I13748" s="101"/>
    </row>
    <row r="13749" spans="9:9" x14ac:dyDescent="0.3">
      <c r="I13749" s="101"/>
    </row>
    <row r="13750" spans="9:9" x14ac:dyDescent="0.3">
      <c r="I13750" s="101"/>
    </row>
    <row r="13751" spans="9:9" x14ac:dyDescent="0.3">
      <c r="I13751" s="101"/>
    </row>
    <row r="13752" spans="9:9" x14ac:dyDescent="0.3">
      <c r="I13752" s="101"/>
    </row>
    <row r="13753" spans="9:9" x14ac:dyDescent="0.3">
      <c r="I13753" s="101"/>
    </row>
    <row r="13754" spans="9:9" x14ac:dyDescent="0.3">
      <c r="I13754" s="101"/>
    </row>
    <row r="13755" spans="9:9" x14ac:dyDescent="0.3">
      <c r="I13755" s="101"/>
    </row>
    <row r="13756" spans="9:9" x14ac:dyDescent="0.3">
      <c r="I13756" s="101"/>
    </row>
    <row r="13757" spans="9:9" x14ac:dyDescent="0.3">
      <c r="I13757" s="101"/>
    </row>
    <row r="13758" spans="9:9" x14ac:dyDescent="0.3">
      <c r="I13758" s="101"/>
    </row>
    <row r="13759" spans="9:9" x14ac:dyDescent="0.3">
      <c r="I13759" s="101"/>
    </row>
    <row r="13760" spans="9:9" x14ac:dyDescent="0.3">
      <c r="I13760" s="101"/>
    </row>
    <row r="13761" spans="9:9" x14ac:dyDescent="0.3">
      <c r="I13761" s="101"/>
    </row>
    <row r="13762" spans="9:9" x14ac:dyDescent="0.3">
      <c r="I13762" s="101"/>
    </row>
    <row r="13763" spans="9:9" x14ac:dyDescent="0.3">
      <c r="I13763" s="101"/>
    </row>
    <row r="13764" spans="9:9" x14ac:dyDescent="0.3">
      <c r="I13764" s="101"/>
    </row>
    <row r="13765" spans="9:9" x14ac:dyDescent="0.3">
      <c r="I13765" s="101"/>
    </row>
    <row r="13766" spans="9:9" x14ac:dyDescent="0.3">
      <c r="I13766" s="101"/>
    </row>
    <row r="13767" spans="9:9" x14ac:dyDescent="0.3">
      <c r="I13767" s="101"/>
    </row>
    <row r="13768" spans="9:9" x14ac:dyDescent="0.3">
      <c r="I13768" s="101"/>
    </row>
    <row r="13769" spans="9:9" x14ac:dyDescent="0.3">
      <c r="I13769" s="101"/>
    </row>
    <row r="13770" spans="9:9" x14ac:dyDescent="0.3">
      <c r="I13770" s="101"/>
    </row>
    <row r="13771" spans="9:9" x14ac:dyDescent="0.3">
      <c r="I13771" s="101"/>
    </row>
    <row r="13772" spans="9:9" x14ac:dyDescent="0.3">
      <c r="I13772" s="101"/>
    </row>
    <row r="13773" spans="9:9" x14ac:dyDescent="0.3">
      <c r="I13773" s="101"/>
    </row>
    <row r="13774" spans="9:9" x14ac:dyDescent="0.3">
      <c r="I13774" s="101"/>
    </row>
    <row r="13775" spans="9:9" x14ac:dyDescent="0.3">
      <c r="I13775" s="101"/>
    </row>
    <row r="13776" spans="9:9" x14ac:dyDescent="0.3">
      <c r="I13776" s="101"/>
    </row>
    <row r="13777" spans="9:9" x14ac:dyDescent="0.3">
      <c r="I13777" s="101"/>
    </row>
    <row r="13778" spans="9:9" x14ac:dyDescent="0.3">
      <c r="I13778" s="101"/>
    </row>
    <row r="13779" spans="9:9" x14ac:dyDescent="0.3">
      <c r="I13779" s="101"/>
    </row>
    <row r="13780" spans="9:9" x14ac:dyDescent="0.3">
      <c r="I13780" s="101"/>
    </row>
    <row r="13781" spans="9:9" x14ac:dyDescent="0.3">
      <c r="I13781" s="101"/>
    </row>
    <row r="13782" spans="9:9" x14ac:dyDescent="0.3">
      <c r="I13782" s="101"/>
    </row>
    <row r="13783" spans="9:9" x14ac:dyDescent="0.3">
      <c r="I13783" s="101"/>
    </row>
    <row r="13784" spans="9:9" x14ac:dyDescent="0.3">
      <c r="I13784" s="101"/>
    </row>
    <row r="13785" spans="9:9" x14ac:dyDescent="0.3">
      <c r="I13785" s="101"/>
    </row>
    <row r="13786" spans="9:9" x14ac:dyDescent="0.3">
      <c r="I13786" s="101"/>
    </row>
    <row r="13787" spans="9:9" x14ac:dyDescent="0.3">
      <c r="I13787" s="101"/>
    </row>
    <row r="13788" spans="9:9" x14ac:dyDescent="0.3">
      <c r="I13788" s="101"/>
    </row>
    <row r="13789" spans="9:9" x14ac:dyDescent="0.3">
      <c r="I13789" s="101"/>
    </row>
    <row r="13790" spans="9:9" x14ac:dyDescent="0.3">
      <c r="I13790" s="101"/>
    </row>
    <row r="13791" spans="9:9" x14ac:dyDescent="0.3">
      <c r="I13791" s="101"/>
    </row>
    <row r="13792" spans="9:9" x14ac:dyDescent="0.3">
      <c r="I13792" s="101"/>
    </row>
    <row r="13793" spans="9:9" x14ac:dyDescent="0.3">
      <c r="I13793" s="101"/>
    </row>
    <row r="13794" spans="9:9" x14ac:dyDescent="0.3">
      <c r="I13794" s="101"/>
    </row>
    <row r="13795" spans="9:9" x14ac:dyDescent="0.3">
      <c r="I13795" s="101"/>
    </row>
    <row r="13796" spans="9:9" x14ac:dyDescent="0.3">
      <c r="I13796" s="101"/>
    </row>
    <row r="13797" spans="9:9" x14ac:dyDescent="0.3">
      <c r="I13797" s="101"/>
    </row>
    <row r="13798" spans="9:9" x14ac:dyDescent="0.3">
      <c r="I13798" s="101"/>
    </row>
    <row r="13799" spans="9:9" x14ac:dyDescent="0.3">
      <c r="I13799" s="101"/>
    </row>
    <row r="13800" spans="9:9" x14ac:dyDescent="0.3">
      <c r="I13800" s="101"/>
    </row>
    <row r="13801" spans="9:9" x14ac:dyDescent="0.3">
      <c r="I13801" s="101"/>
    </row>
    <row r="13802" spans="9:9" x14ac:dyDescent="0.3">
      <c r="I13802" s="101"/>
    </row>
    <row r="13803" spans="9:9" x14ac:dyDescent="0.3">
      <c r="I13803" s="101"/>
    </row>
    <row r="13804" spans="9:9" x14ac:dyDescent="0.3">
      <c r="I13804" s="101"/>
    </row>
    <row r="13805" spans="9:9" x14ac:dyDescent="0.3">
      <c r="I13805" s="101"/>
    </row>
    <row r="13806" spans="9:9" x14ac:dyDescent="0.3">
      <c r="I13806" s="101"/>
    </row>
    <row r="13807" spans="9:9" x14ac:dyDescent="0.3">
      <c r="I13807" s="101"/>
    </row>
    <row r="13808" spans="9:9" x14ac:dyDescent="0.3">
      <c r="I13808" s="101"/>
    </row>
    <row r="13809" spans="9:9" x14ac:dyDescent="0.3">
      <c r="I13809" s="101"/>
    </row>
    <row r="13810" spans="9:9" x14ac:dyDescent="0.3">
      <c r="I13810" s="101"/>
    </row>
    <row r="13811" spans="9:9" x14ac:dyDescent="0.3">
      <c r="I13811" s="101"/>
    </row>
    <row r="13812" spans="9:9" x14ac:dyDescent="0.3">
      <c r="I13812" s="101"/>
    </row>
    <row r="13813" spans="9:9" x14ac:dyDescent="0.3">
      <c r="I13813" s="101"/>
    </row>
    <row r="13814" spans="9:9" x14ac:dyDescent="0.3">
      <c r="I13814" s="101"/>
    </row>
    <row r="13815" spans="9:9" x14ac:dyDescent="0.3">
      <c r="I13815" s="101"/>
    </row>
    <row r="13816" spans="9:9" x14ac:dyDescent="0.3">
      <c r="I13816" s="101"/>
    </row>
    <row r="13817" spans="9:9" x14ac:dyDescent="0.3">
      <c r="I13817" s="101"/>
    </row>
    <row r="13818" spans="9:9" x14ac:dyDescent="0.3">
      <c r="I13818" s="101"/>
    </row>
    <row r="13819" spans="9:9" x14ac:dyDescent="0.3">
      <c r="I13819" s="101"/>
    </row>
    <row r="13820" spans="9:9" x14ac:dyDescent="0.3">
      <c r="I13820" s="101"/>
    </row>
    <row r="13821" spans="9:9" x14ac:dyDescent="0.3">
      <c r="I13821" s="101"/>
    </row>
    <row r="13822" spans="9:9" x14ac:dyDescent="0.3">
      <c r="I13822" s="101"/>
    </row>
    <row r="13823" spans="9:9" x14ac:dyDescent="0.3">
      <c r="I13823" s="101"/>
    </row>
    <row r="13824" spans="9:9" x14ac:dyDescent="0.3">
      <c r="I13824" s="101"/>
    </row>
    <row r="13825" spans="9:9" x14ac:dyDescent="0.3">
      <c r="I13825" s="101"/>
    </row>
    <row r="13826" spans="9:9" x14ac:dyDescent="0.3">
      <c r="I13826" s="101"/>
    </row>
    <row r="13827" spans="9:9" x14ac:dyDescent="0.3">
      <c r="I13827" s="101"/>
    </row>
    <row r="13828" spans="9:9" x14ac:dyDescent="0.3">
      <c r="I13828" s="101"/>
    </row>
    <row r="13829" spans="9:9" x14ac:dyDescent="0.3">
      <c r="I13829" s="101"/>
    </row>
    <row r="13830" spans="9:9" x14ac:dyDescent="0.3">
      <c r="I13830" s="101"/>
    </row>
    <row r="13831" spans="9:9" x14ac:dyDescent="0.3">
      <c r="I13831" s="101"/>
    </row>
    <row r="13832" spans="9:9" x14ac:dyDescent="0.3">
      <c r="I13832" s="101"/>
    </row>
    <row r="13833" spans="9:9" x14ac:dyDescent="0.3">
      <c r="I13833" s="101"/>
    </row>
    <row r="13834" spans="9:9" x14ac:dyDescent="0.3">
      <c r="I13834" s="101"/>
    </row>
    <row r="13835" spans="9:9" x14ac:dyDescent="0.3">
      <c r="I13835" s="101"/>
    </row>
    <row r="13836" spans="9:9" x14ac:dyDescent="0.3">
      <c r="I13836" s="101"/>
    </row>
    <row r="13837" spans="9:9" x14ac:dyDescent="0.3">
      <c r="I13837" s="101"/>
    </row>
    <row r="13838" spans="9:9" x14ac:dyDescent="0.3">
      <c r="I13838" s="101"/>
    </row>
    <row r="13839" spans="9:9" x14ac:dyDescent="0.3">
      <c r="I13839" s="101"/>
    </row>
    <row r="13840" spans="9:9" x14ac:dyDescent="0.3">
      <c r="I13840" s="101"/>
    </row>
    <row r="13841" spans="9:9" x14ac:dyDescent="0.3">
      <c r="I13841" s="101"/>
    </row>
    <row r="13842" spans="9:9" x14ac:dyDescent="0.3">
      <c r="I13842" s="101"/>
    </row>
    <row r="13843" spans="9:9" x14ac:dyDescent="0.3">
      <c r="I13843" s="101"/>
    </row>
    <row r="13844" spans="9:9" x14ac:dyDescent="0.3">
      <c r="I13844" s="101"/>
    </row>
    <row r="13845" spans="9:9" x14ac:dyDescent="0.3">
      <c r="I13845" s="101"/>
    </row>
    <row r="13846" spans="9:9" x14ac:dyDescent="0.3">
      <c r="I13846" s="101"/>
    </row>
    <row r="13847" spans="9:9" x14ac:dyDescent="0.3">
      <c r="I13847" s="101"/>
    </row>
    <row r="13848" spans="9:9" x14ac:dyDescent="0.3">
      <c r="I13848" s="101"/>
    </row>
    <row r="13849" spans="9:9" x14ac:dyDescent="0.3">
      <c r="I13849" s="101"/>
    </row>
    <row r="13850" spans="9:9" x14ac:dyDescent="0.3">
      <c r="I13850" s="101"/>
    </row>
    <row r="13851" spans="9:9" x14ac:dyDescent="0.3">
      <c r="I13851" s="101"/>
    </row>
    <row r="13852" spans="9:9" x14ac:dyDescent="0.3">
      <c r="I13852" s="101"/>
    </row>
    <row r="13853" spans="9:9" x14ac:dyDescent="0.3">
      <c r="I13853" s="101"/>
    </row>
    <row r="13854" spans="9:9" x14ac:dyDescent="0.3">
      <c r="I13854" s="101"/>
    </row>
    <row r="13855" spans="9:9" x14ac:dyDescent="0.3">
      <c r="I13855" s="101"/>
    </row>
    <row r="13856" spans="9:9" x14ac:dyDescent="0.3">
      <c r="I13856" s="101"/>
    </row>
    <row r="13857" spans="9:9" x14ac:dyDescent="0.3">
      <c r="I13857" s="101"/>
    </row>
    <row r="13858" spans="9:9" x14ac:dyDescent="0.3">
      <c r="I13858" s="101"/>
    </row>
    <row r="13859" spans="9:9" x14ac:dyDescent="0.3">
      <c r="I13859" s="101"/>
    </row>
    <row r="13860" spans="9:9" x14ac:dyDescent="0.3">
      <c r="I13860" s="101"/>
    </row>
    <row r="13861" spans="9:9" x14ac:dyDescent="0.3">
      <c r="I13861" s="101"/>
    </row>
    <row r="13862" spans="9:9" x14ac:dyDescent="0.3">
      <c r="I13862" s="101"/>
    </row>
    <row r="13863" spans="9:9" x14ac:dyDescent="0.3">
      <c r="I13863" s="101"/>
    </row>
    <row r="13864" spans="9:9" x14ac:dyDescent="0.3">
      <c r="I13864" s="101"/>
    </row>
    <row r="13865" spans="9:9" x14ac:dyDescent="0.3">
      <c r="I13865" s="101"/>
    </row>
    <row r="13866" spans="9:9" x14ac:dyDescent="0.3">
      <c r="I13866" s="101"/>
    </row>
    <row r="13867" spans="9:9" x14ac:dyDescent="0.3">
      <c r="I13867" s="101"/>
    </row>
    <row r="13868" spans="9:9" x14ac:dyDescent="0.3">
      <c r="I13868" s="101"/>
    </row>
    <row r="13869" spans="9:9" x14ac:dyDescent="0.3">
      <c r="I13869" s="101"/>
    </row>
    <row r="13870" spans="9:9" x14ac:dyDescent="0.3">
      <c r="I13870" s="101"/>
    </row>
    <row r="13871" spans="9:9" x14ac:dyDescent="0.3">
      <c r="I13871" s="101"/>
    </row>
    <row r="13872" spans="9:9" x14ac:dyDescent="0.3">
      <c r="I13872" s="101"/>
    </row>
    <row r="13873" spans="9:9" x14ac:dyDescent="0.3">
      <c r="I13873" s="101"/>
    </row>
    <row r="13874" spans="9:9" x14ac:dyDescent="0.3">
      <c r="I13874" s="101"/>
    </row>
    <row r="13875" spans="9:9" x14ac:dyDescent="0.3">
      <c r="I13875" s="101"/>
    </row>
    <row r="13876" spans="9:9" x14ac:dyDescent="0.3">
      <c r="I13876" s="101"/>
    </row>
    <row r="13877" spans="9:9" x14ac:dyDescent="0.3">
      <c r="I13877" s="101"/>
    </row>
    <row r="13878" spans="9:9" x14ac:dyDescent="0.3">
      <c r="I13878" s="101"/>
    </row>
    <row r="13879" spans="9:9" x14ac:dyDescent="0.3">
      <c r="I13879" s="101"/>
    </row>
    <row r="13880" spans="9:9" x14ac:dyDescent="0.3">
      <c r="I13880" s="101"/>
    </row>
    <row r="13881" spans="9:9" x14ac:dyDescent="0.3">
      <c r="I13881" s="101"/>
    </row>
    <row r="13882" spans="9:9" x14ac:dyDescent="0.3">
      <c r="I13882" s="101"/>
    </row>
    <row r="13883" spans="9:9" x14ac:dyDescent="0.3">
      <c r="I13883" s="101"/>
    </row>
    <row r="13884" spans="9:9" x14ac:dyDescent="0.3">
      <c r="I13884" s="101"/>
    </row>
    <row r="13885" spans="9:9" x14ac:dyDescent="0.3">
      <c r="I13885" s="101"/>
    </row>
    <row r="13886" spans="9:9" x14ac:dyDescent="0.3">
      <c r="I13886" s="101"/>
    </row>
    <row r="13887" spans="9:9" x14ac:dyDescent="0.3">
      <c r="I13887" s="101"/>
    </row>
    <row r="13888" spans="9:9" x14ac:dyDescent="0.3">
      <c r="I13888" s="101"/>
    </row>
    <row r="13889" spans="9:9" x14ac:dyDescent="0.3">
      <c r="I13889" s="101"/>
    </row>
    <row r="13890" spans="9:9" x14ac:dyDescent="0.3">
      <c r="I13890" s="101"/>
    </row>
    <row r="13891" spans="9:9" x14ac:dyDescent="0.3">
      <c r="I13891" s="101"/>
    </row>
    <row r="13892" spans="9:9" x14ac:dyDescent="0.3">
      <c r="I13892" s="101"/>
    </row>
    <row r="13893" spans="9:9" x14ac:dyDescent="0.3">
      <c r="I13893" s="101"/>
    </row>
    <row r="13894" spans="9:9" x14ac:dyDescent="0.3">
      <c r="I13894" s="101"/>
    </row>
    <row r="13895" spans="9:9" x14ac:dyDescent="0.3">
      <c r="I13895" s="101"/>
    </row>
    <row r="13896" spans="9:9" x14ac:dyDescent="0.3">
      <c r="I13896" s="101"/>
    </row>
    <row r="13897" spans="9:9" x14ac:dyDescent="0.3">
      <c r="I13897" s="101"/>
    </row>
    <row r="13898" spans="9:9" x14ac:dyDescent="0.3">
      <c r="I13898" s="101"/>
    </row>
    <row r="13899" spans="9:9" x14ac:dyDescent="0.3">
      <c r="I13899" s="101"/>
    </row>
    <row r="13900" spans="9:9" x14ac:dyDescent="0.3">
      <c r="I13900" s="101"/>
    </row>
    <row r="13901" spans="9:9" x14ac:dyDescent="0.3">
      <c r="I13901" s="101"/>
    </row>
    <row r="13902" spans="9:9" x14ac:dyDescent="0.3">
      <c r="I13902" s="101"/>
    </row>
    <row r="13903" spans="9:9" x14ac:dyDescent="0.3">
      <c r="I13903" s="101"/>
    </row>
    <row r="13904" spans="9:9" x14ac:dyDescent="0.3">
      <c r="I13904" s="101"/>
    </row>
    <row r="13905" spans="9:9" x14ac:dyDescent="0.3">
      <c r="I13905" s="101"/>
    </row>
    <row r="13906" spans="9:9" x14ac:dyDescent="0.3">
      <c r="I13906" s="101"/>
    </row>
    <row r="13907" spans="9:9" x14ac:dyDescent="0.3">
      <c r="I13907" s="101"/>
    </row>
    <row r="13908" spans="9:9" x14ac:dyDescent="0.3">
      <c r="I13908" s="101"/>
    </row>
    <row r="13909" spans="9:9" x14ac:dyDescent="0.3">
      <c r="I13909" s="101"/>
    </row>
    <row r="13910" spans="9:9" x14ac:dyDescent="0.3">
      <c r="I13910" s="101"/>
    </row>
    <row r="13911" spans="9:9" x14ac:dyDescent="0.3">
      <c r="I13911" s="101"/>
    </row>
    <row r="13912" spans="9:9" x14ac:dyDescent="0.3">
      <c r="I13912" s="101"/>
    </row>
    <row r="13913" spans="9:9" x14ac:dyDescent="0.3">
      <c r="I13913" s="101"/>
    </row>
    <row r="13914" spans="9:9" x14ac:dyDescent="0.3">
      <c r="I13914" s="101"/>
    </row>
    <row r="13915" spans="9:9" x14ac:dyDescent="0.3">
      <c r="I13915" s="101"/>
    </row>
    <row r="13916" spans="9:9" x14ac:dyDescent="0.3">
      <c r="I13916" s="101"/>
    </row>
    <row r="13917" spans="9:9" x14ac:dyDescent="0.3">
      <c r="I13917" s="101"/>
    </row>
    <row r="13918" spans="9:9" x14ac:dyDescent="0.3">
      <c r="I13918" s="101"/>
    </row>
    <row r="13919" spans="9:9" x14ac:dyDescent="0.3">
      <c r="I13919" s="101"/>
    </row>
    <row r="13920" spans="9:9" x14ac:dyDescent="0.3">
      <c r="I13920" s="101"/>
    </row>
    <row r="13921" spans="9:9" x14ac:dyDescent="0.3">
      <c r="I13921" s="101"/>
    </row>
    <row r="13922" spans="9:9" x14ac:dyDescent="0.3">
      <c r="I13922" s="101"/>
    </row>
    <row r="13923" spans="9:9" x14ac:dyDescent="0.3">
      <c r="I13923" s="101"/>
    </row>
    <row r="13924" spans="9:9" x14ac:dyDescent="0.3">
      <c r="I13924" s="101"/>
    </row>
    <row r="13925" spans="9:9" x14ac:dyDescent="0.3">
      <c r="I13925" s="101"/>
    </row>
    <row r="13926" spans="9:9" x14ac:dyDescent="0.3">
      <c r="I13926" s="101"/>
    </row>
    <row r="13927" spans="9:9" x14ac:dyDescent="0.3">
      <c r="I13927" s="101"/>
    </row>
    <row r="13928" spans="9:9" x14ac:dyDescent="0.3">
      <c r="I13928" s="101"/>
    </row>
    <row r="13929" spans="9:9" x14ac:dyDescent="0.3">
      <c r="I13929" s="101"/>
    </row>
    <row r="13930" spans="9:9" x14ac:dyDescent="0.3">
      <c r="I13930" s="101"/>
    </row>
    <row r="13931" spans="9:9" x14ac:dyDescent="0.3">
      <c r="I13931" s="101"/>
    </row>
    <row r="13932" spans="9:9" x14ac:dyDescent="0.3">
      <c r="I13932" s="101"/>
    </row>
    <row r="13933" spans="9:9" x14ac:dyDescent="0.3">
      <c r="I13933" s="101"/>
    </row>
    <row r="13934" spans="9:9" x14ac:dyDescent="0.3">
      <c r="I13934" s="101"/>
    </row>
    <row r="13935" spans="9:9" x14ac:dyDescent="0.3">
      <c r="I13935" s="101"/>
    </row>
    <row r="13936" spans="9:9" x14ac:dyDescent="0.3">
      <c r="I13936" s="101"/>
    </row>
    <row r="13937" spans="9:9" x14ac:dyDescent="0.3">
      <c r="I13937" s="101"/>
    </row>
    <row r="13938" spans="9:9" x14ac:dyDescent="0.3">
      <c r="I13938" s="101"/>
    </row>
    <row r="13939" spans="9:9" x14ac:dyDescent="0.3">
      <c r="I13939" s="101"/>
    </row>
    <row r="13940" spans="9:9" x14ac:dyDescent="0.3">
      <c r="I13940" s="101"/>
    </row>
    <row r="13941" spans="9:9" x14ac:dyDescent="0.3">
      <c r="I13941" s="101"/>
    </row>
    <row r="13942" spans="9:9" x14ac:dyDescent="0.3">
      <c r="I13942" s="101"/>
    </row>
    <row r="13943" spans="9:9" x14ac:dyDescent="0.3">
      <c r="I13943" s="101"/>
    </row>
    <row r="13944" spans="9:9" x14ac:dyDescent="0.3">
      <c r="I13944" s="101"/>
    </row>
    <row r="13945" spans="9:9" x14ac:dyDescent="0.3">
      <c r="I13945" s="101"/>
    </row>
    <row r="13946" spans="9:9" x14ac:dyDescent="0.3">
      <c r="I13946" s="101"/>
    </row>
    <row r="13947" spans="9:9" x14ac:dyDescent="0.3">
      <c r="I13947" s="101"/>
    </row>
    <row r="13948" spans="9:9" x14ac:dyDescent="0.3">
      <c r="I13948" s="101"/>
    </row>
    <row r="13949" spans="9:9" x14ac:dyDescent="0.3">
      <c r="I13949" s="101"/>
    </row>
    <row r="13950" spans="9:9" x14ac:dyDescent="0.3">
      <c r="I13950" s="101"/>
    </row>
    <row r="13951" spans="9:9" x14ac:dyDescent="0.3">
      <c r="I13951" s="101"/>
    </row>
    <row r="13952" spans="9:9" x14ac:dyDescent="0.3">
      <c r="I13952" s="101"/>
    </row>
    <row r="13953" spans="9:9" x14ac:dyDescent="0.3">
      <c r="I13953" s="101"/>
    </row>
    <row r="13954" spans="9:9" x14ac:dyDescent="0.3">
      <c r="I13954" s="101"/>
    </row>
    <row r="13955" spans="9:9" x14ac:dyDescent="0.3">
      <c r="I13955" s="101"/>
    </row>
    <row r="13956" spans="9:9" x14ac:dyDescent="0.3">
      <c r="I13956" s="101"/>
    </row>
    <row r="13957" spans="9:9" x14ac:dyDescent="0.3">
      <c r="I13957" s="101"/>
    </row>
    <row r="13958" spans="9:9" x14ac:dyDescent="0.3">
      <c r="I13958" s="101"/>
    </row>
    <row r="13959" spans="9:9" x14ac:dyDescent="0.3">
      <c r="I13959" s="101"/>
    </row>
    <row r="13960" spans="9:9" x14ac:dyDescent="0.3">
      <c r="I13960" s="101"/>
    </row>
    <row r="13961" spans="9:9" x14ac:dyDescent="0.3">
      <c r="I13961" s="101"/>
    </row>
    <row r="13962" spans="9:9" x14ac:dyDescent="0.3">
      <c r="I13962" s="101"/>
    </row>
    <row r="13963" spans="9:9" x14ac:dyDescent="0.3">
      <c r="I13963" s="101"/>
    </row>
    <row r="13964" spans="9:9" x14ac:dyDescent="0.3">
      <c r="I13964" s="101"/>
    </row>
    <row r="13965" spans="9:9" x14ac:dyDescent="0.3">
      <c r="I13965" s="101"/>
    </row>
    <row r="13966" spans="9:9" x14ac:dyDescent="0.3">
      <c r="I13966" s="101"/>
    </row>
    <row r="13967" spans="9:9" x14ac:dyDescent="0.3">
      <c r="I13967" s="101"/>
    </row>
    <row r="13968" spans="9:9" x14ac:dyDescent="0.3">
      <c r="I13968" s="101"/>
    </row>
    <row r="13969" spans="9:9" x14ac:dyDescent="0.3">
      <c r="I13969" s="101"/>
    </row>
    <row r="13970" spans="9:9" x14ac:dyDescent="0.3">
      <c r="I13970" s="101"/>
    </row>
    <row r="13971" spans="9:9" x14ac:dyDescent="0.3">
      <c r="I13971" s="101"/>
    </row>
    <row r="13972" spans="9:9" x14ac:dyDescent="0.3">
      <c r="I13972" s="101"/>
    </row>
    <row r="13973" spans="9:9" x14ac:dyDescent="0.3">
      <c r="I13973" s="101"/>
    </row>
    <row r="13974" spans="9:9" x14ac:dyDescent="0.3">
      <c r="I13974" s="101"/>
    </row>
    <row r="13975" spans="9:9" x14ac:dyDescent="0.3">
      <c r="I13975" s="101"/>
    </row>
    <row r="13976" spans="9:9" x14ac:dyDescent="0.3">
      <c r="I13976" s="101"/>
    </row>
    <row r="13977" spans="9:9" x14ac:dyDescent="0.3">
      <c r="I13977" s="101"/>
    </row>
    <row r="13978" spans="9:9" x14ac:dyDescent="0.3">
      <c r="I13978" s="101"/>
    </row>
    <row r="13979" spans="9:9" x14ac:dyDescent="0.3">
      <c r="I13979" s="101"/>
    </row>
    <row r="13980" spans="9:9" x14ac:dyDescent="0.3">
      <c r="I13980" s="101"/>
    </row>
    <row r="13981" spans="9:9" x14ac:dyDescent="0.3">
      <c r="I13981" s="101"/>
    </row>
    <row r="13982" spans="9:9" x14ac:dyDescent="0.3">
      <c r="I13982" s="101"/>
    </row>
    <row r="13983" spans="9:9" x14ac:dyDescent="0.3">
      <c r="I13983" s="101"/>
    </row>
    <row r="13984" spans="9:9" x14ac:dyDescent="0.3">
      <c r="I13984" s="101"/>
    </row>
    <row r="13985" spans="9:9" x14ac:dyDescent="0.3">
      <c r="I13985" s="101"/>
    </row>
    <row r="13986" spans="9:9" x14ac:dyDescent="0.3">
      <c r="I13986" s="101"/>
    </row>
    <row r="13987" spans="9:9" x14ac:dyDescent="0.3">
      <c r="I13987" s="101"/>
    </row>
    <row r="13988" spans="9:9" x14ac:dyDescent="0.3">
      <c r="I13988" s="101"/>
    </row>
    <row r="13989" spans="9:9" x14ac:dyDescent="0.3">
      <c r="I13989" s="101"/>
    </row>
    <row r="13990" spans="9:9" x14ac:dyDescent="0.3">
      <c r="I13990" s="101"/>
    </row>
    <row r="13991" spans="9:9" x14ac:dyDescent="0.3">
      <c r="I13991" s="101"/>
    </row>
    <row r="13992" spans="9:9" x14ac:dyDescent="0.3">
      <c r="I13992" s="101"/>
    </row>
    <row r="13993" spans="9:9" x14ac:dyDescent="0.3">
      <c r="I13993" s="101"/>
    </row>
    <row r="13994" spans="9:9" x14ac:dyDescent="0.3">
      <c r="I13994" s="101"/>
    </row>
    <row r="13995" spans="9:9" x14ac:dyDescent="0.3">
      <c r="I13995" s="101"/>
    </row>
    <row r="13996" spans="9:9" x14ac:dyDescent="0.3">
      <c r="I13996" s="101"/>
    </row>
    <row r="13997" spans="9:9" x14ac:dyDescent="0.3">
      <c r="I13997" s="101"/>
    </row>
    <row r="13998" spans="9:9" x14ac:dyDescent="0.3">
      <c r="I13998" s="101"/>
    </row>
    <row r="13999" spans="9:9" x14ac:dyDescent="0.3">
      <c r="I13999" s="101"/>
    </row>
    <row r="14000" spans="9:9" x14ac:dyDescent="0.3">
      <c r="I14000" s="101"/>
    </row>
    <row r="14001" spans="9:9" x14ac:dyDescent="0.3">
      <c r="I14001" s="101"/>
    </row>
    <row r="14002" spans="9:9" x14ac:dyDescent="0.3">
      <c r="I14002" s="101"/>
    </row>
    <row r="14003" spans="9:9" x14ac:dyDescent="0.3">
      <c r="I14003" s="101"/>
    </row>
    <row r="14004" spans="9:9" x14ac:dyDescent="0.3">
      <c r="I14004" s="101"/>
    </row>
    <row r="14005" spans="9:9" x14ac:dyDescent="0.3">
      <c r="I14005" s="101"/>
    </row>
    <row r="14006" spans="9:9" x14ac:dyDescent="0.3">
      <c r="I14006" s="101"/>
    </row>
    <row r="14007" spans="9:9" x14ac:dyDescent="0.3">
      <c r="I14007" s="101"/>
    </row>
    <row r="14008" spans="9:9" x14ac:dyDescent="0.3">
      <c r="I14008" s="101"/>
    </row>
    <row r="14009" spans="9:9" x14ac:dyDescent="0.3">
      <c r="I14009" s="101"/>
    </row>
    <row r="14010" spans="9:9" x14ac:dyDescent="0.3">
      <c r="I14010" s="101"/>
    </row>
    <row r="14011" spans="9:9" x14ac:dyDescent="0.3">
      <c r="I14011" s="101"/>
    </row>
    <row r="14012" spans="9:9" x14ac:dyDescent="0.3">
      <c r="I14012" s="101"/>
    </row>
    <row r="14013" spans="9:9" x14ac:dyDescent="0.3">
      <c r="I14013" s="101"/>
    </row>
    <row r="14014" spans="9:9" x14ac:dyDescent="0.3">
      <c r="I14014" s="101"/>
    </row>
    <row r="14015" spans="9:9" x14ac:dyDescent="0.3">
      <c r="I14015" s="101"/>
    </row>
    <row r="14016" spans="9:9" x14ac:dyDescent="0.3">
      <c r="I14016" s="101"/>
    </row>
    <row r="14017" spans="9:9" x14ac:dyDescent="0.3">
      <c r="I14017" s="101"/>
    </row>
    <row r="14018" spans="9:9" x14ac:dyDescent="0.3">
      <c r="I14018" s="101"/>
    </row>
    <row r="14019" spans="9:9" x14ac:dyDescent="0.3">
      <c r="I14019" s="101"/>
    </row>
    <row r="14020" spans="9:9" x14ac:dyDescent="0.3">
      <c r="I14020" s="101"/>
    </row>
    <row r="14021" spans="9:9" x14ac:dyDescent="0.3">
      <c r="I14021" s="101"/>
    </row>
    <row r="14022" spans="9:9" x14ac:dyDescent="0.3">
      <c r="I14022" s="101"/>
    </row>
    <row r="14023" spans="9:9" x14ac:dyDescent="0.3">
      <c r="I14023" s="101"/>
    </row>
    <row r="14024" spans="9:9" x14ac:dyDescent="0.3">
      <c r="I14024" s="101"/>
    </row>
    <row r="14025" spans="9:9" x14ac:dyDescent="0.3">
      <c r="I14025" s="101"/>
    </row>
    <row r="14026" spans="9:9" x14ac:dyDescent="0.3">
      <c r="I14026" s="101"/>
    </row>
    <row r="14027" spans="9:9" x14ac:dyDescent="0.3">
      <c r="I14027" s="101"/>
    </row>
    <row r="14028" spans="9:9" x14ac:dyDescent="0.3">
      <c r="I14028" s="101"/>
    </row>
    <row r="14029" spans="9:9" x14ac:dyDescent="0.3">
      <c r="I14029" s="101"/>
    </row>
    <row r="14030" spans="9:9" x14ac:dyDescent="0.3">
      <c r="I14030" s="101"/>
    </row>
    <row r="14031" spans="9:9" x14ac:dyDescent="0.3">
      <c r="I14031" s="101"/>
    </row>
    <row r="14032" spans="9:9" x14ac:dyDescent="0.3">
      <c r="I14032" s="101"/>
    </row>
    <row r="14033" spans="9:9" x14ac:dyDescent="0.3">
      <c r="I14033" s="101"/>
    </row>
    <row r="14034" spans="9:9" x14ac:dyDescent="0.3">
      <c r="I14034" s="101"/>
    </row>
    <row r="14035" spans="9:9" x14ac:dyDescent="0.3">
      <c r="I14035" s="101"/>
    </row>
    <row r="14036" spans="9:9" x14ac:dyDescent="0.3">
      <c r="I14036" s="101"/>
    </row>
    <row r="14037" spans="9:9" x14ac:dyDescent="0.3">
      <c r="I14037" s="101"/>
    </row>
    <row r="14038" spans="9:9" x14ac:dyDescent="0.3">
      <c r="I14038" s="101"/>
    </row>
    <row r="14039" spans="9:9" x14ac:dyDescent="0.3">
      <c r="I14039" s="101"/>
    </row>
    <row r="14040" spans="9:9" x14ac:dyDescent="0.3">
      <c r="I14040" s="101"/>
    </row>
    <row r="14041" spans="9:9" x14ac:dyDescent="0.3">
      <c r="I14041" s="101"/>
    </row>
    <row r="14042" spans="9:9" x14ac:dyDescent="0.3">
      <c r="I14042" s="101"/>
    </row>
    <row r="14043" spans="9:9" x14ac:dyDescent="0.3">
      <c r="I14043" s="101"/>
    </row>
    <row r="14044" spans="9:9" x14ac:dyDescent="0.3">
      <c r="I14044" s="101"/>
    </row>
    <row r="14045" spans="9:9" x14ac:dyDescent="0.3">
      <c r="I14045" s="101"/>
    </row>
    <row r="14046" spans="9:9" x14ac:dyDescent="0.3">
      <c r="I14046" s="101"/>
    </row>
    <row r="14047" spans="9:9" x14ac:dyDescent="0.3">
      <c r="I14047" s="101"/>
    </row>
    <row r="14048" spans="9:9" x14ac:dyDescent="0.3">
      <c r="I14048" s="101"/>
    </row>
    <row r="14049" spans="9:9" x14ac:dyDescent="0.3">
      <c r="I14049" s="101"/>
    </row>
    <row r="14050" spans="9:9" x14ac:dyDescent="0.3">
      <c r="I14050" s="101"/>
    </row>
    <row r="14051" spans="9:9" x14ac:dyDescent="0.3">
      <c r="I14051" s="101"/>
    </row>
    <row r="14052" spans="9:9" x14ac:dyDescent="0.3">
      <c r="I14052" s="101"/>
    </row>
    <row r="14053" spans="9:9" x14ac:dyDescent="0.3">
      <c r="I14053" s="101"/>
    </row>
    <row r="14054" spans="9:9" x14ac:dyDescent="0.3">
      <c r="I14054" s="101"/>
    </row>
    <row r="14055" spans="9:9" x14ac:dyDescent="0.3">
      <c r="I14055" s="101"/>
    </row>
    <row r="14056" spans="9:9" x14ac:dyDescent="0.3">
      <c r="I14056" s="101"/>
    </row>
    <row r="14057" spans="9:9" x14ac:dyDescent="0.3">
      <c r="I14057" s="101"/>
    </row>
    <row r="14058" spans="9:9" x14ac:dyDescent="0.3">
      <c r="I14058" s="101"/>
    </row>
    <row r="14059" spans="9:9" x14ac:dyDescent="0.3">
      <c r="I14059" s="101"/>
    </row>
    <row r="14060" spans="9:9" x14ac:dyDescent="0.3">
      <c r="I14060" s="101"/>
    </row>
    <row r="14061" spans="9:9" x14ac:dyDescent="0.3">
      <c r="I14061" s="101"/>
    </row>
    <row r="14062" spans="9:9" x14ac:dyDescent="0.3">
      <c r="I14062" s="101"/>
    </row>
    <row r="14063" spans="9:9" x14ac:dyDescent="0.3">
      <c r="I14063" s="101"/>
    </row>
    <row r="14064" spans="9:9" x14ac:dyDescent="0.3">
      <c r="I14064" s="101"/>
    </row>
    <row r="14065" spans="9:9" x14ac:dyDescent="0.3">
      <c r="I14065" s="101"/>
    </row>
    <row r="14066" spans="9:9" x14ac:dyDescent="0.3">
      <c r="I14066" s="101"/>
    </row>
    <row r="14067" spans="9:9" x14ac:dyDescent="0.3">
      <c r="I14067" s="101"/>
    </row>
    <row r="14068" spans="9:9" x14ac:dyDescent="0.3">
      <c r="I14068" s="101"/>
    </row>
    <row r="14069" spans="9:9" x14ac:dyDescent="0.3">
      <c r="I14069" s="101"/>
    </row>
    <row r="14070" spans="9:9" x14ac:dyDescent="0.3">
      <c r="I14070" s="101"/>
    </row>
    <row r="14071" spans="9:9" x14ac:dyDescent="0.3">
      <c r="I14071" s="101"/>
    </row>
    <row r="14072" spans="9:9" x14ac:dyDescent="0.3">
      <c r="I14072" s="101"/>
    </row>
    <row r="14073" spans="9:9" x14ac:dyDescent="0.3">
      <c r="I14073" s="101"/>
    </row>
    <row r="14074" spans="9:9" x14ac:dyDescent="0.3">
      <c r="I14074" s="101"/>
    </row>
    <row r="14075" spans="9:9" x14ac:dyDescent="0.3">
      <c r="I14075" s="101"/>
    </row>
    <row r="14076" spans="9:9" x14ac:dyDescent="0.3">
      <c r="I14076" s="101"/>
    </row>
    <row r="14077" spans="9:9" x14ac:dyDescent="0.3">
      <c r="I14077" s="101"/>
    </row>
    <row r="14078" spans="9:9" x14ac:dyDescent="0.3">
      <c r="I14078" s="101"/>
    </row>
    <row r="14079" spans="9:9" x14ac:dyDescent="0.3">
      <c r="I14079" s="101"/>
    </row>
    <row r="14080" spans="9:9" x14ac:dyDescent="0.3">
      <c r="I14080" s="101"/>
    </row>
    <row r="14081" spans="9:9" x14ac:dyDescent="0.3">
      <c r="I14081" s="101"/>
    </row>
    <row r="14082" spans="9:9" x14ac:dyDescent="0.3">
      <c r="I14082" s="101"/>
    </row>
    <row r="14083" spans="9:9" x14ac:dyDescent="0.3">
      <c r="I14083" s="101"/>
    </row>
    <row r="14084" spans="9:9" x14ac:dyDescent="0.3">
      <c r="I14084" s="101"/>
    </row>
    <row r="14085" spans="9:9" x14ac:dyDescent="0.3">
      <c r="I14085" s="101"/>
    </row>
    <row r="14086" spans="9:9" x14ac:dyDescent="0.3">
      <c r="I14086" s="101"/>
    </row>
    <row r="14087" spans="9:9" x14ac:dyDescent="0.3">
      <c r="I14087" s="101"/>
    </row>
    <row r="14088" spans="9:9" x14ac:dyDescent="0.3">
      <c r="I14088" s="101"/>
    </row>
    <row r="14089" spans="9:9" x14ac:dyDescent="0.3">
      <c r="I14089" s="101"/>
    </row>
    <row r="14090" spans="9:9" x14ac:dyDescent="0.3">
      <c r="I14090" s="101"/>
    </row>
    <row r="14091" spans="9:9" x14ac:dyDescent="0.3">
      <c r="I14091" s="101"/>
    </row>
    <row r="14092" spans="9:9" x14ac:dyDescent="0.3">
      <c r="I14092" s="101"/>
    </row>
    <row r="14093" spans="9:9" x14ac:dyDescent="0.3">
      <c r="I14093" s="101"/>
    </row>
    <row r="14094" spans="9:9" x14ac:dyDescent="0.3">
      <c r="I14094" s="101"/>
    </row>
    <row r="14095" spans="9:9" x14ac:dyDescent="0.3">
      <c r="I14095" s="101"/>
    </row>
    <row r="14096" spans="9:9" x14ac:dyDescent="0.3">
      <c r="I14096" s="101"/>
    </row>
    <row r="14097" spans="9:9" x14ac:dyDescent="0.3">
      <c r="I14097" s="101"/>
    </row>
    <row r="14098" spans="9:9" x14ac:dyDescent="0.3">
      <c r="I14098" s="101"/>
    </row>
    <row r="14099" spans="9:9" x14ac:dyDescent="0.3">
      <c r="I14099" s="101"/>
    </row>
    <row r="14100" spans="9:9" x14ac:dyDescent="0.3">
      <c r="I14100" s="101"/>
    </row>
    <row r="14101" spans="9:9" x14ac:dyDescent="0.3">
      <c r="I14101" s="101"/>
    </row>
    <row r="14102" spans="9:9" x14ac:dyDescent="0.3">
      <c r="I14102" s="101"/>
    </row>
    <row r="14103" spans="9:9" x14ac:dyDescent="0.3">
      <c r="I14103" s="101"/>
    </row>
    <row r="14104" spans="9:9" x14ac:dyDescent="0.3">
      <c r="I14104" s="101"/>
    </row>
    <row r="14105" spans="9:9" x14ac:dyDescent="0.3">
      <c r="I14105" s="101"/>
    </row>
    <row r="14106" spans="9:9" x14ac:dyDescent="0.3">
      <c r="I14106" s="101"/>
    </row>
    <row r="14107" spans="9:9" x14ac:dyDescent="0.3">
      <c r="I14107" s="101"/>
    </row>
    <row r="14108" spans="9:9" x14ac:dyDescent="0.3">
      <c r="I14108" s="101"/>
    </row>
    <row r="14109" spans="9:9" x14ac:dyDescent="0.3">
      <c r="I14109" s="101"/>
    </row>
    <row r="14110" spans="9:9" x14ac:dyDescent="0.3">
      <c r="I14110" s="101"/>
    </row>
    <row r="14111" spans="9:9" x14ac:dyDescent="0.3">
      <c r="I14111" s="101"/>
    </row>
    <row r="14112" spans="9:9" x14ac:dyDescent="0.3">
      <c r="I14112" s="101"/>
    </row>
    <row r="14113" spans="9:9" x14ac:dyDescent="0.3">
      <c r="I14113" s="101"/>
    </row>
    <row r="14114" spans="9:9" x14ac:dyDescent="0.3">
      <c r="I14114" s="101"/>
    </row>
    <row r="14115" spans="9:9" x14ac:dyDescent="0.3">
      <c r="I14115" s="101"/>
    </row>
    <row r="14116" spans="9:9" x14ac:dyDescent="0.3">
      <c r="I14116" s="101"/>
    </row>
    <row r="14117" spans="9:9" x14ac:dyDescent="0.3">
      <c r="I14117" s="101"/>
    </row>
    <row r="14118" spans="9:9" x14ac:dyDescent="0.3">
      <c r="I14118" s="101"/>
    </row>
    <row r="14119" spans="9:9" x14ac:dyDescent="0.3">
      <c r="I14119" s="101"/>
    </row>
    <row r="14120" spans="9:9" x14ac:dyDescent="0.3">
      <c r="I14120" s="101"/>
    </row>
    <row r="14121" spans="9:9" x14ac:dyDescent="0.3">
      <c r="I14121" s="101"/>
    </row>
    <row r="14122" spans="9:9" x14ac:dyDescent="0.3">
      <c r="I14122" s="101"/>
    </row>
    <row r="14123" spans="9:9" x14ac:dyDescent="0.3">
      <c r="I14123" s="101"/>
    </row>
    <row r="14124" spans="9:9" x14ac:dyDescent="0.3">
      <c r="I14124" s="101"/>
    </row>
    <row r="14125" spans="9:9" x14ac:dyDescent="0.3">
      <c r="I14125" s="101"/>
    </row>
    <row r="14126" spans="9:9" x14ac:dyDescent="0.3">
      <c r="I14126" s="101"/>
    </row>
    <row r="14127" spans="9:9" x14ac:dyDescent="0.3">
      <c r="I14127" s="101"/>
    </row>
    <row r="14128" spans="9:9" x14ac:dyDescent="0.3">
      <c r="I14128" s="101"/>
    </row>
    <row r="14129" spans="9:9" x14ac:dyDescent="0.3">
      <c r="I14129" s="101"/>
    </row>
    <row r="14130" spans="9:9" x14ac:dyDescent="0.3">
      <c r="I14130" s="101"/>
    </row>
    <row r="14131" spans="9:9" x14ac:dyDescent="0.3">
      <c r="I14131" s="101"/>
    </row>
    <row r="14132" spans="9:9" x14ac:dyDescent="0.3">
      <c r="I14132" s="101"/>
    </row>
    <row r="14133" spans="9:9" x14ac:dyDescent="0.3">
      <c r="I14133" s="101"/>
    </row>
    <row r="14134" spans="9:9" x14ac:dyDescent="0.3">
      <c r="I14134" s="101"/>
    </row>
    <row r="14135" spans="9:9" x14ac:dyDescent="0.3">
      <c r="I14135" s="101"/>
    </row>
    <row r="14136" spans="9:9" x14ac:dyDescent="0.3">
      <c r="I14136" s="101"/>
    </row>
    <row r="14137" spans="9:9" x14ac:dyDescent="0.3">
      <c r="I14137" s="101"/>
    </row>
    <row r="14138" spans="9:9" x14ac:dyDescent="0.3">
      <c r="I14138" s="101"/>
    </row>
    <row r="14139" spans="9:9" x14ac:dyDescent="0.3">
      <c r="I14139" s="101"/>
    </row>
    <row r="14140" spans="9:9" x14ac:dyDescent="0.3">
      <c r="I14140" s="101"/>
    </row>
    <row r="14141" spans="9:9" x14ac:dyDescent="0.3">
      <c r="I14141" s="101"/>
    </row>
    <row r="14142" spans="9:9" x14ac:dyDescent="0.3">
      <c r="I14142" s="101"/>
    </row>
    <row r="14143" spans="9:9" x14ac:dyDescent="0.3">
      <c r="I14143" s="101"/>
    </row>
    <row r="14144" spans="9:9" x14ac:dyDescent="0.3">
      <c r="I14144" s="101"/>
    </row>
    <row r="14145" spans="9:9" x14ac:dyDescent="0.3">
      <c r="I14145" s="101"/>
    </row>
    <row r="14146" spans="9:9" x14ac:dyDescent="0.3">
      <c r="I14146" s="101"/>
    </row>
    <row r="14147" spans="9:9" x14ac:dyDescent="0.3">
      <c r="I14147" s="101"/>
    </row>
    <row r="14148" spans="9:9" x14ac:dyDescent="0.3">
      <c r="I14148" s="101"/>
    </row>
    <row r="14149" spans="9:9" x14ac:dyDescent="0.3">
      <c r="I14149" s="101"/>
    </row>
    <row r="14150" spans="9:9" x14ac:dyDescent="0.3">
      <c r="I14150" s="101"/>
    </row>
    <row r="14151" spans="9:9" x14ac:dyDescent="0.3">
      <c r="I14151" s="101"/>
    </row>
    <row r="14152" spans="9:9" x14ac:dyDescent="0.3">
      <c r="I14152" s="101"/>
    </row>
    <row r="14153" spans="9:9" x14ac:dyDescent="0.3">
      <c r="I14153" s="101"/>
    </row>
    <row r="14154" spans="9:9" x14ac:dyDescent="0.3">
      <c r="I14154" s="101"/>
    </row>
    <row r="14155" spans="9:9" x14ac:dyDescent="0.3">
      <c r="I14155" s="101"/>
    </row>
    <row r="14156" spans="9:9" x14ac:dyDescent="0.3">
      <c r="I14156" s="101"/>
    </row>
    <row r="14157" spans="9:9" x14ac:dyDescent="0.3">
      <c r="I14157" s="101"/>
    </row>
    <row r="14158" spans="9:9" x14ac:dyDescent="0.3">
      <c r="I14158" s="101"/>
    </row>
    <row r="14159" spans="9:9" x14ac:dyDescent="0.3">
      <c r="I14159" s="101"/>
    </row>
    <row r="14160" spans="9:9" x14ac:dyDescent="0.3">
      <c r="I14160" s="101"/>
    </row>
    <row r="14161" spans="9:9" x14ac:dyDescent="0.3">
      <c r="I14161" s="101"/>
    </row>
    <row r="14162" spans="9:9" x14ac:dyDescent="0.3">
      <c r="I14162" s="101"/>
    </row>
    <row r="14163" spans="9:9" x14ac:dyDescent="0.3">
      <c r="I14163" s="101"/>
    </row>
    <row r="14164" spans="9:9" x14ac:dyDescent="0.3">
      <c r="I14164" s="101"/>
    </row>
    <row r="14165" spans="9:9" x14ac:dyDescent="0.3">
      <c r="I14165" s="101"/>
    </row>
    <row r="14166" spans="9:9" x14ac:dyDescent="0.3">
      <c r="I14166" s="101"/>
    </row>
    <row r="14167" spans="9:9" x14ac:dyDescent="0.3">
      <c r="I14167" s="101"/>
    </row>
    <row r="14168" spans="9:9" x14ac:dyDescent="0.3">
      <c r="I14168" s="101"/>
    </row>
    <row r="14169" spans="9:9" x14ac:dyDescent="0.3">
      <c r="I14169" s="101"/>
    </row>
    <row r="14170" spans="9:9" x14ac:dyDescent="0.3">
      <c r="I14170" s="101"/>
    </row>
    <row r="14171" spans="9:9" x14ac:dyDescent="0.3">
      <c r="I14171" s="101"/>
    </row>
    <row r="14172" spans="9:9" x14ac:dyDescent="0.3">
      <c r="I14172" s="101"/>
    </row>
    <row r="14173" spans="9:9" x14ac:dyDescent="0.3">
      <c r="I14173" s="101"/>
    </row>
    <row r="14174" spans="9:9" x14ac:dyDescent="0.3">
      <c r="I14174" s="101"/>
    </row>
    <row r="14175" spans="9:9" x14ac:dyDescent="0.3">
      <c r="I14175" s="101"/>
    </row>
    <row r="14176" spans="9:9" x14ac:dyDescent="0.3">
      <c r="I14176" s="101"/>
    </row>
    <row r="14177" spans="9:9" x14ac:dyDescent="0.3">
      <c r="I14177" s="101"/>
    </row>
    <row r="14178" spans="9:9" x14ac:dyDescent="0.3">
      <c r="I14178" s="101"/>
    </row>
    <row r="14179" spans="9:9" x14ac:dyDescent="0.3">
      <c r="I14179" s="101"/>
    </row>
    <row r="14180" spans="9:9" x14ac:dyDescent="0.3">
      <c r="I14180" s="101"/>
    </row>
    <row r="14181" spans="9:9" x14ac:dyDescent="0.3">
      <c r="I14181" s="101"/>
    </row>
    <row r="14182" spans="9:9" x14ac:dyDescent="0.3">
      <c r="I14182" s="101"/>
    </row>
    <row r="14183" spans="9:9" x14ac:dyDescent="0.3">
      <c r="I14183" s="101"/>
    </row>
    <row r="14184" spans="9:9" x14ac:dyDescent="0.3">
      <c r="I14184" s="101"/>
    </row>
    <row r="14185" spans="9:9" x14ac:dyDescent="0.3">
      <c r="I14185" s="101"/>
    </row>
    <row r="14186" spans="9:9" x14ac:dyDescent="0.3">
      <c r="I14186" s="101"/>
    </row>
    <row r="14187" spans="9:9" x14ac:dyDescent="0.3">
      <c r="I14187" s="101"/>
    </row>
    <row r="14188" spans="9:9" x14ac:dyDescent="0.3">
      <c r="I14188" s="101"/>
    </row>
    <row r="14189" spans="9:9" x14ac:dyDescent="0.3">
      <c r="I14189" s="101"/>
    </row>
    <row r="14190" spans="9:9" x14ac:dyDescent="0.3">
      <c r="I14190" s="101"/>
    </row>
    <row r="14191" spans="9:9" x14ac:dyDescent="0.3">
      <c r="I14191" s="101"/>
    </row>
    <row r="14192" spans="9:9" x14ac:dyDescent="0.3">
      <c r="I14192" s="101"/>
    </row>
    <row r="14193" spans="9:9" x14ac:dyDescent="0.3">
      <c r="I14193" s="101"/>
    </row>
    <row r="14194" spans="9:9" x14ac:dyDescent="0.3">
      <c r="I14194" s="101"/>
    </row>
    <row r="14195" spans="9:9" x14ac:dyDescent="0.3">
      <c r="I14195" s="101"/>
    </row>
    <row r="14196" spans="9:9" x14ac:dyDescent="0.3">
      <c r="I14196" s="101"/>
    </row>
    <row r="14197" spans="9:9" x14ac:dyDescent="0.3">
      <c r="I14197" s="101"/>
    </row>
    <row r="14198" spans="9:9" x14ac:dyDescent="0.3">
      <c r="I14198" s="101"/>
    </row>
    <row r="14199" spans="9:9" x14ac:dyDescent="0.3">
      <c r="I14199" s="101"/>
    </row>
    <row r="14200" spans="9:9" x14ac:dyDescent="0.3">
      <c r="I14200" s="101"/>
    </row>
    <row r="14201" spans="9:9" x14ac:dyDescent="0.3">
      <c r="I14201" s="101"/>
    </row>
    <row r="14202" spans="9:9" x14ac:dyDescent="0.3">
      <c r="I14202" s="101"/>
    </row>
    <row r="14203" spans="9:9" x14ac:dyDescent="0.3">
      <c r="I14203" s="101"/>
    </row>
    <row r="14204" spans="9:9" x14ac:dyDescent="0.3">
      <c r="I14204" s="101"/>
    </row>
    <row r="14205" spans="9:9" x14ac:dyDescent="0.3">
      <c r="I14205" s="101"/>
    </row>
    <row r="14206" spans="9:9" x14ac:dyDescent="0.3">
      <c r="I14206" s="101"/>
    </row>
    <row r="14207" spans="9:9" x14ac:dyDescent="0.3">
      <c r="I14207" s="101"/>
    </row>
    <row r="14208" spans="9:9" x14ac:dyDescent="0.3">
      <c r="I14208" s="101"/>
    </row>
    <row r="14209" spans="9:9" x14ac:dyDescent="0.3">
      <c r="I14209" s="101"/>
    </row>
    <row r="14210" spans="9:9" x14ac:dyDescent="0.3">
      <c r="I14210" s="101"/>
    </row>
    <row r="14211" spans="9:9" x14ac:dyDescent="0.3">
      <c r="I14211" s="101"/>
    </row>
    <row r="14212" spans="9:9" x14ac:dyDescent="0.3">
      <c r="I14212" s="101"/>
    </row>
    <row r="14213" spans="9:9" x14ac:dyDescent="0.3">
      <c r="I14213" s="101"/>
    </row>
    <row r="14214" spans="9:9" x14ac:dyDescent="0.3">
      <c r="I14214" s="101"/>
    </row>
    <row r="14215" spans="9:9" x14ac:dyDescent="0.3">
      <c r="I14215" s="101"/>
    </row>
    <row r="14216" spans="9:9" x14ac:dyDescent="0.3">
      <c r="I14216" s="101"/>
    </row>
    <row r="14217" spans="9:9" x14ac:dyDescent="0.3">
      <c r="I14217" s="101"/>
    </row>
    <row r="14218" spans="9:9" x14ac:dyDescent="0.3">
      <c r="I14218" s="101"/>
    </row>
    <row r="14219" spans="9:9" x14ac:dyDescent="0.3">
      <c r="I14219" s="101"/>
    </row>
    <row r="14220" spans="9:9" x14ac:dyDescent="0.3">
      <c r="I14220" s="101"/>
    </row>
    <row r="14221" spans="9:9" x14ac:dyDescent="0.3">
      <c r="I14221" s="101"/>
    </row>
    <row r="14222" spans="9:9" x14ac:dyDescent="0.3">
      <c r="I14222" s="101"/>
    </row>
    <row r="14223" spans="9:9" x14ac:dyDescent="0.3">
      <c r="I14223" s="101"/>
    </row>
    <row r="14224" spans="9:9" x14ac:dyDescent="0.3">
      <c r="I14224" s="101"/>
    </row>
    <row r="14225" spans="9:9" x14ac:dyDescent="0.3">
      <c r="I14225" s="101"/>
    </row>
    <row r="14226" spans="9:9" x14ac:dyDescent="0.3">
      <c r="I14226" s="101"/>
    </row>
    <row r="14227" spans="9:9" x14ac:dyDescent="0.3">
      <c r="I14227" s="101"/>
    </row>
    <row r="14228" spans="9:9" x14ac:dyDescent="0.3">
      <c r="I14228" s="101"/>
    </row>
    <row r="14229" spans="9:9" x14ac:dyDescent="0.3">
      <c r="I14229" s="101"/>
    </row>
    <row r="14230" spans="9:9" x14ac:dyDescent="0.3">
      <c r="I14230" s="101"/>
    </row>
    <row r="14231" spans="9:9" x14ac:dyDescent="0.3">
      <c r="I14231" s="101"/>
    </row>
    <row r="14232" spans="9:9" x14ac:dyDescent="0.3">
      <c r="I14232" s="101"/>
    </row>
    <row r="14233" spans="9:9" x14ac:dyDescent="0.3">
      <c r="I14233" s="101"/>
    </row>
    <row r="14234" spans="9:9" x14ac:dyDescent="0.3">
      <c r="I14234" s="101"/>
    </row>
    <row r="14235" spans="9:9" x14ac:dyDescent="0.3">
      <c r="I14235" s="101"/>
    </row>
    <row r="14236" spans="9:9" x14ac:dyDescent="0.3">
      <c r="I14236" s="101"/>
    </row>
    <row r="14237" spans="9:9" x14ac:dyDescent="0.3">
      <c r="I14237" s="101"/>
    </row>
    <row r="14238" spans="9:9" x14ac:dyDescent="0.3">
      <c r="I14238" s="101"/>
    </row>
    <row r="14239" spans="9:9" x14ac:dyDescent="0.3">
      <c r="I14239" s="101"/>
    </row>
    <row r="14240" spans="9:9" x14ac:dyDescent="0.3">
      <c r="I14240" s="101"/>
    </row>
    <row r="14241" spans="9:9" x14ac:dyDescent="0.3">
      <c r="I14241" s="101"/>
    </row>
    <row r="14242" spans="9:9" x14ac:dyDescent="0.3">
      <c r="I14242" s="101"/>
    </row>
    <row r="14243" spans="9:9" x14ac:dyDescent="0.3">
      <c r="I14243" s="101"/>
    </row>
    <row r="14244" spans="9:9" x14ac:dyDescent="0.3">
      <c r="I14244" s="101"/>
    </row>
    <row r="14245" spans="9:9" x14ac:dyDescent="0.3">
      <c r="I14245" s="101"/>
    </row>
    <row r="14246" spans="9:9" x14ac:dyDescent="0.3">
      <c r="I14246" s="101"/>
    </row>
    <row r="14247" spans="9:9" x14ac:dyDescent="0.3">
      <c r="I14247" s="101"/>
    </row>
    <row r="14248" spans="9:9" x14ac:dyDescent="0.3">
      <c r="I14248" s="101"/>
    </row>
    <row r="14249" spans="9:9" x14ac:dyDescent="0.3">
      <c r="I14249" s="101"/>
    </row>
    <row r="14250" spans="9:9" x14ac:dyDescent="0.3">
      <c r="I14250" s="101"/>
    </row>
    <row r="14251" spans="9:9" x14ac:dyDescent="0.3">
      <c r="I14251" s="101"/>
    </row>
    <row r="14252" spans="9:9" x14ac:dyDescent="0.3">
      <c r="I14252" s="101"/>
    </row>
    <row r="14253" spans="9:9" x14ac:dyDescent="0.3">
      <c r="I14253" s="101"/>
    </row>
    <row r="14254" spans="9:9" x14ac:dyDescent="0.3">
      <c r="I14254" s="101"/>
    </row>
    <row r="14255" spans="9:9" x14ac:dyDescent="0.3">
      <c r="I14255" s="101"/>
    </row>
    <row r="14256" spans="9:9" x14ac:dyDescent="0.3">
      <c r="I14256" s="101"/>
    </row>
    <row r="14257" spans="9:9" x14ac:dyDescent="0.3">
      <c r="I14257" s="101"/>
    </row>
    <row r="14258" spans="9:9" x14ac:dyDescent="0.3">
      <c r="I14258" s="101"/>
    </row>
    <row r="14259" spans="9:9" x14ac:dyDescent="0.3">
      <c r="I14259" s="101"/>
    </row>
    <row r="14260" spans="9:9" x14ac:dyDescent="0.3">
      <c r="I14260" s="101"/>
    </row>
    <row r="14261" spans="9:9" x14ac:dyDescent="0.3">
      <c r="I14261" s="101"/>
    </row>
    <row r="14262" spans="9:9" x14ac:dyDescent="0.3">
      <c r="I14262" s="101"/>
    </row>
    <row r="14263" spans="9:9" x14ac:dyDescent="0.3">
      <c r="I14263" s="101"/>
    </row>
    <row r="14264" spans="9:9" x14ac:dyDescent="0.3">
      <c r="I14264" s="101"/>
    </row>
    <row r="14265" spans="9:9" x14ac:dyDescent="0.3">
      <c r="I14265" s="101"/>
    </row>
    <row r="14266" spans="9:9" x14ac:dyDescent="0.3">
      <c r="I14266" s="101"/>
    </row>
    <row r="14267" spans="9:9" x14ac:dyDescent="0.3">
      <c r="I14267" s="101"/>
    </row>
    <row r="14268" spans="9:9" x14ac:dyDescent="0.3">
      <c r="I14268" s="101"/>
    </row>
    <row r="14269" spans="9:9" x14ac:dyDescent="0.3">
      <c r="I14269" s="101"/>
    </row>
    <row r="14270" spans="9:9" x14ac:dyDescent="0.3">
      <c r="I14270" s="101"/>
    </row>
    <row r="14271" spans="9:9" x14ac:dyDescent="0.3">
      <c r="I14271" s="101"/>
    </row>
    <row r="14272" spans="9:9" x14ac:dyDescent="0.3">
      <c r="I14272" s="101"/>
    </row>
    <row r="14273" spans="9:9" x14ac:dyDescent="0.3">
      <c r="I14273" s="101"/>
    </row>
    <row r="14274" spans="9:9" x14ac:dyDescent="0.3">
      <c r="I14274" s="101"/>
    </row>
    <row r="14275" spans="9:9" x14ac:dyDescent="0.3">
      <c r="I14275" s="101"/>
    </row>
    <row r="14276" spans="9:9" x14ac:dyDescent="0.3">
      <c r="I14276" s="101"/>
    </row>
    <row r="14277" spans="9:9" x14ac:dyDescent="0.3">
      <c r="I14277" s="101"/>
    </row>
    <row r="14278" spans="9:9" x14ac:dyDescent="0.3">
      <c r="I14278" s="101"/>
    </row>
    <row r="14279" spans="9:9" x14ac:dyDescent="0.3">
      <c r="I14279" s="101"/>
    </row>
    <row r="14280" spans="9:9" x14ac:dyDescent="0.3">
      <c r="I14280" s="101"/>
    </row>
    <row r="14281" spans="9:9" x14ac:dyDescent="0.3">
      <c r="I14281" s="101"/>
    </row>
    <row r="14282" spans="9:9" x14ac:dyDescent="0.3">
      <c r="I14282" s="101"/>
    </row>
    <row r="14283" spans="9:9" x14ac:dyDescent="0.3">
      <c r="I14283" s="101"/>
    </row>
    <row r="14284" spans="9:9" x14ac:dyDescent="0.3">
      <c r="I14284" s="101"/>
    </row>
    <row r="14285" spans="9:9" x14ac:dyDescent="0.3">
      <c r="I14285" s="101"/>
    </row>
    <row r="14286" spans="9:9" x14ac:dyDescent="0.3">
      <c r="I14286" s="101"/>
    </row>
    <row r="14287" spans="9:9" x14ac:dyDescent="0.3">
      <c r="I14287" s="101"/>
    </row>
    <row r="14288" spans="9:9" x14ac:dyDescent="0.3">
      <c r="I14288" s="101"/>
    </row>
    <row r="14289" spans="9:9" x14ac:dyDescent="0.3">
      <c r="I14289" s="101"/>
    </row>
    <row r="14290" spans="9:9" x14ac:dyDescent="0.3">
      <c r="I14290" s="101"/>
    </row>
    <row r="14291" spans="9:9" x14ac:dyDescent="0.3">
      <c r="I14291" s="101"/>
    </row>
    <row r="14292" spans="9:9" x14ac:dyDescent="0.3">
      <c r="I14292" s="101"/>
    </row>
    <row r="14293" spans="9:9" x14ac:dyDescent="0.3">
      <c r="I14293" s="101"/>
    </row>
    <row r="14294" spans="9:9" x14ac:dyDescent="0.3">
      <c r="I14294" s="101"/>
    </row>
    <row r="14295" spans="9:9" x14ac:dyDescent="0.3">
      <c r="I14295" s="101"/>
    </row>
    <row r="14296" spans="9:9" x14ac:dyDescent="0.3">
      <c r="I14296" s="101"/>
    </row>
    <row r="14297" spans="9:9" x14ac:dyDescent="0.3">
      <c r="I14297" s="101"/>
    </row>
    <row r="14298" spans="9:9" x14ac:dyDescent="0.3">
      <c r="I14298" s="101"/>
    </row>
    <row r="14299" spans="9:9" x14ac:dyDescent="0.3">
      <c r="I14299" s="101"/>
    </row>
    <row r="14300" spans="9:9" x14ac:dyDescent="0.3">
      <c r="I14300" s="101"/>
    </row>
    <row r="14301" spans="9:9" x14ac:dyDescent="0.3">
      <c r="I14301" s="101"/>
    </row>
    <row r="14302" spans="9:9" x14ac:dyDescent="0.3">
      <c r="I14302" s="101"/>
    </row>
    <row r="14303" spans="9:9" x14ac:dyDescent="0.3">
      <c r="I14303" s="101"/>
    </row>
    <row r="14304" spans="9:9" x14ac:dyDescent="0.3">
      <c r="I14304" s="101"/>
    </row>
    <row r="14305" spans="9:9" x14ac:dyDescent="0.3">
      <c r="I14305" s="101"/>
    </row>
    <row r="14306" spans="9:9" x14ac:dyDescent="0.3">
      <c r="I14306" s="101"/>
    </row>
    <row r="14307" spans="9:9" x14ac:dyDescent="0.3">
      <c r="I14307" s="101"/>
    </row>
    <row r="14308" spans="9:9" x14ac:dyDescent="0.3">
      <c r="I14308" s="101"/>
    </row>
    <row r="14309" spans="9:9" x14ac:dyDescent="0.3">
      <c r="I14309" s="101"/>
    </row>
    <row r="14310" spans="9:9" x14ac:dyDescent="0.3">
      <c r="I14310" s="101"/>
    </row>
    <row r="14311" spans="9:9" x14ac:dyDescent="0.3">
      <c r="I14311" s="101"/>
    </row>
    <row r="14312" spans="9:9" x14ac:dyDescent="0.3">
      <c r="I14312" s="101"/>
    </row>
    <row r="14313" spans="9:9" x14ac:dyDescent="0.3">
      <c r="I14313" s="101"/>
    </row>
    <row r="14314" spans="9:9" x14ac:dyDescent="0.3">
      <c r="I14314" s="101"/>
    </row>
    <row r="14315" spans="9:9" x14ac:dyDescent="0.3">
      <c r="I14315" s="101"/>
    </row>
    <row r="14316" spans="9:9" x14ac:dyDescent="0.3">
      <c r="I14316" s="101"/>
    </row>
    <row r="14317" spans="9:9" x14ac:dyDescent="0.3">
      <c r="I14317" s="101"/>
    </row>
    <row r="14318" spans="9:9" x14ac:dyDescent="0.3">
      <c r="I14318" s="101"/>
    </row>
    <row r="14319" spans="9:9" x14ac:dyDescent="0.3">
      <c r="I14319" s="101"/>
    </row>
    <row r="14320" spans="9:9" x14ac:dyDescent="0.3">
      <c r="I14320" s="101"/>
    </row>
    <row r="14321" spans="9:9" x14ac:dyDescent="0.3">
      <c r="I14321" s="101"/>
    </row>
    <row r="14322" spans="9:9" x14ac:dyDescent="0.3">
      <c r="I14322" s="101"/>
    </row>
    <row r="14323" spans="9:9" x14ac:dyDescent="0.3">
      <c r="I14323" s="101"/>
    </row>
    <row r="14324" spans="9:9" x14ac:dyDescent="0.3">
      <c r="I14324" s="101"/>
    </row>
    <row r="14325" spans="9:9" x14ac:dyDescent="0.3">
      <c r="I14325" s="101"/>
    </row>
    <row r="14326" spans="9:9" x14ac:dyDescent="0.3">
      <c r="I14326" s="101"/>
    </row>
    <row r="14327" spans="9:9" x14ac:dyDescent="0.3">
      <c r="I14327" s="101"/>
    </row>
    <row r="14328" spans="9:9" x14ac:dyDescent="0.3">
      <c r="I14328" s="101"/>
    </row>
    <row r="14329" spans="9:9" x14ac:dyDescent="0.3">
      <c r="I14329" s="101"/>
    </row>
    <row r="14330" spans="9:9" x14ac:dyDescent="0.3">
      <c r="I14330" s="101"/>
    </row>
    <row r="14331" spans="9:9" x14ac:dyDescent="0.3">
      <c r="I14331" s="101"/>
    </row>
    <row r="14332" spans="9:9" x14ac:dyDescent="0.3">
      <c r="I14332" s="101"/>
    </row>
    <row r="14333" spans="9:9" x14ac:dyDescent="0.3">
      <c r="I14333" s="101"/>
    </row>
    <row r="14334" spans="9:9" x14ac:dyDescent="0.3">
      <c r="I14334" s="101"/>
    </row>
    <row r="14335" spans="9:9" x14ac:dyDescent="0.3">
      <c r="I14335" s="101"/>
    </row>
    <row r="14336" spans="9:9" x14ac:dyDescent="0.3">
      <c r="I14336" s="101"/>
    </row>
    <row r="14337" spans="9:9" x14ac:dyDescent="0.3">
      <c r="I14337" s="101"/>
    </row>
    <row r="14338" spans="9:9" x14ac:dyDescent="0.3">
      <c r="I14338" s="101"/>
    </row>
    <row r="14339" spans="9:9" x14ac:dyDescent="0.3">
      <c r="I14339" s="101"/>
    </row>
    <row r="14340" spans="9:9" x14ac:dyDescent="0.3">
      <c r="I14340" s="101"/>
    </row>
    <row r="14341" spans="9:9" x14ac:dyDescent="0.3">
      <c r="I14341" s="101"/>
    </row>
    <row r="14342" spans="9:9" x14ac:dyDescent="0.3">
      <c r="I14342" s="101"/>
    </row>
    <row r="14343" spans="9:9" x14ac:dyDescent="0.3">
      <c r="I14343" s="101"/>
    </row>
    <row r="14344" spans="9:9" x14ac:dyDescent="0.3">
      <c r="I14344" s="101"/>
    </row>
    <row r="14345" spans="9:9" x14ac:dyDescent="0.3">
      <c r="I14345" s="101"/>
    </row>
    <row r="14346" spans="9:9" x14ac:dyDescent="0.3">
      <c r="I14346" s="101"/>
    </row>
    <row r="14347" spans="9:9" x14ac:dyDescent="0.3">
      <c r="I14347" s="101"/>
    </row>
    <row r="14348" spans="9:9" x14ac:dyDescent="0.3">
      <c r="I14348" s="101"/>
    </row>
    <row r="14349" spans="9:9" x14ac:dyDescent="0.3">
      <c r="I14349" s="101"/>
    </row>
    <row r="14350" spans="9:9" x14ac:dyDescent="0.3">
      <c r="I14350" s="101"/>
    </row>
    <row r="14351" spans="9:9" x14ac:dyDescent="0.3">
      <c r="I14351" s="101"/>
    </row>
    <row r="14352" spans="9:9" x14ac:dyDescent="0.3">
      <c r="I14352" s="101"/>
    </row>
    <row r="14353" spans="9:9" x14ac:dyDescent="0.3">
      <c r="I14353" s="101"/>
    </row>
    <row r="14354" spans="9:9" x14ac:dyDescent="0.3">
      <c r="I14354" s="101"/>
    </row>
    <row r="14355" spans="9:9" x14ac:dyDescent="0.3">
      <c r="I14355" s="101"/>
    </row>
    <row r="14356" spans="9:9" x14ac:dyDescent="0.3">
      <c r="I14356" s="101"/>
    </row>
    <row r="14357" spans="9:9" x14ac:dyDescent="0.3">
      <c r="I14357" s="101"/>
    </row>
    <row r="14358" spans="9:9" x14ac:dyDescent="0.3">
      <c r="I14358" s="101"/>
    </row>
    <row r="14359" spans="9:9" x14ac:dyDescent="0.3">
      <c r="I14359" s="101"/>
    </row>
    <row r="14360" spans="9:9" x14ac:dyDescent="0.3">
      <c r="I14360" s="101"/>
    </row>
    <row r="14361" spans="9:9" x14ac:dyDescent="0.3">
      <c r="I14361" s="101"/>
    </row>
    <row r="14362" spans="9:9" x14ac:dyDescent="0.3">
      <c r="I14362" s="101"/>
    </row>
    <row r="14363" spans="9:9" x14ac:dyDescent="0.3">
      <c r="I14363" s="101"/>
    </row>
    <row r="14364" spans="9:9" x14ac:dyDescent="0.3">
      <c r="I14364" s="101"/>
    </row>
    <row r="14365" spans="9:9" x14ac:dyDescent="0.3">
      <c r="I14365" s="101"/>
    </row>
    <row r="14366" spans="9:9" x14ac:dyDescent="0.3">
      <c r="I14366" s="101"/>
    </row>
    <row r="14367" spans="9:9" x14ac:dyDescent="0.3">
      <c r="I14367" s="101"/>
    </row>
    <row r="14368" spans="9:9" x14ac:dyDescent="0.3">
      <c r="I14368" s="101"/>
    </row>
    <row r="14369" spans="9:9" x14ac:dyDescent="0.3">
      <c r="I14369" s="101"/>
    </row>
    <row r="14370" spans="9:9" x14ac:dyDescent="0.3">
      <c r="I14370" s="101"/>
    </row>
    <row r="14371" spans="9:9" x14ac:dyDescent="0.3">
      <c r="I14371" s="101"/>
    </row>
    <row r="14372" spans="9:9" x14ac:dyDescent="0.3">
      <c r="I14372" s="101"/>
    </row>
    <row r="14373" spans="9:9" x14ac:dyDescent="0.3">
      <c r="I14373" s="101"/>
    </row>
    <row r="14374" spans="9:9" x14ac:dyDescent="0.3">
      <c r="I14374" s="101"/>
    </row>
    <row r="14375" spans="9:9" x14ac:dyDescent="0.3">
      <c r="I14375" s="101"/>
    </row>
    <row r="14376" spans="9:9" x14ac:dyDescent="0.3">
      <c r="I14376" s="101"/>
    </row>
    <row r="14377" spans="9:9" x14ac:dyDescent="0.3">
      <c r="I14377" s="101"/>
    </row>
    <row r="14378" spans="9:9" x14ac:dyDescent="0.3">
      <c r="I14378" s="101"/>
    </row>
    <row r="14379" spans="9:9" x14ac:dyDescent="0.3">
      <c r="I14379" s="101"/>
    </row>
    <row r="14380" spans="9:9" x14ac:dyDescent="0.3">
      <c r="I14380" s="101"/>
    </row>
    <row r="14381" spans="9:9" x14ac:dyDescent="0.3">
      <c r="I14381" s="101"/>
    </row>
    <row r="14382" spans="9:9" x14ac:dyDescent="0.3">
      <c r="I14382" s="101"/>
    </row>
    <row r="14383" spans="9:9" x14ac:dyDescent="0.3">
      <c r="I14383" s="101"/>
    </row>
    <row r="14384" spans="9:9" x14ac:dyDescent="0.3">
      <c r="I14384" s="101"/>
    </row>
    <row r="14385" spans="9:9" x14ac:dyDescent="0.3">
      <c r="I14385" s="101"/>
    </row>
    <row r="14386" spans="9:9" x14ac:dyDescent="0.3">
      <c r="I14386" s="101"/>
    </row>
    <row r="14387" spans="9:9" x14ac:dyDescent="0.3">
      <c r="I14387" s="101"/>
    </row>
    <row r="14388" spans="9:9" x14ac:dyDescent="0.3">
      <c r="I14388" s="101"/>
    </row>
    <row r="14389" spans="9:9" x14ac:dyDescent="0.3">
      <c r="I14389" s="101"/>
    </row>
    <row r="14390" spans="9:9" x14ac:dyDescent="0.3">
      <c r="I14390" s="101"/>
    </row>
    <row r="14391" spans="9:9" x14ac:dyDescent="0.3">
      <c r="I14391" s="101"/>
    </row>
    <row r="14392" spans="9:9" x14ac:dyDescent="0.3">
      <c r="I14392" s="101"/>
    </row>
    <row r="14393" spans="9:9" x14ac:dyDescent="0.3">
      <c r="I14393" s="101"/>
    </row>
    <row r="14394" spans="9:9" x14ac:dyDescent="0.3">
      <c r="I14394" s="101"/>
    </row>
    <row r="14395" spans="9:9" x14ac:dyDescent="0.3">
      <c r="I14395" s="101"/>
    </row>
    <row r="14396" spans="9:9" x14ac:dyDescent="0.3">
      <c r="I14396" s="101"/>
    </row>
    <row r="14397" spans="9:9" x14ac:dyDescent="0.3">
      <c r="I14397" s="101"/>
    </row>
    <row r="14398" spans="9:9" x14ac:dyDescent="0.3">
      <c r="I14398" s="101"/>
    </row>
    <row r="14399" spans="9:9" x14ac:dyDescent="0.3">
      <c r="I14399" s="101"/>
    </row>
    <row r="14400" spans="9:9" x14ac:dyDescent="0.3">
      <c r="I14400" s="101"/>
    </row>
    <row r="14401" spans="9:9" x14ac:dyDescent="0.3">
      <c r="I14401" s="101"/>
    </row>
    <row r="14402" spans="9:9" x14ac:dyDescent="0.3">
      <c r="I14402" s="101"/>
    </row>
    <row r="14403" spans="9:9" x14ac:dyDescent="0.3">
      <c r="I14403" s="101"/>
    </row>
    <row r="14404" spans="9:9" x14ac:dyDescent="0.3">
      <c r="I14404" s="101"/>
    </row>
    <row r="14405" spans="9:9" x14ac:dyDescent="0.3">
      <c r="I14405" s="101"/>
    </row>
    <row r="14406" spans="9:9" x14ac:dyDescent="0.3">
      <c r="I14406" s="101"/>
    </row>
    <row r="14407" spans="9:9" x14ac:dyDescent="0.3">
      <c r="I14407" s="101"/>
    </row>
    <row r="14408" spans="9:9" x14ac:dyDescent="0.3">
      <c r="I14408" s="101"/>
    </row>
    <row r="14409" spans="9:9" x14ac:dyDescent="0.3">
      <c r="I14409" s="101"/>
    </row>
    <row r="14410" spans="9:9" x14ac:dyDescent="0.3">
      <c r="I14410" s="101"/>
    </row>
    <row r="14411" spans="9:9" x14ac:dyDescent="0.3">
      <c r="I14411" s="101"/>
    </row>
    <row r="14412" spans="9:9" x14ac:dyDescent="0.3">
      <c r="I14412" s="101"/>
    </row>
    <row r="14413" spans="9:9" x14ac:dyDescent="0.3">
      <c r="I14413" s="101"/>
    </row>
    <row r="14414" spans="9:9" x14ac:dyDescent="0.3">
      <c r="I14414" s="101"/>
    </row>
    <row r="14415" spans="9:9" x14ac:dyDescent="0.3">
      <c r="I14415" s="101"/>
    </row>
    <row r="14416" spans="9:9" x14ac:dyDescent="0.3">
      <c r="I14416" s="101"/>
    </row>
    <row r="14417" spans="9:9" x14ac:dyDescent="0.3">
      <c r="I14417" s="101"/>
    </row>
    <row r="14418" spans="9:9" x14ac:dyDescent="0.3">
      <c r="I14418" s="101"/>
    </row>
    <row r="14419" spans="9:9" x14ac:dyDescent="0.3">
      <c r="I14419" s="101"/>
    </row>
    <row r="14420" spans="9:9" x14ac:dyDescent="0.3">
      <c r="I14420" s="101"/>
    </row>
    <row r="14421" spans="9:9" x14ac:dyDescent="0.3">
      <c r="I14421" s="101"/>
    </row>
    <row r="14422" spans="9:9" x14ac:dyDescent="0.3">
      <c r="I14422" s="101"/>
    </row>
    <row r="14423" spans="9:9" x14ac:dyDescent="0.3">
      <c r="I14423" s="101"/>
    </row>
    <row r="14424" spans="9:9" x14ac:dyDescent="0.3">
      <c r="I14424" s="101"/>
    </row>
    <row r="14425" spans="9:9" x14ac:dyDescent="0.3">
      <c r="I14425" s="101"/>
    </row>
    <row r="14426" spans="9:9" x14ac:dyDescent="0.3">
      <c r="I14426" s="101"/>
    </row>
    <row r="14427" spans="9:9" x14ac:dyDescent="0.3">
      <c r="I14427" s="101"/>
    </row>
    <row r="14428" spans="9:9" x14ac:dyDescent="0.3">
      <c r="I14428" s="101"/>
    </row>
    <row r="14429" spans="9:9" x14ac:dyDescent="0.3">
      <c r="I14429" s="101"/>
    </row>
    <row r="14430" spans="9:9" x14ac:dyDescent="0.3">
      <c r="I14430" s="101"/>
    </row>
    <row r="14431" spans="9:9" x14ac:dyDescent="0.3">
      <c r="I14431" s="101"/>
    </row>
    <row r="14432" spans="9:9" x14ac:dyDescent="0.3">
      <c r="I14432" s="101"/>
    </row>
    <row r="14433" spans="9:9" x14ac:dyDescent="0.3">
      <c r="I14433" s="101"/>
    </row>
    <row r="14434" spans="9:9" x14ac:dyDescent="0.3">
      <c r="I14434" s="101"/>
    </row>
    <row r="14435" spans="9:9" x14ac:dyDescent="0.3">
      <c r="I14435" s="101"/>
    </row>
    <row r="14436" spans="9:9" x14ac:dyDescent="0.3">
      <c r="I14436" s="101"/>
    </row>
    <row r="14437" spans="9:9" x14ac:dyDescent="0.3">
      <c r="I14437" s="101"/>
    </row>
    <row r="14438" spans="9:9" x14ac:dyDescent="0.3">
      <c r="I14438" s="101"/>
    </row>
    <row r="14439" spans="9:9" x14ac:dyDescent="0.3">
      <c r="I14439" s="101"/>
    </row>
    <row r="14440" spans="9:9" x14ac:dyDescent="0.3">
      <c r="I14440" s="101"/>
    </row>
    <row r="14441" spans="9:9" x14ac:dyDescent="0.3">
      <c r="I14441" s="101"/>
    </row>
    <row r="14442" spans="9:9" x14ac:dyDescent="0.3">
      <c r="I14442" s="101"/>
    </row>
    <row r="14443" spans="9:9" x14ac:dyDescent="0.3">
      <c r="I14443" s="101"/>
    </row>
    <row r="14444" spans="9:9" x14ac:dyDescent="0.3">
      <c r="I14444" s="101"/>
    </row>
    <row r="14445" spans="9:9" x14ac:dyDescent="0.3">
      <c r="I14445" s="101"/>
    </row>
    <row r="14446" spans="9:9" x14ac:dyDescent="0.3">
      <c r="I14446" s="101"/>
    </row>
    <row r="14447" spans="9:9" x14ac:dyDescent="0.3">
      <c r="I14447" s="101"/>
    </row>
    <row r="14448" spans="9:9" x14ac:dyDescent="0.3">
      <c r="I14448" s="101"/>
    </row>
    <row r="14449" spans="9:9" x14ac:dyDescent="0.3">
      <c r="I14449" s="101"/>
    </row>
    <row r="14450" spans="9:9" x14ac:dyDescent="0.3">
      <c r="I14450" s="101"/>
    </row>
    <row r="14451" spans="9:9" x14ac:dyDescent="0.3">
      <c r="I14451" s="101"/>
    </row>
    <row r="14452" spans="9:9" x14ac:dyDescent="0.3">
      <c r="I14452" s="101"/>
    </row>
    <row r="14453" spans="9:9" x14ac:dyDescent="0.3">
      <c r="I14453" s="101"/>
    </row>
    <row r="14454" spans="9:9" x14ac:dyDescent="0.3">
      <c r="I14454" s="101"/>
    </row>
    <row r="14455" spans="9:9" x14ac:dyDescent="0.3">
      <c r="I14455" s="101"/>
    </row>
    <row r="14456" spans="9:9" x14ac:dyDescent="0.3">
      <c r="I14456" s="101"/>
    </row>
    <row r="14457" spans="9:9" x14ac:dyDescent="0.3">
      <c r="I14457" s="101"/>
    </row>
    <row r="14458" spans="9:9" x14ac:dyDescent="0.3">
      <c r="I14458" s="101"/>
    </row>
    <row r="14459" spans="9:9" x14ac:dyDescent="0.3">
      <c r="I14459" s="101"/>
    </row>
    <row r="14460" spans="9:9" x14ac:dyDescent="0.3">
      <c r="I14460" s="101"/>
    </row>
    <row r="14461" spans="9:9" x14ac:dyDescent="0.3">
      <c r="I14461" s="101"/>
    </row>
    <row r="14462" spans="9:9" x14ac:dyDescent="0.3">
      <c r="I14462" s="101"/>
    </row>
    <row r="14463" spans="9:9" x14ac:dyDescent="0.3">
      <c r="I14463" s="101"/>
    </row>
    <row r="14464" spans="9:9" x14ac:dyDescent="0.3">
      <c r="I14464" s="101"/>
    </row>
    <row r="14465" spans="9:9" x14ac:dyDescent="0.3">
      <c r="I14465" s="101"/>
    </row>
    <row r="14466" spans="9:9" x14ac:dyDescent="0.3">
      <c r="I14466" s="101"/>
    </row>
    <row r="14467" spans="9:9" x14ac:dyDescent="0.3">
      <c r="I14467" s="101"/>
    </row>
    <row r="14468" spans="9:9" x14ac:dyDescent="0.3">
      <c r="I14468" s="101"/>
    </row>
    <row r="14469" spans="9:9" x14ac:dyDescent="0.3">
      <c r="I14469" s="101"/>
    </row>
    <row r="14470" spans="9:9" x14ac:dyDescent="0.3">
      <c r="I14470" s="101"/>
    </row>
    <row r="14471" spans="9:9" x14ac:dyDescent="0.3">
      <c r="I14471" s="101"/>
    </row>
    <row r="14472" spans="9:9" x14ac:dyDescent="0.3">
      <c r="I14472" s="101"/>
    </row>
    <row r="14473" spans="9:9" x14ac:dyDescent="0.3">
      <c r="I14473" s="101"/>
    </row>
    <row r="14474" spans="9:9" x14ac:dyDescent="0.3">
      <c r="I14474" s="101"/>
    </row>
    <row r="14475" spans="9:9" x14ac:dyDescent="0.3">
      <c r="I14475" s="101"/>
    </row>
    <row r="14476" spans="9:9" x14ac:dyDescent="0.3">
      <c r="I14476" s="101"/>
    </row>
    <row r="14477" spans="9:9" x14ac:dyDescent="0.3">
      <c r="I14477" s="101"/>
    </row>
    <row r="14478" spans="9:9" x14ac:dyDescent="0.3">
      <c r="I14478" s="101"/>
    </row>
    <row r="14479" spans="9:9" x14ac:dyDescent="0.3">
      <c r="I14479" s="101"/>
    </row>
    <row r="14480" spans="9:9" x14ac:dyDescent="0.3">
      <c r="I14480" s="101"/>
    </row>
    <row r="14481" spans="9:9" x14ac:dyDescent="0.3">
      <c r="I14481" s="101"/>
    </row>
    <row r="14482" spans="9:9" x14ac:dyDescent="0.3">
      <c r="I14482" s="101"/>
    </row>
    <row r="14483" spans="9:9" x14ac:dyDescent="0.3">
      <c r="I14483" s="101"/>
    </row>
    <row r="14484" spans="9:9" x14ac:dyDescent="0.3">
      <c r="I14484" s="101"/>
    </row>
    <row r="14485" spans="9:9" x14ac:dyDescent="0.3">
      <c r="I14485" s="101"/>
    </row>
    <row r="14486" spans="9:9" x14ac:dyDescent="0.3">
      <c r="I14486" s="101"/>
    </row>
    <row r="14487" spans="9:9" x14ac:dyDescent="0.3">
      <c r="I14487" s="101"/>
    </row>
    <row r="14488" spans="9:9" x14ac:dyDescent="0.3">
      <c r="I14488" s="101"/>
    </row>
    <row r="14489" spans="9:9" x14ac:dyDescent="0.3">
      <c r="I14489" s="101"/>
    </row>
    <row r="14490" spans="9:9" x14ac:dyDescent="0.3">
      <c r="I14490" s="101"/>
    </row>
    <row r="14491" spans="9:9" x14ac:dyDescent="0.3">
      <c r="I14491" s="101"/>
    </row>
    <row r="14492" spans="9:9" x14ac:dyDescent="0.3">
      <c r="I14492" s="101"/>
    </row>
    <row r="14493" spans="9:9" x14ac:dyDescent="0.3">
      <c r="I14493" s="101"/>
    </row>
    <row r="14494" spans="9:9" x14ac:dyDescent="0.3">
      <c r="I14494" s="101"/>
    </row>
    <row r="14495" spans="9:9" x14ac:dyDescent="0.3">
      <c r="I14495" s="101"/>
    </row>
    <row r="14496" spans="9:9" x14ac:dyDescent="0.3">
      <c r="I14496" s="101"/>
    </row>
    <row r="14497" spans="9:9" x14ac:dyDescent="0.3">
      <c r="I14497" s="101"/>
    </row>
    <row r="14498" spans="9:9" x14ac:dyDescent="0.3">
      <c r="I14498" s="101"/>
    </row>
    <row r="14499" spans="9:9" x14ac:dyDescent="0.3">
      <c r="I14499" s="101"/>
    </row>
    <row r="14500" spans="9:9" x14ac:dyDescent="0.3">
      <c r="I14500" s="101"/>
    </row>
    <row r="14501" spans="9:9" x14ac:dyDescent="0.3">
      <c r="I14501" s="101"/>
    </row>
    <row r="14502" spans="9:9" x14ac:dyDescent="0.3">
      <c r="I14502" s="101"/>
    </row>
    <row r="14503" spans="9:9" x14ac:dyDescent="0.3">
      <c r="I14503" s="101"/>
    </row>
    <row r="14504" spans="9:9" x14ac:dyDescent="0.3">
      <c r="I14504" s="101"/>
    </row>
    <row r="14505" spans="9:9" x14ac:dyDescent="0.3">
      <c r="I14505" s="101"/>
    </row>
    <row r="14506" spans="9:9" x14ac:dyDescent="0.3">
      <c r="I14506" s="101"/>
    </row>
    <row r="14507" spans="9:9" x14ac:dyDescent="0.3">
      <c r="I14507" s="101"/>
    </row>
    <row r="14508" spans="9:9" x14ac:dyDescent="0.3">
      <c r="I14508" s="101"/>
    </row>
    <row r="14509" spans="9:9" x14ac:dyDescent="0.3">
      <c r="I14509" s="101"/>
    </row>
    <row r="14510" spans="9:9" x14ac:dyDescent="0.3">
      <c r="I14510" s="101"/>
    </row>
    <row r="14511" spans="9:9" x14ac:dyDescent="0.3">
      <c r="I14511" s="101"/>
    </row>
    <row r="14512" spans="9:9" x14ac:dyDescent="0.3">
      <c r="I14512" s="101"/>
    </row>
    <row r="14513" spans="9:9" x14ac:dyDescent="0.3">
      <c r="I14513" s="101"/>
    </row>
    <row r="14514" spans="9:9" x14ac:dyDescent="0.3">
      <c r="I14514" s="101"/>
    </row>
    <row r="14515" spans="9:9" x14ac:dyDescent="0.3">
      <c r="I14515" s="101"/>
    </row>
    <row r="14516" spans="9:9" x14ac:dyDescent="0.3">
      <c r="I14516" s="101"/>
    </row>
    <row r="14517" spans="9:9" x14ac:dyDescent="0.3">
      <c r="I14517" s="101"/>
    </row>
    <row r="14518" spans="9:9" x14ac:dyDescent="0.3">
      <c r="I14518" s="101"/>
    </row>
    <row r="14519" spans="9:9" x14ac:dyDescent="0.3">
      <c r="I14519" s="101"/>
    </row>
    <row r="14520" spans="9:9" x14ac:dyDescent="0.3">
      <c r="I14520" s="101"/>
    </row>
    <row r="14521" spans="9:9" x14ac:dyDescent="0.3">
      <c r="I14521" s="101"/>
    </row>
    <row r="14522" spans="9:9" x14ac:dyDescent="0.3">
      <c r="I14522" s="101"/>
    </row>
    <row r="14523" spans="9:9" x14ac:dyDescent="0.3">
      <c r="I14523" s="101"/>
    </row>
    <row r="14524" spans="9:9" x14ac:dyDescent="0.3">
      <c r="I14524" s="101"/>
    </row>
    <row r="14525" spans="9:9" x14ac:dyDescent="0.3">
      <c r="I14525" s="101"/>
    </row>
    <row r="14526" spans="9:9" x14ac:dyDescent="0.3">
      <c r="I14526" s="101"/>
    </row>
    <row r="14527" spans="9:9" x14ac:dyDescent="0.3">
      <c r="I14527" s="101"/>
    </row>
    <row r="14528" spans="9:9" x14ac:dyDescent="0.3">
      <c r="I14528" s="101"/>
    </row>
    <row r="14529" spans="9:9" x14ac:dyDescent="0.3">
      <c r="I14529" s="101"/>
    </row>
    <row r="14530" spans="9:9" x14ac:dyDescent="0.3">
      <c r="I14530" s="101"/>
    </row>
    <row r="14531" spans="9:9" x14ac:dyDescent="0.3">
      <c r="I14531" s="101"/>
    </row>
    <row r="14532" spans="9:9" x14ac:dyDescent="0.3">
      <c r="I14532" s="101"/>
    </row>
    <row r="14533" spans="9:9" x14ac:dyDescent="0.3">
      <c r="I14533" s="101"/>
    </row>
    <row r="14534" spans="9:9" x14ac:dyDescent="0.3">
      <c r="I14534" s="101"/>
    </row>
    <row r="14535" spans="9:9" x14ac:dyDescent="0.3">
      <c r="I14535" s="101"/>
    </row>
    <row r="14536" spans="9:9" x14ac:dyDescent="0.3">
      <c r="I14536" s="101"/>
    </row>
    <row r="14537" spans="9:9" x14ac:dyDescent="0.3">
      <c r="I14537" s="101"/>
    </row>
    <row r="14538" spans="9:9" x14ac:dyDescent="0.3">
      <c r="I14538" s="101"/>
    </row>
    <row r="14539" spans="9:9" x14ac:dyDescent="0.3">
      <c r="I14539" s="101"/>
    </row>
    <row r="14540" spans="9:9" x14ac:dyDescent="0.3">
      <c r="I14540" s="101"/>
    </row>
    <row r="14541" spans="9:9" x14ac:dyDescent="0.3">
      <c r="I14541" s="101"/>
    </row>
    <row r="14542" spans="9:9" x14ac:dyDescent="0.3">
      <c r="I14542" s="101"/>
    </row>
    <row r="14543" spans="9:9" x14ac:dyDescent="0.3">
      <c r="I14543" s="101"/>
    </row>
    <row r="14544" spans="9:9" x14ac:dyDescent="0.3">
      <c r="I14544" s="101"/>
    </row>
    <row r="14545" spans="9:9" x14ac:dyDescent="0.3">
      <c r="I14545" s="101"/>
    </row>
    <row r="14546" spans="9:9" x14ac:dyDescent="0.3">
      <c r="I14546" s="101"/>
    </row>
    <row r="14547" spans="9:9" x14ac:dyDescent="0.3">
      <c r="I14547" s="101"/>
    </row>
    <row r="14548" spans="9:9" x14ac:dyDescent="0.3">
      <c r="I14548" s="101"/>
    </row>
    <row r="14549" spans="9:9" x14ac:dyDescent="0.3">
      <c r="I14549" s="101"/>
    </row>
    <row r="14550" spans="9:9" x14ac:dyDescent="0.3">
      <c r="I14550" s="101"/>
    </row>
    <row r="14551" spans="9:9" x14ac:dyDescent="0.3">
      <c r="I14551" s="101"/>
    </row>
    <row r="14552" spans="9:9" x14ac:dyDescent="0.3">
      <c r="I14552" s="101"/>
    </row>
    <row r="14553" spans="9:9" x14ac:dyDescent="0.3">
      <c r="I14553" s="101"/>
    </row>
    <row r="14554" spans="9:9" x14ac:dyDescent="0.3">
      <c r="I14554" s="101"/>
    </row>
    <row r="14555" spans="9:9" x14ac:dyDescent="0.3">
      <c r="I14555" s="101"/>
    </row>
    <row r="14556" spans="9:9" x14ac:dyDescent="0.3">
      <c r="I14556" s="101"/>
    </row>
    <row r="14557" spans="9:9" x14ac:dyDescent="0.3">
      <c r="I14557" s="101"/>
    </row>
    <row r="14558" spans="9:9" x14ac:dyDescent="0.3">
      <c r="I14558" s="101"/>
    </row>
    <row r="14559" spans="9:9" x14ac:dyDescent="0.3">
      <c r="I14559" s="101"/>
    </row>
    <row r="14560" spans="9:9" x14ac:dyDescent="0.3">
      <c r="I14560" s="101"/>
    </row>
    <row r="14561" spans="9:9" x14ac:dyDescent="0.3">
      <c r="I14561" s="101"/>
    </row>
    <row r="14562" spans="9:9" x14ac:dyDescent="0.3">
      <c r="I14562" s="101"/>
    </row>
    <row r="14563" spans="9:9" x14ac:dyDescent="0.3">
      <c r="I14563" s="101"/>
    </row>
    <row r="14564" spans="9:9" x14ac:dyDescent="0.3">
      <c r="I14564" s="101"/>
    </row>
    <row r="14565" spans="9:9" x14ac:dyDescent="0.3">
      <c r="I14565" s="101"/>
    </row>
    <row r="14566" spans="9:9" x14ac:dyDescent="0.3">
      <c r="I14566" s="101"/>
    </row>
    <row r="14567" spans="9:9" x14ac:dyDescent="0.3">
      <c r="I14567" s="101"/>
    </row>
    <row r="14568" spans="9:9" x14ac:dyDescent="0.3">
      <c r="I14568" s="101"/>
    </row>
    <row r="14569" spans="9:9" x14ac:dyDescent="0.3">
      <c r="I14569" s="101"/>
    </row>
    <row r="14570" spans="9:9" x14ac:dyDescent="0.3">
      <c r="I14570" s="101"/>
    </row>
    <row r="14571" spans="9:9" x14ac:dyDescent="0.3">
      <c r="I14571" s="101"/>
    </row>
    <row r="14572" spans="9:9" x14ac:dyDescent="0.3">
      <c r="I14572" s="101"/>
    </row>
    <row r="14573" spans="9:9" x14ac:dyDescent="0.3">
      <c r="I14573" s="101"/>
    </row>
    <row r="14574" spans="9:9" x14ac:dyDescent="0.3">
      <c r="I14574" s="101"/>
    </row>
    <row r="14575" spans="9:9" x14ac:dyDescent="0.3">
      <c r="I14575" s="101"/>
    </row>
    <row r="14576" spans="9:9" x14ac:dyDescent="0.3">
      <c r="I14576" s="101"/>
    </row>
    <row r="14577" spans="9:9" x14ac:dyDescent="0.3">
      <c r="I14577" s="101"/>
    </row>
    <row r="14578" spans="9:9" x14ac:dyDescent="0.3">
      <c r="I14578" s="101"/>
    </row>
    <row r="14579" spans="9:9" x14ac:dyDescent="0.3">
      <c r="I14579" s="101"/>
    </row>
    <row r="14580" spans="9:9" x14ac:dyDescent="0.3">
      <c r="I14580" s="101"/>
    </row>
    <row r="14581" spans="9:9" x14ac:dyDescent="0.3">
      <c r="I14581" s="101"/>
    </row>
    <row r="14582" spans="9:9" x14ac:dyDescent="0.3">
      <c r="I14582" s="101"/>
    </row>
    <row r="14583" spans="9:9" x14ac:dyDescent="0.3">
      <c r="I14583" s="101"/>
    </row>
    <row r="14584" spans="9:9" x14ac:dyDescent="0.3">
      <c r="I14584" s="101"/>
    </row>
    <row r="14585" spans="9:9" x14ac:dyDescent="0.3">
      <c r="I14585" s="101"/>
    </row>
    <row r="14586" spans="9:9" x14ac:dyDescent="0.3">
      <c r="I14586" s="101"/>
    </row>
    <row r="14587" spans="9:9" x14ac:dyDescent="0.3">
      <c r="I14587" s="101"/>
    </row>
    <row r="14588" spans="9:9" x14ac:dyDescent="0.3">
      <c r="I14588" s="101"/>
    </row>
    <row r="14589" spans="9:9" x14ac:dyDescent="0.3">
      <c r="I14589" s="101"/>
    </row>
    <row r="14590" spans="9:9" x14ac:dyDescent="0.3">
      <c r="I14590" s="101"/>
    </row>
    <row r="14591" spans="9:9" x14ac:dyDescent="0.3">
      <c r="I14591" s="101"/>
    </row>
    <row r="14592" spans="9:9" x14ac:dyDescent="0.3">
      <c r="I14592" s="101"/>
    </row>
    <row r="14593" spans="9:9" x14ac:dyDescent="0.3">
      <c r="I14593" s="101"/>
    </row>
    <row r="14594" spans="9:9" x14ac:dyDescent="0.3">
      <c r="I14594" s="101"/>
    </row>
    <row r="14595" spans="9:9" x14ac:dyDescent="0.3">
      <c r="I14595" s="101"/>
    </row>
    <row r="14596" spans="9:9" x14ac:dyDescent="0.3">
      <c r="I14596" s="101"/>
    </row>
    <row r="14597" spans="9:9" x14ac:dyDescent="0.3">
      <c r="I14597" s="101"/>
    </row>
    <row r="14598" spans="9:9" x14ac:dyDescent="0.3">
      <c r="I14598" s="101"/>
    </row>
    <row r="14599" spans="9:9" x14ac:dyDescent="0.3">
      <c r="I14599" s="101"/>
    </row>
    <row r="14600" spans="9:9" x14ac:dyDescent="0.3">
      <c r="I14600" s="101"/>
    </row>
    <row r="14601" spans="9:9" x14ac:dyDescent="0.3">
      <c r="I14601" s="101"/>
    </row>
    <row r="14602" spans="9:9" x14ac:dyDescent="0.3">
      <c r="I14602" s="101"/>
    </row>
    <row r="14603" spans="9:9" x14ac:dyDescent="0.3">
      <c r="I14603" s="101"/>
    </row>
    <row r="14604" spans="9:9" x14ac:dyDescent="0.3">
      <c r="I14604" s="101"/>
    </row>
    <row r="14605" spans="9:9" x14ac:dyDescent="0.3">
      <c r="I14605" s="101"/>
    </row>
    <row r="14606" spans="9:9" x14ac:dyDescent="0.3">
      <c r="I14606" s="101"/>
    </row>
    <row r="14607" spans="9:9" x14ac:dyDescent="0.3">
      <c r="I14607" s="101"/>
    </row>
    <row r="14608" spans="9:9" x14ac:dyDescent="0.3">
      <c r="I14608" s="101"/>
    </row>
    <row r="14609" spans="9:9" x14ac:dyDescent="0.3">
      <c r="I14609" s="101"/>
    </row>
    <row r="14610" spans="9:9" x14ac:dyDescent="0.3">
      <c r="I14610" s="101"/>
    </row>
    <row r="14611" spans="9:9" x14ac:dyDescent="0.3">
      <c r="I14611" s="101"/>
    </row>
    <row r="14612" spans="9:9" x14ac:dyDescent="0.3">
      <c r="I14612" s="101"/>
    </row>
    <row r="14613" spans="9:9" x14ac:dyDescent="0.3">
      <c r="I14613" s="101"/>
    </row>
    <row r="14614" spans="9:9" x14ac:dyDescent="0.3">
      <c r="I14614" s="101"/>
    </row>
    <row r="14615" spans="9:9" x14ac:dyDescent="0.3">
      <c r="I14615" s="101"/>
    </row>
    <row r="14616" spans="9:9" x14ac:dyDescent="0.3">
      <c r="I14616" s="101"/>
    </row>
    <row r="14617" spans="9:9" x14ac:dyDescent="0.3">
      <c r="I14617" s="101"/>
    </row>
    <row r="14618" spans="9:9" x14ac:dyDescent="0.3">
      <c r="I14618" s="101"/>
    </row>
    <row r="14619" spans="9:9" x14ac:dyDescent="0.3">
      <c r="I14619" s="101"/>
    </row>
    <row r="14620" spans="9:9" x14ac:dyDescent="0.3">
      <c r="I14620" s="101"/>
    </row>
    <row r="14621" spans="9:9" x14ac:dyDescent="0.3">
      <c r="I14621" s="101"/>
    </row>
    <row r="14622" spans="9:9" x14ac:dyDescent="0.3">
      <c r="I14622" s="101"/>
    </row>
    <row r="14623" spans="9:9" x14ac:dyDescent="0.3">
      <c r="I14623" s="101"/>
    </row>
    <row r="14624" spans="9:9" x14ac:dyDescent="0.3">
      <c r="I14624" s="101"/>
    </row>
    <row r="14625" spans="9:9" x14ac:dyDescent="0.3">
      <c r="I14625" s="101"/>
    </row>
    <row r="14626" spans="9:9" x14ac:dyDescent="0.3">
      <c r="I14626" s="101"/>
    </row>
    <row r="14627" spans="9:9" x14ac:dyDescent="0.3">
      <c r="I14627" s="101"/>
    </row>
    <row r="14628" spans="9:9" x14ac:dyDescent="0.3">
      <c r="I14628" s="101"/>
    </row>
    <row r="14629" spans="9:9" x14ac:dyDescent="0.3">
      <c r="I14629" s="101"/>
    </row>
    <row r="14630" spans="9:9" x14ac:dyDescent="0.3">
      <c r="I14630" s="101"/>
    </row>
    <row r="14631" spans="9:9" x14ac:dyDescent="0.3">
      <c r="I14631" s="101"/>
    </row>
    <row r="14632" spans="9:9" x14ac:dyDescent="0.3">
      <c r="I14632" s="101"/>
    </row>
    <row r="14633" spans="9:9" x14ac:dyDescent="0.3">
      <c r="I14633" s="101"/>
    </row>
    <row r="14634" spans="9:9" x14ac:dyDescent="0.3">
      <c r="I14634" s="101"/>
    </row>
    <row r="14635" spans="9:9" x14ac:dyDescent="0.3">
      <c r="I14635" s="101"/>
    </row>
    <row r="14636" spans="9:9" x14ac:dyDescent="0.3">
      <c r="I14636" s="101"/>
    </row>
    <row r="14637" spans="9:9" x14ac:dyDescent="0.3">
      <c r="I14637" s="101"/>
    </row>
    <row r="14638" spans="9:9" x14ac:dyDescent="0.3">
      <c r="I14638" s="101"/>
    </row>
    <row r="14639" spans="9:9" x14ac:dyDescent="0.3">
      <c r="I14639" s="101"/>
    </row>
    <row r="14640" spans="9:9" x14ac:dyDescent="0.3">
      <c r="I14640" s="101"/>
    </row>
    <row r="14641" spans="9:9" x14ac:dyDescent="0.3">
      <c r="I14641" s="101"/>
    </row>
    <row r="14642" spans="9:9" x14ac:dyDescent="0.3">
      <c r="I14642" s="101"/>
    </row>
    <row r="14643" spans="9:9" x14ac:dyDescent="0.3">
      <c r="I14643" s="101"/>
    </row>
    <row r="14644" spans="9:9" x14ac:dyDescent="0.3">
      <c r="I14644" s="101"/>
    </row>
    <row r="14645" spans="9:9" x14ac:dyDescent="0.3">
      <c r="I14645" s="101"/>
    </row>
    <row r="14646" spans="9:9" x14ac:dyDescent="0.3">
      <c r="I14646" s="101"/>
    </row>
    <row r="14647" spans="9:9" x14ac:dyDescent="0.3">
      <c r="I14647" s="101"/>
    </row>
    <row r="14648" spans="9:9" x14ac:dyDescent="0.3">
      <c r="I14648" s="101"/>
    </row>
    <row r="14649" spans="9:9" x14ac:dyDescent="0.3">
      <c r="I14649" s="101"/>
    </row>
    <row r="14650" spans="9:9" x14ac:dyDescent="0.3">
      <c r="I14650" s="101"/>
    </row>
    <row r="14651" spans="9:9" x14ac:dyDescent="0.3">
      <c r="I14651" s="101"/>
    </row>
    <row r="14652" spans="9:9" x14ac:dyDescent="0.3">
      <c r="I14652" s="101"/>
    </row>
    <row r="14653" spans="9:9" x14ac:dyDescent="0.3">
      <c r="I14653" s="101"/>
    </row>
    <row r="14654" spans="9:9" x14ac:dyDescent="0.3">
      <c r="I14654" s="101"/>
    </row>
    <row r="14655" spans="9:9" x14ac:dyDescent="0.3">
      <c r="I14655" s="101"/>
    </row>
    <row r="14656" spans="9:9" x14ac:dyDescent="0.3">
      <c r="I14656" s="101"/>
    </row>
    <row r="14657" spans="9:9" x14ac:dyDescent="0.3">
      <c r="I14657" s="101"/>
    </row>
    <row r="14658" spans="9:9" x14ac:dyDescent="0.3">
      <c r="I14658" s="101"/>
    </row>
    <row r="14659" spans="9:9" x14ac:dyDescent="0.3">
      <c r="I14659" s="101"/>
    </row>
    <row r="14660" spans="9:9" x14ac:dyDescent="0.3">
      <c r="I14660" s="101"/>
    </row>
    <row r="14661" spans="9:9" x14ac:dyDescent="0.3">
      <c r="I14661" s="101"/>
    </row>
    <row r="14662" spans="9:9" x14ac:dyDescent="0.3">
      <c r="I14662" s="101"/>
    </row>
    <row r="14663" spans="9:9" x14ac:dyDescent="0.3">
      <c r="I14663" s="101"/>
    </row>
    <row r="14664" spans="9:9" x14ac:dyDescent="0.3">
      <c r="I14664" s="101"/>
    </row>
    <row r="14665" spans="9:9" x14ac:dyDescent="0.3">
      <c r="I14665" s="101"/>
    </row>
    <row r="14666" spans="9:9" x14ac:dyDescent="0.3">
      <c r="I14666" s="101"/>
    </row>
    <row r="14667" spans="9:9" x14ac:dyDescent="0.3">
      <c r="I14667" s="101"/>
    </row>
    <row r="14668" spans="9:9" x14ac:dyDescent="0.3">
      <c r="I14668" s="101"/>
    </row>
    <row r="14669" spans="9:9" x14ac:dyDescent="0.3">
      <c r="I14669" s="101"/>
    </row>
    <row r="14670" spans="9:9" x14ac:dyDescent="0.3">
      <c r="I14670" s="101"/>
    </row>
    <row r="14671" spans="9:9" x14ac:dyDescent="0.3">
      <c r="I14671" s="101"/>
    </row>
    <row r="14672" spans="9:9" x14ac:dyDescent="0.3">
      <c r="I14672" s="101"/>
    </row>
    <row r="14673" spans="9:9" x14ac:dyDescent="0.3">
      <c r="I14673" s="101"/>
    </row>
    <row r="14674" spans="9:9" x14ac:dyDescent="0.3">
      <c r="I14674" s="101"/>
    </row>
    <row r="14675" spans="9:9" x14ac:dyDescent="0.3">
      <c r="I14675" s="101"/>
    </row>
    <row r="14676" spans="9:9" x14ac:dyDescent="0.3">
      <c r="I14676" s="101"/>
    </row>
    <row r="14677" spans="9:9" x14ac:dyDescent="0.3">
      <c r="I14677" s="101"/>
    </row>
    <row r="14678" spans="9:9" x14ac:dyDescent="0.3">
      <c r="I14678" s="101"/>
    </row>
    <row r="14679" spans="9:9" x14ac:dyDescent="0.3">
      <c r="I14679" s="101"/>
    </row>
    <row r="14680" spans="9:9" x14ac:dyDescent="0.3">
      <c r="I14680" s="101"/>
    </row>
    <row r="14681" spans="9:9" x14ac:dyDescent="0.3">
      <c r="I14681" s="101"/>
    </row>
    <row r="14682" spans="9:9" x14ac:dyDescent="0.3">
      <c r="I14682" s="101"/>
    </row>
    <row r="14683" spans="9:9" x14ac:dyDescent="0.3">
      <c r="I14683" s="101"/>
    </row>
    <row r="14684" spans="9:9" x14ac:dyDescent="0.3">
      <c r="I14684" s="101"/>
    </row>
    <row r="14685" spans="9:9" x14ac:dyDescent="0.3">
      <c r="I14685" s="101"/>
    </row>
    <row r="14686" spans="9:9" x14ac:dyDescent="0.3">
      <c r="I14686" s="101"/>
    </row>
    <row r="14687" spans="9:9" x14ac:dyDescent="0.3">
      <c r="I14687" s="101"/>
    </row>
    <row r="14688" spans="9:9" x14ac:dyDescent="0.3">
      <c r="I14688" s="101"/>
    </row>
    <row r="14689" spans="9:9" x14ac:dyDescent="0.3">
      <c r="I14689" s="101"/>
    </row>
    <row r="14690" spans="9:9" x14ac:dyDescent="0.3">
      <c r="I14690" s="101"/>
    </row>
    <row r="14691" spans="9:9" x14ac:dyDescent="0.3">
      <c r="I14691" s="101"/>
    </row>
    <row r="14692" spans="9:9" x14ac:dyDescent="0.3">
      <c r="I14692" s="101"/>
    </row>
    <row r="14693" spans="9:9" x14ac:dyDescent="0.3">
      <c r="I14693" s="101"/>
    </row>
    <row r="14694" spans="9:9" x14ac:dyDescent="0.3">
      <c r="I14694" s="101"/>
    </row>
    <row r="14695" spans="9:9" x14ac:dyDescent="0.3">
      <c r="I14695" s="101"/>
    </row>
    <row r="14696" spans="9:9" x14ac:dyDescent="0.3">
      <c r="I14696" s="101"/>
    </row>
    <row r="14697" spans="9:9" x14ac:dyDescent="0.3">
      <c r="I14697" s="101"/>
    </row>
    <row r="14698" spans="9:9" x14ac:dyDescent="0.3">
      <c r="I14698" s="101"/>
    </row>
    <row r="14699" spans="9:9" x14ac:dyDescent="0.3">
      <c r="I14699" s="101"/>
    </row>
    <row r="14700" spans="9:9" x14ac:dyDescent="0.3">
      <c r="I14700" s="101"/>
    </row>
    <row r="14701" spans="9:9" x14ac:dyDescent="0.3">
      <c r="I14701" s="101"/>
    </row>
    <row r="14702" spans="9:9" x14ac:dyDescent="0.3">
      <c r="I14702" s="101"/>
    </row>
    <row r="14703" spans="9:9" x14ac:dyDescent="0.3">
      <c r="I14703" s="101"/>
    </row>
    <row r="14704" spans="9:9" x14ac:dyDescent="0.3">
      <c r="I14704" s="101"/>
    </row>
    <row r="14705" spans="9:9" x14ac:dyDescent="0.3">
      <c r="I14705" s="101"/>
    </row>
    <row r="14706" spans="9:9" x14ac:dyDescent="0.3">
      <c r="I14706" s="101"/>
    </row>
    <row r="14707" spans="9:9" x14ac:dyDescent="0.3">
      <c r="I14707" s="101"/>
    </row>
    <row r="14708" spans="9:9" x14ac:dyDescent="0.3">
      <c r="I14708" s="101"/>
    </row>
    <row r="14709" spans="9:9" x14ac:dyDescent="0.3">
      <c r="I14709" s="101"/>
    </row>
    <row r="14710" spans="9:9" x14ac:dyDescent="0.3">
      <c r="I14710" s="101"/>
    </row>
    <row r="14711" spans="9:9" x14ac:dyDescent="0.3">
      <c r="I14711" s="101"/>
    </row>
    <row r="14712" spans="9:9" x14ac:dyDescent="0.3">
      <c r="I14712" s="101"/>
    </row>
    <row r="14713" spans="9:9" x14ac:dyDescent="0.3">
      <c r="I14713" s="101"/>
    </row>
    <row r="14714" spans="9:9" x14ac:dyDescent="0.3">
      <c r="I14714" s="101"/>
    </row>
    <row r="14715" spans="9:9" x14ac:dyDescent="0.3">
      <c r="I14715" s="101"/>
    </row>
    <row r="14716" spans="9:9" x14ac:dyDescent="0.3">
      <c r="I14716" s="101"/>
    </row>
    <row r="14717" spans="9:9" x14ac:dyDescent="0.3">
      <c r="I14717" s="101"/>
    </row>
    <row r="14718" spans="9:9" x14ac:dyDescent="0.3">
      <c r="I14718" s="101"/>
    </row>
    <row r="14719" spans="9:9" x14ac:dyDescent="0.3">
      <c r="I14719" s="101"/>
    </row>
    <row r="14720" spans="9:9" x14ac:dyDescent="0.3">
      <c r="I14720" s="101"/>
    </row>
    <row r="14721" spans="9:9" x14ac:dyDescent="0.3">
      <c r="I14721" s="101"/>
    </row>
    <row r="14722" spans="9:9" x14ac:dyDescent="0.3">
      <c r="I14722" s="101"/>
    </row>
    <row r="14723" spans="9:9" x14ac:dyDescent="0.3">
      <c r="I14723" s="101"/>
    </row>
    <row r="14724" spans="9:9" x14ac:dyDescent="0.3">
      <c r="I14724" s="101"/>
    </row>
    <row r="14725" spans="9:9" x14ac:dyDescent="0.3">
      <c r="I14725" s="101"/>
    </row>
    <row r="14726" spans="9:9" x14ac:dyDescent="0.3">
      <c r="I14726" s="101"/>
    </row>
    <row r="14727" spans="9:9" x14ac:dyDescent="0.3">
      <c r="I14727" s="101"/>
    </row>
    <row r="14728" spans="9:9" x14ac:dyDescent="0.3">
      <c r="I14728" s="101"/>
    </row>
    <row r="14729" spans="9:9" x14ac:dyDescent="0.3">
      <c r="I14729" s="101"/>
    </row>
    <row r="14730" spans="9:9" x14ac:dyDescent="0.3">
      <c r="I14730" s="101"/>
    </row>
    <row r="14731" spans="9:9" x14ac:dyDescent="0.3">
      <c r="I14731" s="101"/>
    </row>
    <row r="14732" spans="9:9" x14ac:dyDescent="0.3">
      <c r="I14732" s="101"/>
    </row>
    <row r="14733" spans="9:9" x14ac:dyDescent="0.3">
      <c r="I14733" s="101"/>
    </row>
    <row r="14734" spans="9:9" x14ac:dyDescent="0.3">
      <c r="I14734" s="101"/>
    </row>
    <row r="14735" spans="9:9" x14ac:dyDescent="0.3">
      <c r="I14735" s="101"/>
    </row>
    <row r="14736" spans="9:9" x14ac:dyDescent="0.3">
      <c r="I14736" s="101"/>
    </row>
    <row r="14737" spans="9:9" x14ac:dyDescent="0.3">
      <c r="I14737" s="101"/>
    </row>
    <row r="14738" spans="9:9" x14ac:dyDescent="0.3">
      <c r="I14738" s="101"/>
    </row>
    <row r="14739" spans="9:9" x14ac:dyDescent="0.3">
      <c r="I14739" s="101"/>
    </row>
    <row r="14740" spans="9:9" x14ac:dyDescent="0.3">
      <c r="I14740" s="101"/>
    </row>
    <row r="14741" spans="9:9" x14ac:dyDescent="0.3">
      <c r="I14741" s="101"/>
    </row>
    <row r="14742" spans="9:9" x14ac:dyDescent="0.3">
      <c r="I14742" s="101"/>
    </row>
    <row r="14743" spans="9:9" x14ac:dyDescent="0.3">
      <c r="I14743" s="101"/>
    </row>
    <row r="14744" spans="9:9" x14ac:dyDescent="0.3">
      <c r="I14744" s="101"/>
    </row>
    <row r="14745" spans="9:9" x14ac:dyDescent="0.3">
      <c r="I14745" s="101"/>
    </row>
    <row r="14746" spans="9:9" x14ac:dyDescent="0.3">
      <c r="I14746" s="101"/>
    </row>
    <row r="14747" spans="9:9" x14ac:dyDescent="0.3">
      <c r="I14747" s="101"/>
    </row>
    <row r="14748" spans="9:9" x14ac:dyDescent="0.3">
      <c r="I14748" s="101"/>
    </row>
    <row r="14749" spans="9:9" x14ac:dyDescent="0.3">
      <c r="I14749" s="101"/>
    </row>
    <row r="14750" spans="9:9" x14ac:dyDescent="0.3">
      <c r="I14750" s="101"/>
    </row>
    <row r="14751" spans="9:9" x14ac:dyDescent="0.3">
      <c r="I14751" s="101"/>
    </row>
    <row r="14752" spans="9:9" x14ac:dyDescent="0.3">
      <c r="I14752" s="101"/>
    </row>
    <row r="14753" spans="9:9" x14ac:dyDescent="0.3">
      <c r="I14753" s="101"/>
    </row>
    <row r="14754" spans="9:9" x14ac:dyDescent="0.3">
      <c r="I14754" s="101"/>
    </row>
    <row r="14755" spans="9:9" x14ac:dyDescent="0.3">
      <c r="I14755" s="101"/>
    </row>
    <row r="14756" spans="9:9" x14ac:dyDescent="0.3">
      <c r="I14756" s="101"/>
    </row>
    <row r="14757" spans="9:9" x14ac:dyDescent="0.3">
      <c r="I14757" s="101"/>
    </row>
    <row r="14758" spans="9:9" x14ac:dyDescent="0.3">
      <c r="I14758" s="101"/>
    </row>
    <row r="14759" spans="9:9" x14ac:dyDescent="0.3">
      <c r="I14759" s="101"/>
    </row>
    <row r="14760" spans="9:9" x14ac:dyDescent="0.3">
      <c r="I14760" s="101"/>
    </row>
    <row r="14761" spans="9:9" x14ac:dyDescent="0.3">
      <c r="I14761" s="101"/>
    </row>
    <row r="14762" spans="9:9" x14ac:dyDescent="0.3">
      <c r="I14762" s="101"/>
    </row>
    <row r="14763" spans="9:9" x14ac:dyDescent="0.3">
      <c r="I14763" s="101"/>
    </row>
    <row r="14764" spans="9:9" x14ac:dyDescent="0.3">
      <c r="I14764" s="101"/>
    </row>
    <row r="14765" spans="9:9" x14ac:dyDescent="0.3">
      <c r="I14765" s="101"/>
    </row>
    <row r="14766" spans="9:9" x14ac:dyDescent="0.3">
      <c r="I14766" s="101"/>
    </row>
    <row r="14767" spans="9:9" x14ac:dyDescent="0.3">
      <c r="I14767" s="101"/>
    </row>
    <row r="14768" spans="9:9" x14ac:dyDescent="0.3">
      <c r="I14768" s="101"/>
    </row>
    <row r="14769" spans="9:9" x14ac:dyDescent="0.3">
      <c r="I14769" s="101"/>
    </row>
    <row r="14770" spans="9:9" x14ac:dyDescent="0.3">
      <c r="I14770" s="101"/>
    </row>
    <row r="14771" spans="9:9" x14ac:dyDescent="0.3">
      <c r="I14771" s="101"/>
    </row>
    <row r="14772" spans="9:9" x14ac:dyDescent="0.3">
      <c r="I14772" s="101"/>
    </row>
    <row r="14773" spans="9:9" x14ac:dyDescent="0.3">
      <c r="I14773" s="101"/>
    </row>
    <row r="14774" spans="9:9" x14ac:dyDescent="0.3">
      <c r="I14774" s="101"/>
    </row>
    <row r="14775" spans="9:9" x14ac:dyDescent="0.3">
      <c r="I14775" s="101"/>
    </row>
    <row r="14776" spans="9:9" x14ac:dyDescent="0.3">
      <c r="I14776" s="101"/>
    </row>
    <row r="14777" spans="9:9" x14ac:dyDescent="0.3">
      <c r="I14777" s="101"/>
    </row>
    <row r="14778" spans="9:9" x14ac:dyDescent="0.3">
      <c r="I14778" s="101"/>
    </row>
    <row r="14779" spans="9:9" x14ac:dyDescent="0.3">
      <c r="I14779" s="101"/>
    </row>
    <row r="14780" spans="9:9" x14ac:dyDescent="0.3">
      <c r="I14780" s="101"/>
    </row>
    <row r="14781" spans="9:9" x14ac:dyDescent="0.3">
      <c r="I14781" s="101"/>
    </row>
    <row r="14782" spans="9:9" x14ac:dyDescent="0.3">
      <c r="I14782" s="101"/>
    </row>
    <row r="14783" spans="9:9" x14ac:dyDescent="0.3">
      <c r="I14783" s="101"/>
    </row>
    <row r="14784" spans="9:9" x14ac:dyDescent="0.3">
      <c r="I14784" s="101"/>
    </row>
    <row r="14785" spans="9:9" x14ac:dyDescent="0.3">
      <c r="I14785" s="101"/>
    </row>
    <row r="14786" spans="9:9" x14ac:dyDescent="0.3">
      <c r="I14786" s="101"/>
    </row>
    <row r="14787" spans="9:9" x14ac:dyDescent="0.3">
      <c r="I14787" s="101"/>
    </row>
    <row r="14788" spans="9:9" x14ac:dyDescent="0.3">
      <c r="I14788" s="101"/>
    </row>
    <row r="14789" spans="9:9" x14ac:dyDescent="0.3">
      <c r="I14789" s="101"/>
    </row>
    <row r="14790" spans="9:9" x14ac:dyDescent="0.3">
      <c r="I14790" s="101"/>
    </row>
    <row r="14791" spans="9:9" x14ac:dyDescent="0.3">
      <c r="I14791" s="101"/>
    </row>
    <row r="14792" spans="9:9" x14ac:dyDescent="0.3">
      <c r="I14792" s="101"/>
    </row>
    <row r="14793" spans="9:9" x14ac:dyDescent="0.3">
      <c r="I14793" s="101"/>
    </row>
    <row r="14794" spans="9:9" x14ac:dyDescent="0.3">
      <c r="I14794" s="101"/>
    </row>
    <row r="14795" spans="9:9" x14ac:dyDescent="0.3">
      <c r="I14795" s="101"/>
    </row>
    <row r="14796" spans="9:9" x14ac:dyDescent="0.3">
      <c r="I14796" s="101"/>
    </row>
    <row r="14797" spans="9:9" x14ac:dyDescent="0.3">
      <c r="I14797" s="101"/>
    </row>
    <row r="14798" spans="9:9" x14ac:dyDescent="0.3">
      <c r="I14798" s="101"/>
    </row>
    <row r="14799" spans="9:9" x14ac:dyDescent="0.3">
      <c r="I14799" s="101"/>
    </row>
    <row r="14800" spans="9:9" x14ac:dyDescent="0.3">
      <c r="I14800" s="101"/>
    </row>
    <row r="14801" spans="9:9" x14ac:dyDescent="0.3">
      <c r="I14801" s="101"/>
    </row>
    <row r="14802" spans="9:9" x14ac:dyDescent="0.3">
      <c r="I14802" s="101"/>
    </row>
    <row r="14803" spans="9:9" x14ac:dyDescent="0.3">
      <c r="I14803" s="101"/>
    </row>
    <row r="14804" spans="9:9" x14ac:dyDescent="0.3">
      <c r="I14804" s="101"/>
    </row>
    <row r="14805" spans="9:9" x14ac:dyDescent="0.3">
      <c r="I14805" s="101"/>
    </row>
    <row r="14806" spans="9:9" x14ac:dyDescent="0.3">
      <c r="I14806" s="101"/>
    </row>
    <row r="14807" spans="9:9" x14ac:dyDescent="0.3">
      <c r="I14807" s="101"/>
    </row>
    <row r="14808" spans="9:9" x14ac:dyDescent="0.3">
      <c r="I14808" s="101"/>
    </row>
    <row r="14809" spans="9:9" x14ac:dyDescent="0.3">
      <c r="I14809" s="101"/>
    </row>
    <row r="14810" spans="9:9" x14ac:dyDescent="0.3">
      <c r="I14810" s="101"/>
    </row>
    <row r="14811" spans="9:9" x14ac:dyDescent="0.3">
      <c r="I14811" s="101"/>
    </row>
    <row r="14812" spans="9:9" x14ac:dyDescent="0.3">
      <c r="I14812" s="101"/>
    </row>
    <row r="14813" spans="9:9" x14ac:dyDescent="0.3">
      <c r="I14813" s="101"/>
    </row>
    <row r="14814" spans="9:9" x14ac:dyDescent="0.3">
      <c r="I14814" s="101"/>
    </row>
    <row r="14815" spans="9:9" x14ac:dyDescent="0.3">
      <c r="I14815" s="101"/>
    </row>
    <row r="14816" spans="9:9" x14ac:dyDescent="0.3">
      <c r="I14816" s="101"/>
    </row>
    <row r="14817" spans="9:9" x14ac:dyDescent="0.3">
      <c r="I14817" s="101"/>
    </row>
    <row r="14818" spans="9:9" x14ac:dyDescent="0.3">
      <c r="I14818" s="101"/>
    </row>
    <row r="14819" spans="9:9" x14ac:dyDescent="0.3">
      <c r="I14819" s="101"/>
    </row>
    <row r="14820" spans="9:9" x14ac:dyDescent="0.3">
      <c r="I14820" s="101"/>
    </row>
    <row r="14821" spans="9:9" x14ac:dyDescent="0.3">
      <c r="I14821" s="101"/>
    </row>
    <row r="14822" spans="9:9" x14ac:dyDescent="0.3">
      <c r="I14822" s="101"/>
    </row>
    <row r="14823" spans="9:9" x14ac:dyDescent="0.3">
      <c r="I14823" s="101"/>
    </row>
    <row r="14824" spans="9:9" x14ac:dyDescent="0.3">
      <c r="I14824" s="101"/>
    </row>
    <row r="14825" spans="9:9" x14ac:dyDescent="0.3">
      <c r="I14825" s="101"/>
    </row>
    <row r="14826" spans="9:9" x14ac:dyDescent="0.3">
      <c r="I14826" s="101"/>
    </row>
    <row r="14827" spans="9:9" x14ac:dyDescent="0.3">
      <c r="I14827" s="101"/>
    </row>
    <row r="14828" spans="9:9" x14ac:dyDescent="0.3">
      <c r="I14828" s="101"/>
    </row>
    <row r="14829" spans="9:9" x14ac:dyDescent="0.3">
      <c r="I14829" s="101"/>
    </row>
    <row r="14830" spans="9:9" x14ac:dyDescent="0.3">
      <c r="I14830" s="101"/>
    </row>
    <row r="14831" spans="9:9" x14ac:dyDescent="0.3">
      <c r="I14831" s="101"/>
    </row>
    <row r="14832" spans="9:9" x14ac:dyDescent="0.3">
      <c r="I14832" s="101"/>
    </row>
    <row r="14833" spans="9:9" x14ac:dyDescent="0.3">
      <c r="I14833" s="101"/>
    </row>
    <row r="14834" spans="9:9" x14ac:dyDescent="0.3">
      <c r="I14834" s="101"/>
    </row>
    <row r="14835" spans="9:9" x14ac:dyDescent="0.3">
      <c r="I14835" s="101"/>
    </row>
    <row r="14836" spans="9:9" x14ac:dyDescent="0.3">
      <c r="I14836" s="101"/>
    </row>
    <row r="14837" spans="9:9" x14ac:dyDescent="0.3">
      <c r="I14837" s="101"/>
    </row>
    <row r="14838" spans="9:9" x14ac:dyDescent="0.3">
      <c r="I14838" s="101"/>
    </row>
    <row r="14839" spans="9:9" x14ac:dyDescent="0.3">
      <c r="I14839" s="101"/>
    </row>
    <row r="14840" spans="9:9" x14ac:dyDescent="0.3">
      <c r="I14840" s="101"/>
    </row>
    <row r="14841" spans="9:9" x14ac:dyDescent="0.3">
      <c r="I14841" s="101"/>
    </row>
    <row r="14842" spans="9:9" x14ac:dyDescent="0.3">
      <c r="I14842" s="101"/>
    </row>
    <row r="14843" spans="9:9" x14ac:dyDescent="0.3">
      <c r="I14843" s="101"/>
    </row>
    <row r="14844" spans="9:9" x14ac:dyDescent="0.3">
      <c r="I14844" s="101"/>
    </row>
    <row r="14845" spans="9:9" x14ac:dyDescent="0.3">
      <c r="I14845" s="101"/>
    </row>
    <row r="14846" spans="9:9" x14ac:dyDescent="0.3">
      <c r="I14846" s="101"/>
    </row>
    <row r="14847" spans="9:9" x14ac:dyDescent="0.3">
      <c r="I14847" s="101"/>
    </row>
    <row r="14848" spans="9:9" x14ac:dyDescent="0.3">
      <c r="I14848" s="101"/>
    </row>
    <row r="14849" spans="9:9" x14ac:dyDescent="0.3">
      <c r="I14849" s="101"/>
    </row>
    <row r="14850" spans="9:9" x14ac:dyDescent="0.3">
      <c r="I14850" s="101"/>
    </row>
    <row r="14851" spans="9:9" x14ac:dyDescent="0.3">
      <c r="I14851" s="101"/>
    </row>
    <row r="14852" spans="9:9" x14ac:dyDescent="0.3">
      <c r="I14852" s="101"/>
    </row>
    <row r="14853" spans="9:9" x14ac:dyDescent="0.3">
      <c r="I14853" s="101"/>
    </row>
    <row r="14854" spans="9:9" x14ac:dyDescent="0.3">
      <c r="I14854" s="101"/>
    </row>
    <row r="14855" spans="9:9" x14ac:dyDescent="0.3">
      <c r="I14855" s="101"/>
    </row>
    <row r="14856" spans="9:9" x14ac:dyDescent="0.3">
      <c r="I14856" s="101"/>
    </row>
    <row r="14857" spans="9:9" x14ac:dyDescent="0.3">
      <c r="I14857" s="101"/>
    </row>
    <row r="14858" spans="9:9" x14ac:dyDescent="0.3">
      <c r="I14858" s="101"/>
    </row>
    <row r="14859" spans="9:9" x14ac:dyDescent="0.3">
      <c r="I14859" s="101"/>
    </row>
    <row r="14860" spans="9:9" x14ac:dyDescent="0.3">
      <c r="I14860" s="101"/>
    </row>
    <row r="14861" spans="9:9" x14ac:dyDescent="0.3">
      <c r="I14861" s="101"/>
    </row>
    <row r="14862" spans="9:9" x14ac:dyDescent="0.3">
      <c r="I14862" s="101"/>
    </row>
    <row r="14863" spans="9:9" x14ac:dyDescent="0.3">
      <c r="I14863" s="101"/>
    </row>
    <row r="14864" spans="9:9" x14ac:dyDescent="0.3">
      <c r="I14864" s="101"/>
    </row>
    <row r="14865" spans="9:9" x14ac:dyDescent="0.3">
      <c r="I14865" s="101"/>
    </row>
    <row r="14866" spans="9:9" x14ac:dyDescent="0.3">
      <c r="I14866" s="101"/>
    </row>
    <row r="14867" spans="9:9" x14ac:dyDescent="0.3">
      <c r="I14867" s="101"/>
    </row>
    <row r="14868" spans="9:9" x14ac:dyDescent="0.3">
      <c r="I14868" s="101"/>
    </row>
    <row r="14869" spans="9:9" x14ac:dyDescent="0.3">
      <c r="I14869" s="101"/>
    </row>
    <row r="14870" spans="9:9" x14ac:dyDescent="0.3">
      <c r="I14870" s="101"/>
    </row>
    <row r="14871" spans="9:9" x14ac:dyDescent="0.3">
      <c r="I14871" s="101"/>
    </row>
    <row r="14872" spans="9:9" x14ac:dyDescent="0.3">
      <c r="I14872" s="101"/>
    </row>
    <row r="14873" spans="9:9" x14ac:dyDescent="0.3">
      <c r="I14873" s="101"/>
    </row>
    <row r="14874" spans="9:9" x14ac:dyDescent="0.3">
      <c r="I14874" s="101"/>
    </row>
    <row r="14875" spans="9:9" x14ac:dyDescent="0.3">
      <c r="I14875" s="101"/>
    </row>
    <row r="14876" spans="9:9" x14ac:dyDescent="0.3">
      <c r="I14876" s="101"/>
    </row>
    <row r="14877" spans="9:9" x14ac:dyDescent="0.3">
      <c r="I14877" s="101"/>
    </row>
    <row r="14878" spans="9:9" x14ac:dyDescent="0.3">
      <c r="I14878" s="101"/>
    </row>
    <row r="14879" spans="9:9" x14ac:dyDescent="0.3">
      <c r="I14879" s="101"/>
    </row>
    <row r="14880" spans="9:9" x14ac:dyDescent="0.3">
      <c r="I14880" s="101"/>
    </row>
    <row r="14881" spans="9:9" x14ac:dyDescent="0.3">
      <c r="I14881" s="101"/>
    </row>
    <row r="14882" spans="9:9" x14ac:dyDescent="0.3">
      <c r="I14882" s="101"/>
    </row>
    <row r="14883" spans="9:9" x14ac:dyDescent="0.3">
      <c r="I14883" s="101"/>
    </row>
    <row r="14884" spans="9:9" x14ac:dyDescent="0.3">
      <c r="I14884" s="101"/>
    </row>
    <row r="14885" spans="9:9" x14ac:dyDescent="0.3">
      <c r="I14885" s="101"/>
    </row>
    <row r="14886" spans="9:9" x14ac:dyDescent="0.3">
      <c r="I14886" s="101"/>
    </row>
    <row r="14887" spans="9:9" x14ac:dyDescent="0.3">
      <c r="I14887" s="101"/>
    </row>
    <row r="14888" spans="9:9" x14ac:dyDescent="0.3">
      <c r="I14888" s="101"/>
    </row>
    <row r="14889" spans="9:9" x14ac:dyDescent="0.3">
      <c r="I14889" s="101"/>
    </row>
    <row r="14890" spans="9:9" x14ac:dyDescent="0.3">
      <c r="I14890" s="101"/>
    </row>
    <row r="14891" spans="9:9" x14ac:dyDescent="0.3">
      <c r="I14891" s="101"/>
    </row>
    <row r="14892" spans="9:9" x14ac:dyDescent="0.3">
      <c r="I14892" s="101"/>
    </row>
    <row r="14893" spans="9:9" x14ac:dyDescent="0.3">
      <c r="I14893" s="101"/>
    </row>
    <row r="14894" spans="9:9" x14ac:dyDescent="0.3">
      <c r="I14894" s="101"/>
    </row>
    <row r="14895" spans="9:9" x14ac:dyDescent="0.3">
      <c r="I14895" s="101"/>
    </row>
    <row r="14896" spans="9:9" x14ac:dyDescent="0.3">
      <c r="I14896" s="101"/>
    </row>
    <row r="14897" spans="9:9" x14ac:dyDescent="0.3">
      <c r="I14897" s="101"/>
    </row>
    <row r="14898" spans="9:9" x14ac:dyDescent="0.3">
      <c r="I14898" s="101"/>
    </row>
    <row r="14899" spans="9:9" x14ac:dyDescent="0.3">
      <c r="I14899" s="101"/>
    </row>
    <row r="14900" spans="9:9" x14ac:dyDescent="0.3">
      <c r="I14900" s="101"/>
    </row>
    <row r="14901" spans="9:9" x14ac:dyDescent="0.3">
      <c r="I14901" s="101"/>
    </row>
    <row r="14902" spans="9:9" x14ac:dyDescent="0.3">
      <c r="I14902" s="101"/>
    </row>
    <row r="14903" spans="9:9" x14ac:dyDescent="0.3">
      <c r="I14903" s="101"/>
    </row>
    <row r="14904" spans="9:9" x14ac:dyDescent="0.3">
      <c r="I14904" s="101"/>
    </row>
    <row r="14905" spans="9:9" x14ac:dyDescent="0.3">
      <c r="I14905" s="101"/>
    </row>
    <row r="14906" spans="9:9" x14ac:dyDescent="0.3">
      <c r="I14906" s="101"/>
    </row>
    <row r="14907" spans="9:9" x14ac:dyDescent="0.3">
      <c r="I14907" s="101"/>
    </row>
    <row r="14908" spans="9:9" x14ac:dyDescent="0.3">
      <c r="I14908" s="101"/>
    </row>
    <row r="14909" spans="9:9" x14ac:dyDescent="0.3">
      <c r="I14909" s="101"/>
    </row>
    <row r="14910" spans="9:9" x14ac:dyDescent="0.3">
      <c r="I14910" s="101"/>
    </row>
    <row r="14911" spans="9:9" x14ac:dyDescent="0.3">
      <c r="I14911" s="101"/>
    </row>
    <row r="14912" spans="9:9" x14ac:dyDescent="0.3">
      <c r="I14912" s="101"/>
    </row>
    <row r="14913" spans="9:9" x14ac:dyDescent="0.3">
      <c r="I14913" s="101"/>
    </row>
    <row r="14914" spans="9:9" x14ac:dyDescent="0.3">
      <c r="I14914" s="101"/>
    </row>
    <row r="14915" spans="9:9" x14ac:dyDescent="0.3">
      <c r="I14915" s="101"/>
    </row>
    <row r="14916" spans="9:9" x14ac:dyDescent="0.3">
      <c r="I14916" s="101"/>
    </row>
    <row r="14917" spans="9:9" x14ac:dyDescent="0.3">
      <c r="I14917" s="101"/>
    </row>
    <row r="14918" spans="9:9" x14ac:dyDescent="0.3">
      <c r="I14918" s="101"/>
    </row>
    <row r="14919" spans="9:9" x14ac:dyDescent="0.3">
      <c r="I14919" s="101"/>
    </row>
    <row r="14920" spans="9:9" x14ac:dyDescent="0.3">
      <c r="I14920" s="101"/>
    </row>
    <row r="14921" spans="9:9" x14ac:dyDescent="0.3">
      <c r="I14921" s="101"/>
    </row>
    <row r="14922" spans="9:9" x14ac:dyDescent="0.3">
      <c r="I14922" s="101"/>
    </row>
    <row r="14923" spans="9:9" x14ac:dyDescent="0.3">
      <c r="I14923" s="101"/>
    </row>
    <row r="14924" spans="9:9" x14ac:dyDescent="0.3">
      <c r="I14924" s="101"/>
    </row>
    <row r="14925" spans="9:9" x14ac:dyDescent="0.3">
      <c r="I14925" s="101"/>
    </row>
    <row r="14926" spans="9:9" x14ac:dyDescent="0.3">
      <c r="I14926" s="101"/>
    </row>
    <row r="14927" spans="9:9" x14ac:dyDescent="0.3">
      <c r="I14927" s="101"/>
    </row>
    <row r="14928" spans="9:9" x14ac:dyDescent="0.3">
      <c r="I14928" s="101"/>
    </row>
    <row r="14929" spans="9:9" x14ac:dyDescent="0.3">
      <c r="I14929" s="101"/>
    </row>
    <row r="14930" spans="9:9" x14ac:dyDescent="0.3">
      <c r="I14930" s="101"/>
    </row>
    <row r="14931" spans="9:9" x14ac:dyDescent="0.3">
      <c r="I14931" s="101"/>
    </row>
    <row r="14932" spans="9:9" x14ac:dyDescent="0.3">
      <c r="I14932" s="101"/>
    </row>
    <row r="14933" spans="9:9" x14ac:dyDescent="0.3">
      <c r="I14933" s="101"/>
    </row>
    <row r="14934" spans="9:9" x14ac:dyDescent="0.3">
      <c r="I14934" s="101"/>
    </row>
    <row r="14935" spans="9:9" x14ac:dyDescent="0.3">
      <c r="I14935" s="101"/>
    </row>
    <row r="14936" spans="9:9" x14ac:dyDescent="0.3">
      <c r="I14936" s="101"/>
    </row>
    <row r="14937" spans="9:9" x14ac:dyDescent="0.3">
      <c r="I14937" s="101"/>
    </row>
    <row r="14938" spans="9:9" x14ac:dyDescent="0.3">
      <c r="I14938" s="101"/>
    </row>
    <row r="14939" spans="9:9" x14ac:dyDescent="0.3">
      <c r="I14939" s="101"/>
    </row>
    <row r="14940" spans="9:9" x14ac:dyDescent="0.3">
      <c r="I14940" s="101"/>
    </row>
    <row r="14941" spans="9:9" x14ac:dyDescent="0.3">
      <c r="I14941" s="101"/>
    </row>
    <row r="14942" spans="9:9" x14ac:dyDescent="0.3">
      <c r="I14942" s="101"/>
    </row>
    <row r="14943" spans="9:9" x14ac:dyDescent="0.3">
      <c r="I14943" s="101"/>
    </row>
    <row r="14944" spans="9:9" x14ac:dyDescent="0.3">
      <c r="I14944" s="101"/>
    </row>
    <row r="14945" spans="9:9" x14ac:dyDescent="0.3">
      <c r="I14945" s="101"/>
    </row>
    <row r="14946" spans="9:9" x14ac:dyDescent="0.3">
      <c r="I14946" s="101"/>
    </row>
    <row r="14947" spans="9:9" x14ac:dyDescent="0.3">
      <c r="I14947" s="101"/>
    </row>
    <row r="14948" spans="9:9" x14ac:dyDescent="0.3">
      <c r="I14948" s="101"/>
    </row>
    <row r="14949" spans="9:9" x14ac:dyDescent="0.3">
      <c r="I14949" s="101"/>
    </row>
    <row r="14950" spans="9:9" x14ac:dyDescent="0.3">
      <c r="I14950" s="101"/>
    </row>
    <row r="14951" spans="9:9" x14ac:dyDescent="0.3">
      <c r="I14951" s="101"/>
    </row>
    <row r="14952" spans="9:9" x14ac:dyDescent="0.3">
      <c r="I14952" s="101"/>
    </row>
    <row r="14953" spans="9:9" x14ac:dyDescent="0.3">
      <c r="I14953" s="101"/>
    </row>
    <row r="14954" spans="9:9" x14ac:dyDescent="0.3">
      <c r="I14954" s="101"/>
    </row>
    <row r="14955" spans="9:9" x14ac:dyDescent="0.3">
      <c r="I14955" s="101"/>
    </row>
    <row r="14956" spans="9:9" x14ac:dyDescent="0.3">
      <c r="I14956" s="101"/>
    </row>
    <row r="14957" spans="9:9" x14ac:dyDescent="0.3">
      <c r="I14957" s="101"/>
    </row>
    <row r="14958" spans="9:9" x14ac:dyDescent="0.3">
      <c r="I14958" s="101"/>
    </row>
    <row r="14959" spans="9:9" x14ac:dyDescent="0.3">
      <c r="I14959" s="101"/>
    </row>
    <row r="14960" spans="9:9" x14ac:dyDescent="0.3">
      <c r="I14960" s="101"/>
    </row>
    <row r="14961" spans="9:9" x14ac:dyDescent="0.3">
      <c r="I14961" s="101"/>
    </row>
    <row r="14962" spans="9:9" x14ac:dyDescent="0.3">
      <c r="I14962" s="101"/>
    </row>
    <row r="14963" spans="9:9" x14ac:dyDescent="0.3">
      <c r="I14963" s="101"/>
    </row>
    <row r="14964" spans="9:9" x14ac:dyDescent="0.3">
      <c r="I14964" s="101"/>
    </row>
    <row r="14965" spans="9:9" x14ac:dyDescent="0.3">
      <c r="I14965" s="101"/>
    </row>
    <row r="14966" spans="9:9" x14ac:dyDescent="0.3">
      <c r="I14966" s="101"/>
    </row>
    <row r="14967" spans="9:9" x14ac:dyDescent="0.3">
      <c r="I14967" s="101"/>
    </row>
    <row r="14968" spans="9:9" x14ac:dyDescent="0.3">
      <c r="I14968" s="101"/>
    </row>
    <row r="14969" spans="9:9" x14ac:dyDescent="0.3">
      <c r="I14969" s="101"/>
    </row>
    <row r="14970" spans="9:9" x14ac:dyDescent="0.3">
      <c r="I14970" s="101"/>
    </row>
    <row r="14971" spans="9:9" x14ac:dyDescent="0.3">
      <c r="I14971" s="101"/>
    </row>
    <row r="14972" spans="9:9" x14ac:dyDescent="0.3">
      <c r="I14972" s="101"/>
    </row>
    <row r="14973" spans="9:9" x14ac:dyDescent="0.3">
      <c r="I14973" s="101"/>
    </row>
    <row r="14974" spans="9:9" x14ac:dyDescent="0.3">
      <c r="I14974" s="101"/>
    </row>
    <row r="14975" spans="9:9" x14ac:dyDescent="0.3">
      <c r="I14975" s="101"/>
    </row>
    <row r="14976" spans="9:9" x14ac:dyDescent="0.3">
      <c r="I14976" s="101"/>
    </row>
    <row r="14977" spans="9:9" x14ac:dyDescent="0.3">
      <c r="I14977" s="101"/>
    </row>
    <row r="14978" spans="9:9" x14ac:dyDescent="0.3">
      <c r="I14978" s="101"/>
    </row>
    <row r="14979" spans="9:9" x14ac:dyDescent="0.3">
      <c r="I14979" s="101"/>
    </row>
    <row r="14980" spans="9:9" x14ac:dyDescent="0.3">
      <c r="I14980" s="101"/>
    </row>
    <row r="14981" spans="9:9" x14ac:dyDescent="0.3">
      <c r="I14981" s="101"/>
    </row>
    <row r="14982" spans="9:9" x14ac:dyDescent="0.3">
      <c r="I14982" s="101"/>
    </row>
    <row r="14983" spans="9:9" x14ac:dyDescent="0.3">
      <c r="I14983" s="101"/>
    </row>
    <row r="14984" spans="9:9" x14ac:dyDescent="0.3">
      <c r="I14984" s="101"/>
    </row>
    <row r="14985" spans="9:9" x14ac:dyDescent="0.3">
      <c r="I14985" s="101"/>
    </row>
    <row r="14986" spans="9:9" x14ac:dyDescent="0.3">
      <c r="I14986" s="101"/>
    </row>
    <row r="14987" spans="9:9" x14ac:dyDescent="0.3">
      <c r="I14987" s="101"/>
    </row>
    <row r="14988" spans="9:9" x14ac:dyDescent="0.3">
      <c r="I14988" s="101"/>
    </row>
    <row r="14989" spans="9:9" x14ac:dyDescent="0.3">
      <c r="I14989" s="101"/>
    </row>
    <row r="14990" spans="9:9" x14ac:dyDescent="0.3">
      <c r="I14990" s="101"/>
    </row>
    <row r="14991" spans="9:9" x14ac:dyDescent="0.3">
      <c r="I14991" s="101"/>
    </row>
    <row r="14992" spans="9:9" x14ac:dyDescent="0.3">
      <c r="I14992" s="101"/>
    </row>
    <row r="14993" spans="9:9" x14ac:dyDescent="0.3">
      <c r="I14993" s="101"/>
    </row>
    <row r="14994" spans="9:9" x14ac:dyDescent="0.3">
      <c r="I14994" s="101"/>
    </row>
    <row r="14995" spans="9:9" x14ac:dyDescent="0.3">
      <c r="I14995" s="101"/>
    </row>
    <row r="14996" spans="9:9" x14ac:dyDescent="0.3">
      <c r="I14996" s="101"/>
    </row>
    <row r="14997" spans="9:9" x14ac:dyDescent="0.3">
      <c r="I14997" s="101"/>
    </row>
    <row r="14998" spans="9:9" x14ac:dyDescent="0.3">
      <c r="I14998" s="101"/>
    </row>
    <row r="14999" spans="9:9" x14ac:dyDescent="0.3">
      <c r="I14999" s="101"/>
    </row>
    <row r="15000" spans="9:9" x14ac:dyDescent="0.3">
      <c r="I15000" s="101"/>
    </row>
    <row r="15001" spans="9:9" x14ac:dyDescent="0.3">
      <c r="I15001" s="101"/>
    </row>
    <row r="15002" spans="9:9" x14ac:dyDescent="0.3">
      <c r="I15002" s="101"/>
    </row>
    <row r="15003" spans="9:9" x14ac:dyDescent="0.3">
      <c r="I15003" s="101"/>
    </row>
    <row r="15004" spans="9:9" x14ac:dyDescent="0.3">
      <c r="I15004" s="101"/>
    </row>
    <row r="15005" spans="9:9" x14ac:dyDescent="0.3">
      <c r="I15005" s="101"/>
    </row>
    <row r="15006" spans="9:9" x14ac:dyDescent="0.3">
      <c r="I15006" s="101"/>
    </row>
    <row r="15007" spans="9:9" x14ac:dyDescent="0.3">
      <c r="I15007" s="101"/>
    </row>
    <row r="15008" spans="9:9" x14ac:dyDescent="0.3">
      <c r="I15008" s="101"/>
    </row>
    <row r="15009" spans="9:9" x14ac:dyDescent="0.3">
      <c r="I15009" s="101"/>
    </row>
    <row r="15010" spans="9:9" x14ac:dyDescent="0.3">
      <c r="I15010" s="101"/>
    </row>
    <row r="15011" spans="9:9" x14ac:dyDescent="0.3">
      <c r="I15011" s="101"/>
    </row>
    <row r="15012" spans="9:9" x14ac:dyDescent="0.3">
      <c r="I15012" s="101"/>
    </row>
    <row r="15013" spans="9:9" x14ac:dyDescent="0.3">
      <c r="I15013" s="101"/>
    </row>
    <row r="15014" spans="9:9" x14ac:dyDescent="0.3">
      <c r="I15014" s="101"/>
    </row>
    <row r="15015" spans="9:9" x14ac:dyDescent="0.3">
      <c r="I15015" s="101"/>
    </row>
    <row r="15016" spans="9:9" x14ac:dyDescent="0.3">
      <c r="I15016" s="101"/>
    </row>
    <row r="15017" spans="9:9" x14ac:dyDescent="0.3">
      <c r="I15017" s="101"/>
    </row>
    <row r="15018" spans="9:9" x14ac:dyDescent="0.3">
      <c r="I15018" s="101"/>
    </row>
    <row r="15019" spans="9:9" x14ac:dyDescent="0.3">
      <c r="I15019" s="101"/>
    </row>
    <row r="15020" spans="9:9" x14ac:dyDescent="0.3">
      <c r="I15020" s="101"/>
    </row>
    <row r="15021" spans="9:9" x14ac:dyDescent="0.3">
      <c r="I15021" s="101"/>
    </row>
    <row r="15022" spans="9:9" x14ac:dyDescent="0.3">
      <c r="I15022" s="101"/>
    </row>
    <row r="15023" spans="9:9" x14ac:dyDescent="0.3">
      <c r="I15023" s="101"/>
    </row>
    <row r="15024" spans="9:9" x14ac:dyDescent="0.3">
      <c r="I15024" s="101"/>
    </row>
    <row r="15025" spans="9:9" x14ac:dyDescent="0.3">
      <c r="I15025" s="101"/>
    </row>
    <row r="15026" spans="9:9" x14ac:dyDescent="0.3">
      <c r="I15026" s="101"/>
    </row>
    <row r="15027" spans="9:9" x14ac:dyDescent="0.3">
      <c r="I15027" s="101"/>
    </row>
    <row r="15028" spans="9:9" x14ac:dyDescent="0.3">
      <c r="I15028" s="101"/>
    </row>
    <row r="15029" spans="9:9" x14ac:dyDescent="0.3">
      <c r="I15029" s="101"/>
    </row>
    <row r="15030" spans="9:9" x14ac:dyDescent="0.3">
      <c r="I15030" s="101"/>
    </row>
    <row r="15031" spans="9:9" x14ac:dyDescent="0.3">
      <c r="I15031" s="101"/>
    </row>
    <row r="15032" spans="9:9" x14ac:dyDescent="0.3">
      <c r="I15032" s="101"/>
    </row>
    <row r="15033" spans="9:9" x14ac:dyDescent="0.3">
      <c r="I15033" s="101"/>
    </row>
    <row r="15034" spans="9:9" x14ac:dyDescent="0.3">
      <c r="I15034" s="101"/>
    </row>
    <row r="15035" spans="9:9" x14ac:dyDescent="0.3">
      <c r="I15035" s="101"/>
    </row>
    <row r="15036" spans="9:9" x14ac:dyDescent="0.3">
      <c r="I15036" s="101"/>
    </row>
    <row r="15037" spans="9:9" x14ac:dyDescent="0.3">
      <c r="I15037" s="101"/>
    </row>
    <row r="15038" spans="9:9" x14ac:dyDescent="0.3">
      <c r="I15038" s="101"/>
    </row>
    <row r="15039" spans="9:9" x14ac:dyDescent="0.3">
      <c r="I15039" s="101"/>
    </row>
    <row r="15040" spans="9:9" x14ac:dyDescent="0.3">
      <c r="I15040" s="101"/>
    </row>
    <row r="15041" spans="9:9" x14ac:dyDescent="0.3">
      <c r="I15041" s="101"/>
    </row>
    <row r="15042" spans="9:9" x14ac:dyDescent="0.3">
      <c r="I15042" s="101"/>
    </row>
    <row r="15043" spans="9:9" x14ac:dyDescent="0.3">
      <c r="I15043" s="101"/>
    </row>
    <row r="15044" spans="9:9" x14ac:dyDescent="0.3">
      <c r="I15044" s="101"/>
    </row>
    <row r="15045" spans="9:9" x14ac:dyDescent="0.3">
      <c r="I15045" s="101"/>
    </row>
    <row r="15046" spans="9:9" x14ac:dyDescent="0.3">
      <c r="I15046" s="101"/>
    </row>
    <row r="15047" spans="9:9" x14ac:dyDescent="0.3">
      <c r="I15047" s="101"/>
    </row>
    <row r="15048" spans="9:9" x14ac:dyDescent="0.3">
      <c r="I15048" s="101"/>
    </row>
    <row r="15049" spans="9:9" x14ac:dyDescent="0.3">
      <c r="I15049" s="101"/>
    </row>
    <row r="15050" spans="9:9" x14ac:dyDescent="0.3">
      <c r="I15050" s="101"/>
    </row>
    <row r="15051" spans="9:9" x14ac:dyDescent="0.3">
      <c r="I15051" s="101"/>
    </row>
    <row r="15052" spans="9:9" x14ac:dyDescent="0.3">
      <c r="I15052" s="101"/>
    </row>
    <row r="15053" spans="9:9" x14ac:dyDescent="0.3">
      <c r="I15053" s="101"/>
    </row>
    <row r="15054" spans="9:9" x14ac:dyDescent="0.3">
      <c r="I15054" s="101"/>
    </row>
    <row r="15055" spans="9:9" x14ac:dyDescent="0.3">
      <c r="I15055" s="101"/>
    </row>
    <row r="15056" spans="9:9" x14ac:dyDescent="0.3">
      <c r="I15056" s="101"/>
    </row>
    <row r="15057" spans="9:9" x14ac:dyDescent="0.3">
      <c r="I15057" s="101"/>
    </row>
    <row r="15058" spans="9:9" x14ac:dyDescent="0.3">
      <c r="I15058" s="101"/>
    </row>
    <row r="15059" spans="9:9" x14ac:dyDescent="0.3">
      <c r="I15059" s="101"/>
    </row>
    <row r="15060" spans="9:9" x14ac:dyDescent="0.3">
      <c r="I15060" s="101"/>
    </row>
    <row r="15061" spans="9:9" x14ac:dyDescent="0.3">
      <c r="I15061" s="101"/>
    </row>
    <row r="15062" spans="9:9" x14ac:dyDescent="0.3">
      <c r="I15062" s="101"/>
    </row>
    <row r="15063" spans="9:9" x14ac:dyDescent="0.3">
      <c r="I15063" s="101"/>
    </row>
    <row r="15064" spans="9:9" x14ac:dyDescent="0.3">
      <c r="I15064" s="101"/>
    </row>
    <row r="15065" spans="9:9" x14ac:dyDescent="0.3">
      <c r="I15065" s="101"/>
    </row>
    <row r="15066" spans="9:9" x14ac:dyDescent="0.3">
      <c r="I15066" s="101"/>
    </row>
    <row r="15067" spans="9:9" x14ac:dyDescent="0.3">
      <c r="I15067" s="101"/>
    </row>
    <row r="15068" spans="9:9" x14ac:dyDescent="0.3">
      <c r="I15068" s="101"/>
    </row>
    <row r="15069" spans="9:9" x14ac:dyDescent="0.3">
      <c r="I15069" s="101"/>
    </row>
    <row r="15070" spans="9:9" x14ac:dyDescent="0.3">
      <c r="I15070" s="101"/>
    </row>
    <row r="15071" spans="9:9" x14ac:dyDescent="0.3">
      <c r="I15071" s="101"/>
    </row>
    <row r="15072" spans="9:9" x14ac:dyDescent="0.3">
      <c r="I15072" s="101"/>
    </row>
    <row r="15073" spans="9:9" x14ac:dyDescent="0.3">
      <c r="I15073" s="101"/>
    </row>
    <row r="15074" spans="9:9" x14ac:dyDescent="0.3">
      <c r="I15074" s="101"/>
    </row>
    <row r="15075" spans="9:9" x14ac:dyDescent="0.3">
      <c r="I15075" s="101"/>
    </row>
    <row r="15076" spans="9:9" x14ac:dyDescent="0.3">
      <c r="I15076" s="101"/>
    </row>
    <row r="15077" spans="9:9" x14ac:dyDescent="0.3">
      <c r="I15077" s="101"/>
    </row>
    <row r="15078" spans="9:9" x14ac:dyDescent="0.3">
      <c r="I15078" s="101"/>
    </row>
    <row r="15079" spans="9:9" x14ac:dyDescent="0.3">
      <c r="I15079" s="101"/>
    </row>
    <row r="15080" spans="9:9" x14ac:dyDescent="0.3">
      <c r="I15080" s="101"/>
    </row>
    <row r="15081" spans="9:9" x14ac:dyDescent="0.3">
      <c r="I15081" s="101"/>
    </row>
    <row r="15082" spans="9:9" x14ac:dyDescent="0.3">
      <c r="I15082" s="101"/>
    </row>
    <row r="15083" spans="9:9" x14ac:dyDescent="0.3">
      <c r="I15083" s="101"/>
    </row>
    <row r="15084" spans="9:9" x14ac:dyDescent="0.3">
      <c r="I15084" s="101"/>
    </row>
    <row r="15085" spans="9:9" x14ac:dyDescent="0.3">
      <c r="I15085" s="101"/>
    </row>
    <row r="15086" spans="9:9" x14ac:dyDescent="0.3">
      <c r="I15086" s="101"/>
    </row>
    <row r="15087" spans="9:9" x14ac:dyDescent="0.3">
      <c r="I15087" s="101"/>
    </row>
    <row r="15088" spans="9:9" x14ac:dyDescent="0.3">
      <c r="I15088" s="101"/>
    </row>
    <row r="15089" spans="9:9" x14ac:dyDescent="0.3">
      <c r="I15089" s="101"/>
    </row>
    <row r="15090" spans="9:9" x14ac:dyDescent="0.3">
      <c r="I15090" s="101"/>
    </row>
    <row r="15091" spans="9:9" x14ac:dyDescent="0.3">
      <c r="I15091" s="101"/>
    </row>
    <row r="15092" spans="9:9" x14ac:dyDescent="0.3">
      <c r="I15092" s="101"/>
    </row>
    <row r="15093" spans="9:9" x14ac:dyDescent="0.3">
      <c r="I15093" s="101"/>
    </row>
    <row r="15094" spans="9:9" x14ac:dyDescent="0.3">
      <c r="I15094" s="101"/>
    </row>
    <row r="15095" spans="9:9" x14ac:dyDescent="0.3">
      <c r="I15095" s="101"/>
    </row>
    <row r="15096" spans="9:9" x14ac:dyDescent="0.3">
      <c r="I15096" s="101"/>
    </row>
    <row r="15097" spans="9:9" x14ac:dyDescent="0.3">
      <c r="I15097" s="101"/>
    </row>
    <row r="15098" spans="9:9" x14ac:dyDescent="0.3">
      <c r="I15098" s="101"/>
    </row>
    <row r="15099" spans="9:9" x14ac:dyDescent="0.3">
      <c r="I15099" s="101"/>
    </row>
    <row r="15100" spans="9:9" x14ac:dyDescent="0.3">
      <c r="I15100" s="101"/>
    </row>
    <row r="15101" spans="9:9" x14ac:dyDescent="0.3">
      <c r="I15101" s="101"/>
    </row>
    <row r="15102" spans="9:9" x14ac:dyDescent="0.3">
      <c r="I15102" s="101"/>
    </row>
    <row r="15103" spans="9:9" x14ac:dyDescent="0.3">
      <c r="I15103" s="101"/>
    </row>
    <row r="15104" spans="9:9" x14ac:dyDescent="0.3">
      <c r="I15104" s="101"/>
    </row>
    <row r="15105" spans="9:9" x14ac:dyDescent="0.3">
      <c r="I15105" s="101"/>
    </row>
    <row r="15106" spans="9:9" x14ac:dyDescent="0.3">
      <c r="I15106" s="101"/>
    </row>
    <row r="15107" spans="9:9" x14ac:dyDescent="0.3">
      <c r="I15107" s="101"/>
    </row>
    <row r="15108" spans="9:9" x14ac:dyDescent="0.3">
      <c r="I15108" s="101"/>
    </row>
    <row r="15109" spans="9:9" x14ac:dyDescent="0.3">
      <c r="I15109" s="101"/>
    </row>
    <row r="15110" spans="9:9" x14ac:dyDescent="0.3">
      <c r="I15110" s="101"/>
    </row>
    <row r="15111" spans="9:9" x14ac:dyDescent="0.3">
      <c r="I15111" s="101"/>
    </row>
    <row r="15112" spans="9:9" x14ac:dyDescent="0.3">
      <c r="I15112" s="101"/>
    </row>
    <row r="15113" spans="9:9" x14ac:dyDescent="0.3">
      <c r="I15113" s="101"/>
    </row>
    <row r="15114" spans="9:9" x14ac:dyDescent="0.3">
      <c r="I15114" s="101"/>
    </row>
    <row r="15115" spans="9:9" x14ac:dyDescent="0.3">
      <c r="I15115" s="101"/>
    </row>
    <row r="15116" spans="9:9" x14ac:dyDescent="0.3">
      <c r="I15116" s="101"/>
    </row>
    <row r="15117" spans="9:9" x14ac:dyDescent="0.3">
      <c r="I15117" s="101"/>
    </row>
    <row r="15118" spans="9:9" x14ac:dyDescent="0.3">
      <c r="I15118" s="101"/>
    </row>
    <row r="15119" spans="9:9" x14ac:dyDescent="0.3">
      <c r="I15119" s="101"/>
    </row>
    <row r="15120" spans="9:9" x14ac:dyDescent="0.3">
      <c r="I15120" s="101"/>
    </row>
    <row r="15121" spans="9:9" x14ac:dyDescent="0.3">
      <c r="I15121" s="101"/>
    </row>
    <row r="15122" spans="9:9" x14ac:dyDescent="0.3">
      <c r="I15122" s="101"/>
    </row>
    <row r="15123" spans="9:9" x14ac:dyDescent="0.3">
      <c r="I15123" s="101"/>
    </row>
    <row r="15124" spans="9:9" x14ac:dyDescent="0.3">
      <c r="I15124" s="101"/>
    </row>
    <row r="15125" spans="9:9" x14ac:dyDescent="0.3">
      <c r="I15125" s="101"/>
    </row>
    <row r="15126" spans="9:9" x14ac:dyDescent="0.3">
      <c r="I15126" s="101"/>
    </row>
    <row r="15127" spans="9:9" x14ac:dyDescent="0.3">
      <c r="I15127" s="101"/>
    </row>
    <row r="15128" spans="9:9" x14ac:dyDescent="0.3">
      <c r="I15128" s="101"/>
    </row>
    <row r="15129" spans="9:9" x14ac:dyDescent="0.3">
      <c r="I15129" s="101"/>
    </row>
    <row r="15130" spans="9:9" x14ac:dyDescent="0.3">
      <c r="I15130" s="101"/>
    </row>
    <row r="15131" spans="9:9" x14ac:dyDescent="0.3">
      <c r="I15131" s="101"/>
    </row>
    <row r="15132" spans="9:9" x14ac:dyDescent="0.3">
      <c r="I15132" s="101"/>
    </row>
    <row r="15133" spans="9:9" x14ac:dyDescent="0.3">
      <c r="I15133" s="101"/>
    </row>
    <row r="15134" spans="9:9" x14ac:dyDescent="0.3">
      <c r="I15134" s="101"/>
    </row>
    <row r="15135" spans="9:9" x14ac:dyDescent="0.3">
      <c r="I15135" s="101"/>
    </row>
    <row r="15136" spans="9:9" x14ac:dyDescent="0.3">
      <c r="I15136" s="101"/>
    </row>
    <row r="15137" spans="9:9" x14ac:dyDescent="0.3">
      <c r="I15137" s="101"/>
    </row>
    <row r="15138" spans="9:9" x14ac:dyDescent="0.3">
      <c r="I15138" s="101"/>
    </row>
    <row r="15139" spans="9:9" x14ac:dyDescent="0.3">
      <c r="I15139" s="101"/>
    </row>
    <row r="15140" spans="9:9" x14ac:dyDescent="0.3">
      <c r="I15140" s="101"/>
    </row>
    <row r="15141" spans="9:9" x14ac:dyDescent="0.3">
      <c r="I15141" s="101"/>
    </row>
    <row r="15142" spans="9:9" x14ac:dyDescent="0.3">
      <c r="I15142" s="101"/>
    </row>
    <row r="15143" spans="9:9" x14ac:dyDescent="0.3">
      <c r="I15143" s="101"/>
    </row>
    <row r="15144" spans="9:9" x14ac:dyDescent="0.3">
      <c r="I15144" s="101"/>
    </row>
    <row r="15145" spans="9:9" x14ac:dyDescent="0.3">
      <c r="I15145" s="101"/>
    </row>
    <row r="15146" spans="9:9" x14ac:dyDescent="0.3">
      <c r="I15146" s="101"/>
    </row>
    <row r="15147" spans="9:9" x14ac:dyDescent="0.3">
      <c r="I15147" s="101"/>
    </row>
    <row r="15148" spans="9:9" x14ac:dyDescent="0.3">
      <c r="I15148" s="101"/>
    </row>
    <row r="15149" spans="9:9" x14ac:dyDescent="0.3">
      <c r="I15149" s="101"/>
    </row>
    <row r="15150" spans="9:9" x14ac:dyDescent="0.3">
      <c r="I15150" s="101"/>
    </row>
    <row r="15151" spans="9:9" x14ac:dyDescent="0.3">
      <c r="I15151" s="101"/>
    </row>
    <row r="15152" spans="9:9" x14ac:dyDescent="0.3">
      <c r="I15152" s="101"/>
    </row>
    <row r="15153" spans="9:9" x14ac:dyDescent="0.3">
      <c r="I15153" s="101"/>
    </row>
    <row r="15154" spans="9:9" x14ac:dyDescent="0.3">
      <c r="I15154" s="101"/>
    </row>
    <row r="15155" spans="9:9" x14ac:dyDescent="0.3">
      <c r="I15155" s="101"/>
    </row>
    <row r="15156" spans="9:9" x14ac:dyDescent="0.3">
      <c r="I15156" s="101"/>
    </row>
    <row r="15157" spans="9:9" x14ac:dyDescent="0.3">
      <c r="I15157" s="101"/>
    </row>
    <row r="15158" spans="9:9" x14ac:dyDescent="0.3">
      <c r="I15158" s="101"/>
    </row>
    <row r="15159" spans="9:9" x14ac:dyDescent="0.3">
      <c r="I15159" s="101"/>
    </row>
    <row r="15160" spans="9:9" x14ac:dyDescent="0.3">
      <c r="I15160" s="101"/>
    </row>
    <row r="15161" spans="9:9" x14ac:dyDescent="0.3">
      <c r="I15161" s="101"/>
    </row>
    <row r="15162" spans="9:9" x14ac:dyDescent="0.3">
      <c r="I15162" s="101"/>
    </row>
    <row r="15163" spans="9:9" x14ac:dyDescent="0.3">
      <c r="I15163" s="101"/>
    </row>
    <row r="15164" spans="9:9" x14ac:dyDescent="0.3">
      <c r="I15164" s="101"/>
    </row>
    <row r="15165" spans="9:9" x14ac:dyDescent="0.3">
      <c r="I15165" s="101"/>
    </row>
    <row r="15166" spans="9:9" x14ac:dyDescent="0.3">
      <c r="I15166" s="101"/>
    </row>
    <row r="15167" spans="9:9" x14ac:dyDescent="0.3">
      <c r="I15167" s="101"/>
    </row>
    <row r="15168" spans="9:9" x14ac:dyDescent="0.3">
      <c r="I15168" s="101"/>
    </row>
    <row r="15169" spans="9:9" x14ac:dyDescent="0.3">
      <c r="I15169" s="101"/>
    </row>
    <row r="15170" spans="9:9" x14ac:dyDescent="0.3">
      <c r="I15170" s="101"/>
    </row>
    <row r="15171" spans="9:9" x14ac:dyDescent="0.3">
      <c r="I15171" s="101"/>
    </row>
    <row r="15172" spans="9:9" x14ac:dyDescent="0.3">
      <c r="I15172" s="101"/>
    </row>
    <row r="15173" spans="9:9" x14ac:dyDescent="0.3">
      <c r="I15173" s="101"/>
    </row>
    <row r="15174" spans="9:9" x14ac:dyDescent="0.3">
      <c r="I15174" s="101"/>
    </row>
    <row r="15175" spans="9:9" x14ac:dyDescent="0.3">
      <c r="I15175" s="101"/>
    </row>
    <row r="15176" spans="9:9" x14ac:dyDescent="0.3">
      <c r="I15176" s="101"/>
    </row>
    <row r="15177" spans="9:9" x14ac:dyDescent="0.3">
      <c r="I15177" s="101"/>
    </row>
    <row r="15178" spans="9:9" x14ac:dyDescent="0.3">
      <c r="I15178" s="101"/>
    </row>
    <row r="15179" spans="9:9" x14ac:dyDescent="0.3">
      <c r="I15179" s="101"/>
    </row>
    <row r="15180" spans="9:9" x14ac:dyDescent="0.3">
      <c r="I15180" s="101"/>
    </row>
    <row r="15181" spans="9:9" x14ac:dyDescent="0.3">
      <c r="I15181" s="101"/>
    </row>
    <row r="15182" spans="9:9" x14ac:dyDescent="0.3">
      <c r="I15182" s="101"/>
    </row>
    <row r="15183" spans="9:9" x14ac:dyDescent="0.3">
      <c r="I15183" s="101"/>
    </row>
    <row r="15184" spans="9:9" x14ac:dyDescent="0.3">
      <c r="I15184" s="101"/>
    </row>
    <row r="15185" spans="9:9" x14ac:dyDescent="0.3">
      <c r="I15185" s="101"/>
    </row>
    <row r="15186" spans="9:9" x14ac:dyDescent="0.3">
      <c r="I15186" s="101"/>
    </row>
    <row r="15187" spans="9:9" x14ac:dyDescent="0.3">
      <c r="I15187" s="101"/>
    </row>
    <row r="15188" spans="9:9" x14ac:dyDescent="0.3">
      <c r="I15188" s="101"/>
    </row>
    <row r="15189" spans="9:9" x14ac:dyDescent="0.3">
      <c r="I15189" s="101"/>
    </row>
    <row r="15190" spans="9:9" x14ac:dyDescent="0.3">
      <c r="I15190" s="101"/>
    </row>
    <row r="15191" spans="9:9" x14ac:dyDescent="0.3">
      <c r="I15191" s="101"/>
    </row>
    <row r="15192" spans="9:9" x14ac:dyDescent="0.3">
      <c r="I15192" s="101"/>
    </row>
    <row r="15193" spans="9:9" x14ac:dyDescent="0.3">
      <c r="I15193" s="101"/>
    </row>
    <row r="15194" spans="9:9" x14ac:dyDescent="0.3">
      <c r="I15194" s="101"/>
    </row>
    <row r="15195" spans="9:9" x14ac:dyDescent="0.3">
      <c r="I15195" s="101"/>
    </row>
    <row r="15196" spans="9:9" x14ac:dyDescent="0.3">
      <c r="I15196" s="101"/>
    </row>
    <row r="15197" spans="9:9" x14ac:dyDescent="0.3">
      <c r="I15197" s="101"/>
    </row>
    <row r="15198" spans="9:9" x14ac:dyDescent="0.3">
      <c r="I15198" s="101"/>
    </row>
    <row r="15199" spans="9:9" x14ac:dyDescent="0.3">
      <c r="I15199" s="101"/>
    </row>
    <row r="15200" spans="9:9" x14ac:dyDescent="0.3">
      <c r="I15200" s="101"/>
    </row>
    <row r="15201" spans="9:9" x14ac:dyDescent="0.3">
      <c r="I15201" s="101"/>
    </row>
    <row r="15202" spans="9:9" x14ac:dyDescent="0.3">
      <c r="I15202" s="101"/>
    </row>
    <row r="15203" spans="9:9" x14ac:dyDescent="0.3">
      <c r="I15203" s="101"/>
    </row>
    <row r="15204" spans="9:9" x14ac:dyDescent="0.3">
      <c r="I15204" s="101"/>
    </row>
    <row r="15205" spans="9:9" x14ac:dyDescent="0.3">
      <c r="I15205" s="101"/>
    </row>
    <row r="15206" spans="9:9" x14ac:dyDescent="0.3">
      <c r="I15206" s="101"/>
    </row>
    <row r="15207" spans="9:9" x14ac:dyDescent="0.3">
      <c r="I15207" s="101"/>
    </row>
    <row r="15208" spans="9:9" x14ac:dyDescent="0.3">
      <c r="I15208" s="101"/>
    </row>
    <row r="15209" spans="9:9" x14ac:dyDescent="0.3">
      <c r="I15209" s="101"/>
    </row>
    <row r="15210" spans="9:9" x14ac:dyDescent="0.3">
      <c r="I15210" s="101"/>
    </row>
    <row r="15211" spans="9:9" x14ac:dyDescent="0.3">
      <c r="I15211" s="101"/>
    </row>
    <row r="15212" spans="9:9" x14ac:dyDescent="0.3">
      <c r="I15212" s="101"/>
    </row>
    <row r="15213" spans="9:9" x14ac:dyDescent="0.3">
      <c r="I15213" s="101"/>
    </row>
    <row r="15214" spans="9:9" x14ac:dyDescent="0.3">
      <c r="I15214" s="101"/>
    </row>
    <row r="15215" spans="9:9" x14ac:dyDescent="0.3">
      <c r="I15215" s="101"/>
    </row>
    <row r="15216" spans="9:9" x14ac:dyDescent="0.3">
      <c r="I15216" s="101"/>
    </row>
    <row r="15217" spans="9:9" x14ac:dyDescent="0.3">
      <c r="I15217" s="101"/>
    </row>
    <row r="15218" spans="9:9" x14ac:dyDescent="0.3">
      <c r="I15218" s="101"/>
    </row>
    <row r="15219" spans="9:9" x14ac:dyDescent="0.3">
      <c r="I15219" s="101"/>
    </row>
    <row r="15220" spans="9:9" x14ac:dyDescent="0.3">
      <c r="I15220" s="101"/>
    </row>
    <row r="15221" spans="9:9" x14ac:dyDescent="0.3">
      <c r="I15221" s="101"/>
    </row>
    <row r="15222" spans="9:9" x14ac:dyDescent="0.3">
      <c r="I15222" s="101"/>
    </row>
    <row r="15223" spans="9:9" x14ac:dyDescent="0.3">
      <c r="I15223" s="101"/>
    </row>
    <row r="15224" spans="9:9" x14ac:dyDescent="0.3">
      <c r="I15224" s="101"/>
    </row>
    <row r="15225" spans="9:9" x14ac:dyDescent="0.3">
      <c r="I15225" s="101"/>
    </row>
    <row r="15226" spans="9:9" x14ac:dyDescent="0.3">
      <c r="I15226" s="101"/>
    </row>
    <row r="15227" spans="9:9" x14ac:dyDescent="0.3">
      <c r="I15227" s="101"/>
    </row>
    <row r="15228" spans="9:9" x14ac:dyDescent="0.3">
      <c r="I15228" s="101"/>
    </row>
    <row r="15229" spans="9:9" x14ac:dyDescent="0.3">
      <c r="I15229" s="101"/>
    </row>
    <row r="15230" spans="9:9" x14ac:dyDescent="0.3">
      <c r="I15230" s="101"/>
    </row>
    <row r="15231" spans="9:9" x14ac:dyDescent="0.3">
      <c r="I15231" s="101"/>
    </row>
    <row r="15232" spans="9:9" x14ac:dyDescent="0.3">
      <c r="I15232" s="101"/>
    </row>
    <row r="15233" spans="9:9" x14ac:dyDescent="0.3">
      <c r="I15233" s="101"/>
    </row>
    <row r="15234" spans="9:9" x14ac:dyDescent="0.3">
      <c r="I15234" s="101"/>
    </row>
    <row r="15235" spans="9:9" x14ac:dyDescent="0.3">
      <c r="I15235" s="101"/>
    </row>
    <row r="15236" spans="9:9" x14ac:dyDescent="0.3">
      <c r="I15236" s="101"/>
    </row>
    <row r="15237" spans="9:9" x14ac:dyDescent="0.3">
      <c r="I15237" s="101"/>
    </row>
    <row r="15238" spans="9:9" x14ac:dyDescent="0.3">
      <c r="I15238" s="101"/>
    </row>
    <row r="15239" spans="9:9" x14ac:dyDescent="0.3">
      <c r="I15239" s="101"/>
    </row>
    <row r="15240" spans="9:9" x14ac:dyDescent="0.3">
      <c r="I15240" s="101"/>
    </row>
    <row r="15241" spans="9:9" x14ac:dyDescent="0.3">
      <c r="I15241" s="101"/>
    </row>
    <row r="15242" spans="9:9" x14ac:dyDescent="0.3">
      <c r="I15242" s="101"/>
    </row>
    <row r="15243" spans="9:9" x14ac:dyDescent="0.3">
      <c r="I15243" s="101"/>
    </row>
    <row r="15244" spans="9:9" x14ac:dyDescent="0.3">
      <c r="I15244" s="101"/>
    </row>
    <row r="15245" spans="9:9" x14ac:dyDescent="0.3">
      <c r="I15245" s="101"/>
    </row>
    <row r="15246" spans="9:9" x14ac:dyDescent="0.3">
      <c r="I15246" s="101"/>
    </row>
    <row r="15247" spans="9:9" x14ac:dyDescent="0.3">
      <c r="I15247" s="101"/>
    </row>
    <row r="15248" spans="9:9" x14ac:dyDescent="0.3">
      <c r="I15248" s="101"/>
    </row>
    <row r="15249" spans="9:9" x14ac:dyDescent="0.3">
      <c r="I15249" s="101"/>
    </row>
    <row r="15250" spans="9:9" x14ac:dyDescent="0.3">
      <c r="I15250" s="101"/>
    </row>
    <row r="15251" spans="9:9" x14ac:dyDescent="0.3">
      <c r="I15251" s="101"/>
    </row>
    <row r="15252" spans="9:9" x14ac:dyDescent="0.3">
      <c r="I15252" s="101"/>
    </row>
    <row r="15253" spans="9:9" x14ac:dyDescent="0.3">
      <c r="I15253" s="101"/>
    </row>
    <row r="15254" spans="9:9" x14ac:dyDescent="0.3">
      <c r="I15254" s="101"/>
    </row>
    <row r="15255" spans="9:9" x14ac:dyDescent="0.3">
      <c r="I15255" s="101"/>
    </row>
    <row r="15256" spans="9:9" x14ac:dyDescent="0.3">
      <c r="I15256" s="101"/>
    </row>
    <row r="15257" spans="9:9" x14ac:dyDescent="0.3">
      <c r="I15257" s="101"/>
    </row>
    <row r="15258" spans="9:9" x14ac:dyDescent="0.3">
      <c r="I15258" s="101"/>
    </row>
    <row r="15259" spans="9:9" x14ac:dyDescent="0.3">
      <c r="I15259" s="101"/>
    </row>
    <row r="15260" spans="9:9" x14ac:dyDescent="0.3">
      <c r="I15260" s="101"/>
    </row>
    <row r="15261" spans="9:9" x14ac:dyDescent="0.3">
      <c r="I15261" s="101"/>
    </row>
    <row r="15262" spans="9:9" x14ac:dyDescent="0.3">
      <c r="I15262" s="101"/>
    </row>
    <row r="15263" spans="9:9" x14ac:dyDescent="0.3">
      <c r="I15263" s="101"/>
    </row>
    <row r="15264" spans="9:9" x14ac:dyDescent="0.3">
      <c r="I15264" s="101"/>
    </row>
    <row r="15265" spans="9:9" x14ac:dyDescent="0.3">
      <c r="I15265" s="101"/>
    </row>
    <row r="15266" spans="9:9" x14ac:dyDescent="0.3">
      <c r="I15266" s="101"/>
    </row>
    <row r="15267" spans="9:9" x14ac:dyDescent="0.3">
      <c r="I15267" s="101"/>
    </row>
    <row r="15268" spans="9:9" x14ac:dyDescent="0.3">
      <c r="I15268" s="101"/>
    </row>
    <row r="15269" spans="9:9" x14ac:dyDescent="0.3">
      <c r="I15269" s="101"/>
    </row>
    <row r="15270" spans="9:9" x14ac:dyDescent="0.3">
      <c r="I15270" s="101"/>
    </row>
    <row r="15271" spans="9:9" x14ac:dyDescent="0.3">
      <c r="I15271" s="101"/>
    </row>
    <row r="15272" spans="9:9" x14ac:dyDescent="0.3">
      <c r="I15272" s="101"/>
    </row>
    <row r="15273" spans="9:9" x14ac:dyDescent="0.3">
      <c r="I15273" s="101"/>
    </row>
    <row r="15274" spans="9:9" x14ac:dyDescent="0.3">
      <c r="I15274" s="101"/>
    </row>
    <row r="15275" spans="9:9" x14ac:dyDescent="0.3">
      <c r="I15275" s="101"/>
    </row>
    <row r="15276" spans="9:9" x14ac:dyDescent="0.3">
      <c r="I15276" s="101"/>
    </row>
    <row r="15277" spans="9:9" x14ac:dyDescent="0.3">
      <c r="I15277" s="101"/>
    </row>
    <row r="15278" spans="9:9" x14ac:dyDescent="0.3">
      <c r="I15278" s="101"/>
    </row>
    <row r="15279" spans="9:9" x14ac:dyDescent="0.3">
      <c r="I15279" s="101"/>
    </row>
    <row r="15280" spans="9:9" x14ac:dyDescent="0.3">
      <c r="I15280" s="101"/>
    </row>
    <row r="15281" spans="9:9" x14ac:dyDescent="0.3">
      <c r="I15281" s="101"/>
    </row>
    <row r="15282" spans="9:9" x14ac:dyDescent="0.3">
      <c r="I15282" s="101"/>
    </row>
    <row r="15283" spans="9:9" x14ac:dyDescent="0.3">
      <c r="I15283" s="101"/>
    </row>
    <row r="15284" spans="9:9" x14ac:dyDescent="0.3">
      <c r="I15284" s="101"/>
    </row>
    <row r="15285" spans="9:9" x14ac:dyDescent="0.3">
      <c r="I15285" s="101"/>
    </row>
    <row r="15286" spans="9:9" x14ac:dyDescent="0.3">
      <c r="I15286" s="101"/>
    </row>
    <row r="15287" spans="9:9" x14ac:dyDescent="0.3">
      <c r="I15287" s="101"/>
    </row>
    <row r="15288" spans="9:9" x14ac:dyDescent="0.3">
      <c r="I15288" s="101"/>
    </row>
    <row r="15289" spans="9:9" x14ac:dyDescent="0.3">
      <c r="I15289" s="101"/>
    </row>
    <row r="15290" spans="9:9" x14ac:dyDescent="0.3">
      <c r="I15290" s="101"/>
    </row>
    <row r="15291" spans="9:9" x14ac:dyDescent="0.3">
      <c r="I15291" s="101"/>
    </row>
    <row r="15292" spans="9:9" x14ac:dyDescent="0.3">
      <c r="I15292" s="101"/>
    </row>
    <row r="15293" spans="9:9" x14ac:dyDescent="0.3">
      <c r="I15293" s="101"/>
    </row>
    <row r="15294" spans="9:9" x14ac:dyDescent="0.3">
      <c r="I15294" s="101"/>
    </row>
    <row r="15295" spans="9:9" x14ac:dyDescent="0.3">
      <c r="I15295" s="101"/>
    </row>
    <row r="15296" spans="9:9" x14ac:dyDescent="0.3">
      <c r="I15296" s="101"/>
    </row>
    <row r="15297" spans="9:9" x14ac:dyDescent="0.3">
      <c r="I15297" s="101"/>
    </row>
    <row r="15298" spans="9:9" x14ac:dyDescent="0.3">
      <c r="I15298" s="101"/>
    </row>
    <row r="15299" spans="9:9" x14ac:dyDescent="0.3">
      <c r="I15299" s="101"/>
    </row>
    <row r="15300" spans="9:9" x14ac:dyDescent="0.3">
      <c r="I15300" s="101"/>
    </row>
    <row r="15301" spans="9:9" x14ac:dyDescent="0.3">
      <c r="I15301" s="101"/>
    </row>
    <row r="15302" spans="9:9" x14ac:dyDescent="0.3">
      <c r="I15302" s="101"/>
    </row>
    <row r="15303" spans="9:9" x14ac:dyDescent="0.3">
      <c r="I15303" s="101"/>
    </row>
    <row r="15304" spans="9:9" x14ac:dyDescent="0.3">
      <c r="I15304" s="101"/>
    </row>
    <row r="15305" spans="9:9" x14ac:dyDescent="0.3">
      <c r="I15305" s="101"/>
    </row>
    <row r="15306" spans="9:9" x14ac:dyDescent="0.3">
      <c r="I15306" s="101"/>
    </row>
    <row r="15307" spans="9:9" x14ac:dyDescent="0.3">
      <c r="I15307" s="101"/>
    </row>
    <row r="15308" spans="9:9" x14ac:dyDescent="0.3">
      <c r="I15308" s="101"/>
    </row>
    <row r="15309" spans="9:9" x14ac:dyDescent="0.3">
      <c r="I15309" s="101"/>
    </row>
    <row r="15310" spans="9:9" x14ac:dyDescent="0.3">
      <c r="I15310" s="101"/>
    </row>
    <row r="15311" spans="9:9" x14ac:dyDescent="0.3">
      <c r="I15311" s="101"/>
    </row>
    <row r="15312" spans="9:9" x14ac:dyDescent="0.3">
      <c r="I15312" s="101"/>
    </row>
    <row r="15313" spans="9:9" x14ac:dyDescent="0.3">
      <c r="I15313" s="101"/>
    </row>
    <row r="15314" spans="9:9" x14ac:dyDescent="0.3">
      <c r="I15314" s="101"/>
    </row>
    <row r="15315" spans="9:9" x14ac:dyDescent="0.3">
      <c r="I15315" s="101"/>
    </row>
    <row r="15316" spans="9:9" x14ac:dyDescent="0.3">
      <c r="I15316" s="101"/>
    </row>
    <row r="15317" spans="9:9" x14ac:dyDescent="0.3">
      <c r="I15317" s="101"/>
    </row>
    <row r="15318" spans="9:9" x14ac:dyDescent="0.3">
      <c r="I15318" s="101"/>
    </row>
    <row r="15319" spans="9:9" x14ac:dyDescent="0.3">
      <c r="I15319" s="101"/>
    </row>
    <row r="15320" spans="9:9" x14ac:dyDescent="0.3">
      <c r="I15320" s="101"/>
    </row>
    <row r="15321" spans="9:9" x14ac:dyDescent="0.3">
      <c r="I15321" s="101"/>
    </row>
    <row r="15322" spans="9:9" x14ac:dyDescent="0.3">
      <c r="I15322" s="101"/>
    </row>
    <row r="15323" spans="9:9" x14ac:dyDescent="0.3">
      <c r="I15323" s="101"/>
    </row>
    <row r="15324" spans="9:9" x14ac:dyDescent="0.3">
      <c r="I15324" s="101"/>
    </row>
    <row r="15325" spans="9:9" x14ac:dyDescent="0.3">
      <c r="I15325" s="101"/>
    </row>
    <row r="15326" spans="9:9" x14ac:dyDescent="0.3">
      <c r="I15326" s="101"/>
    </row>
    <row r="15327" spans="9:9" x14ac:dyDescent="0.3">
      <c r="I15327" s="101"/>
    </row>
    <row r="15328" spans="9:9" x14ac:dyDescent="0.3">
      <c r="I15328" s="101"/>
    </row>
    <row r="15329" spans="9:9" x14ac:dyDescent="0.3">
      <c r="I15329" s="101"/>
    </row>
    <row r="15330" spans="9:9" x14ac:dyDescent="0.3">
      <c r="I15330" s="101"/>
    </row>
    <row r="15331" spans="9:9" x14ac:dyDescent="0.3">
      <c r="I15331" s="101"/>
    </row>
    <row r="15332" spans="9:9" x14ac:dyDescent="0.3">
      <c r="I15332" s="101"/>
    </row>
    <row r="15333" spans="9:9" x14ac:dyDescent="0.3">
      <c r="I15333" s="101"/>
    </row>
    <row r="15334" spans="9:9" x14ac:dyDescent="0.3">
      <c r="I15334" s="101"/>
    </row>
    <row r="15335" spans="9:9" x14ac:dyDescent="0.3">
      <c r="I15335" s="101"/>
    </row>
    <row r="15336" spans="9:9" x14ac:dyDescent="0.3">
      <c r="I15336" s="101"/>
    </row>
    <row r="15337" spans="9:9" x14ac:dyDescent="0.3">
      <c r="I15337" s="101"/>
    </row>
    <row r="15338" spans="9:9" x14ac:dyDescent="0.3">
      <c r="I15338" s="101"/>
    </row>
    <row r="15339" spans="9:9" x14ac:dyDescent="0.3">
      <c r="I15339" s="101"/>
    </row>
    <row r="15340" spans="9:9" x14ac:dyDescent="0.3">
      <c r="I15340" s="101"/>
    </row>
    <row r="15341" spans="9:9" x14ac:dyDescent="0.3">
      <c r="I15341" s="101"/>
    </row>
    <row r="15342" spans="9:9" x14ac:dyDescent="0.3">
      <c r="I15342" s="101"/>
    </row>
    <row r="15343" spans="9:9" x14ac:dyDescent="0.3">
      <c r="I15343" s="101"/>
    </row>
    <row r="15344" spans="9:9" x14ac:dyDescent="0.3">
      <c r="I15344" s="101"/>
    </row>
    <row r="15345" spans="9:9" x14ac:dyDescent="0.3">
      <c r="I15345" s="101"/>
    </row>
    <row r="15346" spans="9:9" x14ac:dyDescent="0.3">
      <c r="I15346" s="101"/>
    </row>
    <row r="15347" spans="9:9" x14ac:dyDescent="0.3">
      <c r="I15347" s="101"/>
    </row>
    <row r="15348" spans="9:9" x14ac:dyDescent="0.3">
      <c r="I15348" s="101"/>
    </row>
    <row r="15349" spans="9:9" x14ac:dyDescent="0.3">
      <c r="I15349" s="101"/>
    </row>
    <row r="15350" spans="9:9" x14ac:dyDescent="0.3">
      <c r="I15350" s="101"/>
    </row>
    <row r="15351" spans="9:9" x14ac:dyDescent="0.3">
      <c r="I15351" s="101"/>
    </row>
    <row r="15352" spans="9:9" x14ac:dyDescent="0.3">
      <c r="I15352" s="101"/>
    </row>
    <row r="15353" spans="9:9" x14ac:dyDescent="0.3">
      <c r="I15353" s="101"/>
    </row>
    <row r="15354" spans="9:9" x14ac:dyDescent="0.3">
      <c r="I15354" s="101"/>
    </row>
    <row r="15355" spans="9:9" x14ac:dyDescent="0.3">
      <c r="I15355" s="101"/>
    </row>
    <row r="15356" spans="9:9" x14ac:dyDescent="0.3">
      <c r="I15356" s="101"/>
    </row>
    <row r="15357" spans="9:9" x14ac:dyDescent="0.3">
      <c r="I15357" s="101"/>
    </row>
    <row r="15358" spans="9:9" x14ac:dyDescent="0.3">
      <c r="I15358" s="101"/>
    </row>
    <row r="15359" spans="9:9" x14ac:dyDescent="0.3">
      <c r="I15359" s="101"/>
    </row>
    <row r="15360" spans="9:9" x14ac:dyDescent="0.3">
      <c r="I15360" s="101"/>
    </row>
    <row r="15361" spans="9:9" x14ac:dyDescent="0.3">
      <c r="I15361" s="101"/>
    </row>
    <row r="15362" spans="9:9" x14ac:dyDescent="0.3">
      <c r="I15362" s="101"/>
    </row>
    <row r="15363" spans="9:9" x14ac:dyDescent="0.3">
      <c r="I15363" s="101"/>
    </row>
    <row r="15364" spans="9:9" x14ac:dyDescent="0.3">
      <c r="I15364" s="101"/>
    </row>
    <row r="15365" spans="9:9" x14ac:dyDescent="0.3">
      <c r="I15365" s="101"/>
    </row>
    <row r="15366" spans="9:9" x14ac:dyDescent="0.3">
      <c r="I15366" s="101"/>
    </row>
    <row r="15367" spans="9:9" x14ac:dyDescent="0.3">
      <c r="I15367" s="101"/>
    </row>
    <row r="15368" spans="9:9" x14ac:dyDescent="0.3">
      <c r="I15368" s="101"/>
    </row>
    <row r="15369" spans="9:9" x14ac:dyDescent="0.3">
      <c r="I15369" s="101"/>
    </row>
    <row r="15370" spans="9:9" x14ac:dyDescent="0.3">
      <c r="I15370" s="101"/>
    </row>
    <row r="15371" spans="9:9" x14ac:dyDescent="0.3">
      <c r="I15371" s="101"/>
    </row>
    <row r="15372" spans="9:9" x14ac:dyDescent="0.3">
      <c r="I15372" s="101"/>
    </row>
    <row r="15373" spans="9:9" x14ac:dyDescent="0.3">
      <c r="I15373" s="101"/>
    </row>
    <row r="15374" spans="9:9" x14ac:dyDescent="0.3">
      <c r="I15374" s="101"/>
    </row>
    <row r="15375" spans="9:9" x14ac:dyDescent="0.3">
      <c r="I15375" s="101"/>
    </row>
    <row r="15376" spans="9:9" x14ac:dyDescent="0.3">
      <c r="I15376" s="101"/>
    </row>
    <row r="15377" spans="9:9" x14ac:dyDescent="0.3">
      <c r="I15377" s="101"/>
    </row>
    <row r="15378" spans="9:9" x14ac:dyDescent="0.3">
      <c r="I15378" s="101"/>
    </row>
    <row r="15379" spans="9:9" x14ac:dyDescent="0.3">
      <c r="I15379" s="101"/>
    </row>
    <row r="15380" spans="9:9" x14ac:dyDescent="0.3">
      <c r="I15380" s="101"/>
    </row>
    <row r="15381" spans="9:9" x14ac:dyDescent="0.3">
      <c r="I15381" s="101"/>
    </row>
    <row r="15382" spans="9:9" x14ac:dyDescent="0.3">
      <c r="I15382" s="101"/>
    </row>
    <row r="15383" spans="9:9" x14ac:dyDescent="0.3">
      <c r="I15383" s="101"/>
    </row>
    <row r="15384" spans="9:9" x14ac:dyDescent="0.3">
      <c r="I15384" s="101"/>
    </row>
    <row r="15385" spans="9:9" x14ac:dyDescent="0.3">
      <c r="I15385" s="101"/>
    </row>
    <row r="15386" spans="9:9" x14ac:dyDescent="0.3">
      <c r="I15386" s="101"/>
    </row>
    <row r="15387" spans="9:9" x14ac:dyDescent="0.3">
      <c r="I15387" s="101"/>
    </row>
    <row r="15388" spans="9:9" x14ac:dyDescent="0.3">
      <c r="I15388" s="101"/>
    </row>
    <row r="15389" spans="9:9" x14ac:dyDescent="0.3">
      <c r="I15389" s="101"/>
    </row>
    <row r="15390" spans="9:9" x14ac:dyDescent="0.3">
      <c r="I15390" s="101"/>
    </row>
    <row r="15391" spans="9:9" x14ac:dyDescent="0.3">
      <c r="I15391" s="101"/>
    </row>
    <row r="15392" spans="9:9" x14ac:dyDescent="0.3">
      <c r="I15392" s="101"/>
    </row>
    <row r="15393" spans="9:9" x14ac:dyDescent="0.3">
      <c r="I15393" s="101"/>
    </row>
    <row r="15394" spans="9:9" x14ac:dyDescent="0.3">
      <c r="I15394" s="101"/>
    </row>
    <row r="15395" spans="9:9" x14ac:dyDescent="0.3">
      <c r="I15395" s="101"/>
    </row>
    <row r="15396" spans="9:9" x14ac:dyDescent="0.3">
      <c r="I15396" s="101"/>
    </row>
    <row r="15397" spans="9:9" x14ac:dyDescent="0.3">
      <c r="I15397" s="101"/>
    </row>
    <row r="15398" spans="9:9" x14ac:dyDescent="0.3">
      <c r="I15398" s="101"/>
    </row>
    <row r="15399" spans="9:9" x14ac:dyDescent="0.3">
      <c r="I15399" s="101"/>
    </row>
    <row r="15400" spans="9:9" x14ac:dyDescent="0.3">
      <c r="I15400" s="101"/>
    </row>
    <row r="15401" spans="9:9" x14ac:dyDescent="0.3">
      <c r="I15401" s="101"/>
    </row>
    <row r="15402" spans="9:9" x14ac:dyDescent="0.3">
      <c r="I15402" s="101"/>
    </row>
    <row r="15403" spans="9:9" x14ac:dyDescent="0.3">
      <c r="I15403" s="101"/>
    </row>
    <row r="15404" spans="9:9" x14ac:dyDescent="0.3">
      <c r="I15404" s="101"/>
    </row>
    <row r="15405" spans="9:9" x14ac:dyDescent="0.3">
      <c r="I15405" s="101"/>
    </row>
    <row r="15406" spans="9:9" x14ac:dyDescent="0.3">
      <c r="I15406" s="101"/>
    </row>
    <row r="15407" spans="9:9" x14ac:dyDescent="0.3">
      <c r="I15407" s="101"/>
    </row>
    <row r="15408" spans="9:9" x14ac:dyDescent="0.3">
      <c r="I15408" s="101"/>
    </row>
    <row r="15409" spans="9:9" x14ac:dyDescent="0.3">
      <c r="I15409" s="101"/>
    </row>
    <row r="15410" spans="9:9" x14ac:dyDescent="0.3">
      <c r="I15410" s="101"/>
    </row>
    <row r="15411" spans="9:9" x14ac:dyDescent="0.3">
      <c r="I15411" s="101"/>
    </row>
    <row r="15412" spans="9:9" x14ac:dyDescent="0.3">
      <c r="I15412" s="101"/>
    </row>
    <row r="15413" spans="9:9" x14ac:dyDescent="0.3">
      <c r="I15413" s="101"/>
    </row>
    <row r="15414" spans="9:9" x14ac:dyDescent="0.3">
      <c r="I15414" s="101"/>
    </row>
    <row r="15415" spans="9:9" x14ac:dyDescent="0.3">
      <c r="I15415" s="101"/>
    </row>
    <row r="15416" spans="9:9" x14ac:dyDescent="0.3">
      <c r="I15416" s="101"/>
    </row>
    <row r="15417" spans="9:9" x14ac:dyDescent="0.3">
      <c r="I15417" s="101"/>
    </row>
    <row r="15418" spans="9:9" x14ac:dyDescent="0.3">
      <c r="I15418" s="101"/>
    </row>
    <row r="15419" spans="9:9" x14ac:dyDescent="0.3">
      <c r="I15419" s="101"/>
    </row>
    <row r="15420" spans="9:9" x14ac:dyDescent="0.3">
      <c r="I15420" s="101"/>
    </row>
    <row r="15421" spans="9:9" x14ac:dyDescent="0.3">
      <c r="I15421" s="101"/>
    </row>
    <row r="15422" spans="9:9" x14ac:dyDescent="0.3">
      <c r="I15422" s="101"/>
    </row>
    <row r="15423" spans="9:9" x14ac:dyDescent="0.3">
      <c r="I15423" s="101"/>
    </row>
    <row r="15424" spans="9:9" x14ac:dyDescent="0.3">
      <c r="I15424" s="101"/>
    </row>
    <row r="15425" spans="9:9" x14ac:dyDescent="0.3">
      <c r="I15425" s="101"/>
    </row>
    <row r="15426" spans="9:9" x14ac:dyDescent="0.3">
      <c r="I15426" s="101"/>
    </row>
    <row r="15427" spans="9:9" x14ac:dyDescent="0.3">
      <c r="I15427" s="101"/>
    </row>
    <row r="15428" spans="9:9" x14ac:dyDescent="0.3">
      <c r="I15428" s="101"/>
    </row>
    <row r="15429" spans="9:9" x14ac:dyDescent="0.3">
      <c r="I15429" s="101"/>
    </row>
    <row r="15430" spans="9:9" x14ac:dyDescent="0.3">
      <c r="I15430" s="101"/>
    </row>
    <row r="15431" spans="9:9" x14ac:dyDescent="0.3">
      <c r="I15431" s="101"/>
    </row>
    <row r="15432" spans="9:9" x14ac:dyDescent="0.3">
      <c r="I15432" s="101"/>
    </row>
    <row r="15433" spans="9:9" x14ac:dyDescent="0.3">
      <c r="I15433" s="101"/>
    </row>
    <row r="15434" spans="9:9" x14ac:dyDescent="0.3">
      <c r="I15434" s="101"/>
    </row>
    <row r="15435" spans="9:9" x14ac:dyDescent="0.3">
      <c r="I15435" s="101"/>
    </row>
    <row r="15436" spans="9:9" x14ac:dyDescent="0.3">
      <c r="I15436" s="101"/>
    </row>
    <row r="15437" spans="9:9" x14ac:dyDescent="0.3">
      <c r="I15437" s="101"/>
    </row>
    <row r="15438" spans="9:9" x14ac:dyDescent="0.3">
      <c r="I15438" s="101"/>
    </row>
    <row r="15439" spans="9:9" x14ac:dyDescent="0.3">
      <c r="I15439" s="101"/>
    </row>
    <row r="15440" spans="9:9" x14ac:dyDescent="0.3">
      <c r="I15440" s="101"/>
    </row>
    <row r="15441" spans="9:9" x14ac:dyDescent="0.3">
      <c r="I15441" s="101"/>
    </row>
    <row r="15442" spans="9:9" x14ac:dyDescent="0.3">
      <c r="I15442" s="101"/>
    </row>
    <row r="15443" spans="9:9" x14ac:dyDescent="0.3">
      <c r="I15443" s="101"/>
    </row>
    <row r="15444" spans="9:9" x14ac:dyDescent="0.3">
      <c r="I15444" s="101"/>
    </row>
    <row r="15445" spans="9:9" x14ac:dyDescent="0.3">
      <c r="I15445" s="101"/>
    </row>
    <row r="15446" spans="9:9" x14ac:dyDescent="0.3">
      <c r="I15446" s="101"/>
    </row>
    <row r="15447" spans="9:9" x14ac:dyDescent="0.3">
      <c r="I15447" s="101"/>
    </row>
    <row r="15448" spans="9:9" x14ac:dyDescent="0.3">
      <c r="I15448" s="101"/>
    </row>
    <row r="15449" spans="9:9" x14ac:dyDescent="0.3">
      <c r="I15449" s="101"/>
    </row>
    <row r="15450" spans="9:9" x14ac:dyDescent="0.3">
      <c r="I15450" s="101"/>
    </row>
    <row r="15451" spans="9:9" x14ac:dyDescent="0.3">
      <c r="I15451" s="101"/>
    </row>
    <row r="15452" spans="9:9" x14ac:dyDescent="0.3">
      <c r="I15452" s="101"/>
    </row>
    <row r="15453" spans="9:9" x14ac:dyDescent="0.3">
      <c r="I15453" s="101"/>
    </row>
    <row r="15454" spans="9:9" x14ac:dyDescent="0.3">
      <c r="I15454" s="101"/>
    </row>
    <row r="15455" spans="9:9" x14ac:dyDescent="0.3">
      <c r="I15455" s="101"/>
    </row>
    <row r="15456" spans="9:9" x14ac:dyDescent="0.3">
      <c r="I15456" s="101"/>
    </row>
    <row r="15457" spans="9:9" x14ac:dyDescent="0.3">
      <c r="I15457" s="101"/>
    </row>
    <row r="15458" spans="9:9" x14ac:dyDescent="0.3">
      <c r="I15458" s="101"/>
    </row>
    <row r="15459" spans="9:9" x14ac:dyDescent="0.3">
      <c r="I15459" s="101"/>
    </row>
    <row r="15460" spans="9:9" x14ac:dyDescent="0.3">
      <c r="I15460" s="101"/>
    </row>
    <row r="15461" spans="9:9" x14ac:dyDescent="0.3">
      <c r="I15461" s="101"/>
    </row>
    <row r="15462" spans="9:9" x14ac:dyDescent="0.3">
      <c r="I15462" s="101"/>
    </row>
    <row r="15463" spans="9:9" x14ac:dyDescent="0.3">
      <c r="I15463" s="101"/>
    </row>
    <row r="15464" spans="9:9" x14ac:dyDescent="0.3">
      <c r="I15464" s="101"/>
    </row>
    <row r="15465" spans="9:9" x14ac:dyDescent="0.3">
      <c r="I15465" s="101"/>
    </row>
    <row r="15466" spans="9:9" x14ac:dyDescent="0.3">
      <c r="I15466" s="101"/>
    </row>
    <row r="15467" spans="9:9" x14ac:dyDescent="0.3">
      <c r="I15467" s="101"/>
    </row>
    <row r="15468" spans="9:9" x14ac:dyDescent="0.3">
      <c r="I15468" s="101"/>
    </row>
    <row r="15469" spans="9:9" x14ac:dyDescent="0.3">
      <c r="I15469" s="101"/>
    </row>
    <row r="15470" spans="9:9" x14ac:dyDescent="0.3">
      <c r="I15470" s="101"/>
    </row>
    <row r="15471" spans="9:9" x14ac:dyDescent="0.3">
      <c r="I15471" s="101"/>
    </row>
    <row r="15472" spans="9:9" x14ac:dyDescent="0.3">
      <c r="I15472" s="101"/>
    </row>
    <row r="15473" spans="9:9" x14ac:dyDescent="0.3">
      <c r="I15473" s="101"/>
    </row>
    <row r="15474" spans="9:9" x14ac:dyDescent="0.3">
      <c r="I15474" s="101"/>
    </row>
    <row r="15475" spans="9:9" x14ac:dyDescent="0.3">
      <c r="I15475" s="101"/>
    </row>
    <row r="15476" spans="9:9" x14ac:dyDescent="0.3">
      <c r="I15476" s="101"/>
    </row>
    <row r="15477" spans="9:9" x14ac:dyDescent="0.3">
      <c r="I15477" s="101"/>
    </row>
    <row r="15478" spans="9:9" x14ac:dyDescent="0.3">
      <c r="I15478" s="101"/>
    </row>
    <row r="15479" spans="9:9" x14ac:dyDescent="0.3">
      <c r="I15479" s="101"/>
    </row>
    <row r="15480" spans="9:9" x14ac:dyDescent="0.3">
      <c r="I15480" s="101"/>
    </row>
    <row r="15481" spans="9:9" x14ac:dyDescent="0.3">
      <c r="I15481" s="101"/>
    </row>
    <row r="15482" spans="9:9" x14ac:dyDescent="0.3">
      <c r="I15482" s="101"/>
    </row>
    <row r="15483" spans="9:9" x14ac:dyDescent="0.3">
      <c r="I15483" s="101"/>
    </row>
    <row r="15484" spans="9:9" x14ac:dyDescent="0.3">
      <c r="I15484" s="101"/>
    </row>
    <row r="15485" spans="9:9" x14ac:dyDescent="0.3">
      <c r="I15485" s="101"/>
    </row>
    <row r="15486" spans="9:9" x14ac:dyDescent="0.3">
      <c r="I15486" s="101"/>
    </row>
    <row r="15487" spans="9:9" x14ac:dyDescent="0.3">
      <c r="I15487" s="101"/>
    </row>
    <row r="15488" spans="9:9" x14ac:dyDescent="0.3">
      <c r="I15488" s="101"/>
    </row>
    <row r="15489" spans="9:9" x14ac:dyDescent="0.3">
      <c r="I15489" s="101"/>
    </row>
    <row r="15490" spans="9:9" x14ac:dyDescent="0.3">
      <c r="I15490" s="101"/>
    </row>
    <row r="15491" spans="9:9" x14ac:dyDescent="0.3">
      <c r="I15491" s="101"/>
    </row>
    <row r="15492" spans="9:9" x14ac:dyDescent="0.3">
      <c r="I15492" s="101"/>
    </row>
    <row r="15493" spans="9:9" x14ac:dyDescent="0.3">
      <c r="I15493" s="101"/>
    </row>
    <row r="15494" spans="9:9" x14ac:dyDescent="0.3">
      <c r="I15494" s="101"/>
    </row>
    <row r="15495" spans="9:9" x14ac:dyDescent="0.3">
      <c r="I15495" s="101"/>
    </row>
    <row r="15496" spans="9:9" x14ac:dyDescent="0.3">
      <c r="I15496" s="101"/>
    </row>
    <row r="15497" spans="9:9" x14ac:dyDescent="0.3">
      <c r="I15497" s="101"/>
    </row>
    <row r="15498" spans="9:9" x14ac:dyDescent="0.3">
      <c r="I15498" s="101"/>
    </row>
    <row r="15499" spans="9:9" x14ac:dyDescent="0.3">
      <c r="I15499" s="101"/>
    </row>
    <row r="15500" spans="9:9" x14ac:dyDescent="0.3">
      <c r="I15500" s="101"/>
    </row>
    <row r="15501" spans="9:9" x14ac:dyDescent="0.3">
      <c r="I15501" s="101"/>
    </row>
    <row r="15502" spans="9:9" x14ac:dyDescent="0.3">
      <c r="I15502" s="101"/>
    </row>
    <row r="15503" spans="9:9" x14ac:dyDescent="0.3">
      <c r="I15503" s="101"/>
    </row>
    <row r="15504" spans="9:9" x14ac:dyDescent="0.3">
      <c r="I15504" s="101"/>
    </row>
    <row r="15505" spans="9:9" x14ac:dyDescent="0.3">
      <c r="I15505" s="101"/>
    </row>
    <row r="15506" spans="9:9" x14ac:dyDescent="0.3">
      <c r="I15506" s="101"/>
    </row>
    <row r="15507" spans="9:9" x14ac:dyDescent="0.3">
      <c r="I15507" s="101"/>
    </row>
    <row r="15508" spans="9:9" x14ac:dyDescent="0.3">
      <c r="I15508" s="101"/>
    </row>
    <row r="15509" spans="9:9" x14ac:dyDescent="0.3">
      <c r="I15509" s="101"/>
    </row>
    <row r="15510" spans="9:9" x14ac:dyDescent="0.3">
      <c r="I15510" s="101"/>
    </row>
    <row r="15511" spans="9:9" x14ac:dyDescent="0.3">
      <c r="I15511" s="101"/>
    </row>
    <row r="15512" spans="9:9" x14ac:dyDescent="0.3">
      <c r="I15512" s="101"/>
    </row>
    <row r="15513" spans="9:9" x14ac:dyDescent="0.3">
      <c r="I15513" s="101"/>
    </row>
    <row r="15514" spans="9:9" x14ac:dyDescent="0.3">
      <c r="I15514" s="101"/>
    </row>
    <row r="15515" spans="9:9" x14ac:dyDescent="0.3">
      <c r="I15515" s="101"/>
    </row>
    <row r="15516" spans="9:9" x14ac:dyDescent="0.3">
      <c r="I15516" s="101"/>
    </row>
    <row r="15517" spans="9:9" x14ac:dyDescent="0.3">
      <c r="I15517" s="101"/>
    </row>
    <row r="15518" spans="9:9" x14ac:dyDescent="0.3">
      <c r="I15518" s="101"/>
    </row>
    <row r="15519" spans="9:9" x14ac:dyDescent="0.3">
      <c r="I15519" s="101"/>
    </row>
    <row r="15520" spans="9:9" x14ac:dyDescent="0.3">
      <c r="I15520" s="101"/>
    </row>
    <row r="15521" spans="9:9" x14ac:dyDescent="0.3">
      <c r="I15521" s="101"/>
    </row>
    <row r="15522" spans="9:9" x14ac:dyDescent="0.3">
      <c r="I15522" s="101"/>
    </row>
    <row r="15523" spans="9:9" x14ac:dyDescent="0.3">
      <c r="I15523" s="101"/>
    </row>
    <row r="15524" spans="9:9" x14ac:dyDescent="0.3">
      <c r="I15524" s="101"/>
    </row>
    <row r="15525" spans="9:9" x14ac:dyDescent="0.3">
      <c r="I15525" s="101"/>
    </row>
    <row r="15526" spans="9:9" x14ac:dyDescent="0.3">
      <c r="I15526" s="101"/>
    </row>
    <row r="15527" spans="9:9" x14ac:dyDescent="0.3">
      <c r="I15527" s="101"/>
    </row>
    <row r="15528" spans="9:9" x14ac:dyDescent="0.3">
      <c r="I15528" s="101"/>
    </row>
    <row r="15529" spans="9:9" x14ac:dyDescent="0.3">
      <c r="I15529" s="101"/>
    </row>
    <row r="15530" spans="9:9" x14ac:dyDescent="0.3">
      <c r="I15530" s="101"/>
    </row>
    <row r="15531" spans="9:9" x14ac:dyDescent="0.3">
      <c r="I15531" s="101"/>
    </row>
    <row r="15532" spans="9:9" x14ac:dyDescent="0.3">
      <c r="I15532" s="101"/>
    </row>
    <row r="15533" spans="9:9" x14ac:dyDescent="0.3">
      <c r="I15533" s="101"/>
    </row>
    <row r="15534" spans="9:9" x14ac:dyDescent="0.3">
      <c r="I15534" s="101"/>
    </row>
    <row r="15535" spans="9:9" x14ac:dyDescent="0.3">
      <c r="I15535" s="101"/>
    </row>
    <row r="15536" spans="9:9" x14ac:dyDescent="0.3">
      <c r="I15536" s="101"/>
    </row>
    <row r="15537" spans="9:9" x14ac:dyDescent="0.3">
      <c r="I15537" s="101"/>
    </row>
    <row r="15538" spans="9:9" x14ac:dyDescent="0.3">
      <c r="I15538" s="101"/>
    </row>
    <row r="15539" spans="9:9" x14ac:dyDescent="0.3">
      <c r="I15539" s="101"/>
    </row>
    <row r="15540" spans="9:9" x14ac:dyDescent="0.3">
      <c r="I15540" s="101"/>
    </row>
    <row r="15541" spans="9:9" x14ac:dyDescent="0.3">
      <c r="I15541" s="101"/>
    </row>
    <row r="15542" spans="9:9" x14ac:dyDescent="0.3">
      <c r="I15542" s="101"/>
    </row>
    <row r="15543" spans="9:9" x14ac:dyDescent="0.3">
      <c r="I15543" s="101"/>
    </row>
    <row r="15544" spans="9:9" x14ac:dyDescent="0.3">
      <c r="I15544" s="101"/>
    </row>
    <row r="15545" spans="9:9" x14ac:dyDescent="0.3">
      <c r="I15545" s="101"/>
    </row>
    <row r="15546" spans="9:9" x14ac:dyDescent="0.3">
      <c r="I15546" s="101"/>
    </row>
    <row r="15547" spans="9:9" x14ac:dyDescent="0.3">
      <c r="I15547" s="101"/>
    </row>
    <row r="15548" spans="9:9" x14ac:dyDescent="0.3">
      <c r="I15548" s="101"/>
    </row>
    <row r="15549" spans="9:9" x14ac:dyDescent="0.3">
      <c r="I15549" s="101"/>
    </row>
    <row r="15550" spans="9:9" x14ac:dyDescent="0.3">
      <c r="I15550" s="101"/>
    </row>
    <row r="15551" spans="9:9" x14ac:dyDescent="0.3">
      <c r="I15551" s="101"/>
    </row>
    <row r="15552" spans="9:9" x14ac:dyDescent="0.3">
      <c r="I15552" s="101"/>
    </row>
    <row r="15553" spans="9:9" x14ac:dyDescent="0.3">
      <c r="I15553" s="101"/>
    </row>
    <row r="15554" spans="9:9" x14ac:dyDescent="0.3">
      <c r="I15554" s="101"/>
    </row>
    <row r="15555" spans="9:9" x14ac:dyDescent="0.3">
      <c r="I15555" s="101"/>
    </row>
    <row r="15556" spans="9:9" x14ac:dyDescent="0.3">
      <c r="I15556" s="101"/>
    </row>
    <row r="15557" spans="9:9" x14ac:dyDescent="0.3">
      <c r="I15557" s="101"/>
    </row>
    <row r="15558" spans="9:9" x14ac:dyDescent="0.3">
      <c r="I15558" s="101"/>
    </row>
    <row r="15559" spans="9:9" x14ac:dyDescent="0.3">
      <c r="I15559" s="101"/>
    </row>
    <row r="15560" spans="9:9" x14ac:dyDescent="0.3">
      <c r="I15560" s="101"/>
    </row>
    <row r="15561" spans="9:9" x14ac:dyDescent="0.3">
      <c r="I15561" s="101"/>
    </row>
    <row r="15562" spans="9:9" x14ac:dyDescent="0.3">
      <c r="I15562" s="101"/>
    </row>
    <row r="15563" spans="9:9" x14ac:dyDescent="0.3">
      <c r="I15563" s="101"/>
    </row>
    <row r="15564" spans="9:9" x14ac:dyDescent="0.3">
      <c r="I15564" s="101"/>
    </row>
    <row r="15565" spans="9:9" x14ac:dyDescent="0.3">
      <c r="I15565" s="101"/>
    </row>
    <row r="15566" spans="9:9" x14ac:dyDescent="0.3">
      <c r="I15566" s="101"/>
    </row>
    <row r="15567" spans="9:9" x14ac:dyDescent="0.3">
      <c r="I15567" s="101"/>
    </row>
    <row r="15568" spans="9:9" x14ac:dyDescent="0.3">
      <c r="I15568" s="101"/>
    </row>
    <row r="15569" spans="9:9" x14ac:dyDescent="0.3">
      <c r="I15569" s="101"/>
    </row>
    <row r="15570" spans="9:9" x14ac:dyDescent="0.3">
      <c r="I15570" s="101"/>
    </row>
    <row r="15571" spans="9:9" x14ac:dyDescent="0.3">
      <c r="I15571" s="101"/>
    </row>
    <row r="15572" spans="9:9" x14ac:dyDescent="0.3">
      <c r="I15572" s="101"/>
    </row>
    <row r="15573" spans="9:9" x14ac:dyDescent="0.3">
      <c r="I15573" s="101"/>
    </row>
    <row r="15574" spans="9:9" x14ac:dyDescent="0.3">
      <c r="I15574" s="101"/>
    </row>
    <row r="15575" spans="9:9" x14ac:dyDescent="0.3">
      <c r="I15575" s="101"/>
    </row>
    <row r="15576" spans="9:9" x14ac:dyDescent="0.3">
      <c r="I15576" s="101"/>
    </row>
    <row r="15577" spans="9:9" x14ac:dyDescent="0.3">
      <c r="I15577" s="101"/>
    </row>
    <row r="15578" spans="9:9" x14ac:dyDescent="0.3">
      <c r="I15578" s="101"/>
    </row>
    <row r="15579" spans="9:9" x14ac:dyDescent="0.3">
      <c r="I15579" s="101"/>
    </row>
    <row r="15580" spans="9:9" x14ac:dyDescent="0.3">
      <c r="I15580" s="101"/>
    </row>
    <row r="15581" spans="9:9" x14ac:dyDescent="0.3">
      <c r="I15581" s="101"/>
    </row>
    <row r="15582" spans="9:9" x14ac:dyDescent="0.3">
      <c r="I15582" s="101"/>
    </row>
    <row r="15583" spans="9:9" x14ac:dyDescent="0.3">
      <c r="I15583" s="101"/>
    </row>
    <row r="15584" spans="9:9" x14ac:dyDescent="0.3">
      <c r="I15584" s="101"/>
    </row>
    <row r="15585" spans="9:9" x14ac:dyDescent="0.3">
      <c r="I15585" s="101"/>
    </row>
    <row r="15586" spans="9:9" x14ac:dyDescent="0.3">
      <c r="I15586" s="101"/>
    </row>
    <row r="15587" spans="9:9" x14ac:dyDescent="0.3">
      <c r="I15587" s="101"/>
    </row>
    <row r="15588" spans="9:9" x14ac:dyDescent="0.3">
      <c r="I15588" s="101"/>
    </row>
    <row r="15589" spans="9:9" x14ac:dyDescent="0.3">
      <c r="I15589" s="101"/>
    </row>
    <row r="15590" spans="9:9" x14ac:dyDescent="0.3">
      <c r="I15590" s="101"/>
    </row>
    <row r="15591" spans="9:9" x14ac:dyDescent="0.3">
      <c r="I15591" s="101"/>
    </row>
    <row r="15592" spans="9:9" x14ac:dyDescent="0.3">
      <c r="I15592" s="101"/>
    </row>
    <row r="15593" spans="9:9" x14ac:dyDescent="0.3">
      <c r="I15593" s="101"/>
    </row>
    <row r="15594" spans="9:9" x14ac:dyDescent="0.3">
      <c r="I15594" s="101"/>
    </row>
    <row r="15595" spans="9:9" x14ac:dyDescent="0.3">
      <c r="I15595" s="101"/>
    </row>
    <row r="15596" spans="9:9" x14ac:dyDescent="0.3">
      <c r="I15596" s="101"/>
    </row>
    <row r="15597" spans="9:9" x14ac:dyDescent="0.3">
      <c r="I15597" s="101"/>
    </row>
    <row r="15598" spans="9:9" x14ac:dyDescent="0.3">
      <c r="I15598" s="101"/>
    </row>
    <row r="15599" spans="9:9" x14ac:dyDescent="0.3">
      <c r="I15599" s="101"/>
    </row>
    <row r="15600" spans="9:9" x14ac:dyDescent="0.3">
      <c r="I15600" s="101"/>
    </row>
    <row r="15601" spans="9:9" x14ac:dyDescent="0.3">
      <c r="I15601" s="101"/>
    </row>
    <row r="15602" spans="9:9" x14ac:dyDescent="0.3">
      <c r="I15602" s="101"/>
    </row>
    <row r="15603" spans="9:9" x14ac:dyDescent="0.3">
      <c r="I15603" s="101"/>
    </row>
    <row r="15604" spans="9:9" x14ac:dyDescent="0.3">
      <c r="I15604" s="101"/>
    </row>
    <row r="15605" spans="9:9" x14ac:dyDescent="0.3">
      <c r="I15605" s="101"/>
    </row>
    <row r="15606" spans="9:9" x14ac:dyDescent="0.3">
      <c r="I15606" s="101"/>
    </row>
    <row r="15607" spans="9:9" x14ac:dyDescent="0.3">
      <c r="I15607" s="101"/>
    </row>
    <row r="15608" spans="9:9" x14ac:dyDescent="0.3">
      <c r="I15608" s="101"/>
    </row>
    <row r="15609" spans="9:9" x14ac:dyDescent="0.3">
      <c r="I15609" s="101"/>
    </row>
    <row r="15610" spans="9:9" x14ac:dyDescent="0.3">
      <c r="I15610" s="101"/>
    </row>
    <row r="15611" spans="9:9" x14ac:dyDescent="0.3">
      <c r="I15611" s="101"/>
    </row>
    <row r="15612" spans="9:9" x14ac:dyDescent="0.3">
      <c r="I15612" s="101"/>
    </row>
    <row r="15613" spans="9:9" x14ac:dyDescent="0.3">
      <c r="I15613" s="101"/>
    </row>
    <row r="15614" spans="9:9" x14ac:dyDescent="0.3">
      <c r="I15614" s="101"/>
    </row>
    <row r="15615" spans="9:9" x14ac:dyDescent="0.3">
      <c r="I15615" s="101"/>
    </row>
    <row r="15616" spans="9:9" x14ac:dyDescent="0.3">
      <c r="I15616" s="101"/>
    </row>
    <row r="15617" spans="9:9" x14ac:dyDescent="0.3">
      <c r="I15617" s="101"/>
    </row>
    <row r="15618" spans="9:9" x14ac:dyDescent="0.3">
      <c r="I15618" s="101"/>
    </row>
    <row r="15619" spans="9:9" x14ac:dyDescent="0.3">
      <c r="I15619" s="101"/>
    </row>
    <row r="15620" spans="9:9" x14ac:dyDescent="0.3">
      <c r="I15620" s="101"/>
    </row>
    <row r="15621" spans="9:9" x14ac:dyDescent="0.3">
      <c r="I15621" s="101"/>
    </row>
    <row r="15622" spans="9:9" x14ac:dyDescent="0.3">
      <c r="I15622" s="101"/>
    </row>
    <row r="15623" spans="9:9" x14ac:dyDescent="0.3">
      <c r="I15623" s="101"/>
    </row>
    <row r="15624" spans="9:9" x14ac:dyDescent="0.3">
      <c r="I15624" s="101"/>
    </row>
    <row r="15625" spans="9:9" x14ac:dyDescent="0.3">
      <c r="I15625" s="101"/>
    </row>
    <row r="15626" spans="9:9" x14ac:dyDescent="0.3">
      <c r="I15626" s="101"/>
    </row>
    <row r="15627" spans="9:9" x14ac:dyDescent="0.3">
      <c r="I15627" s="101"/>
    </row>
    <row r="15628" spans="9:9" x14ac:dyDescent="0.3">
      <c r="I15628" s="101"/>
    </row>
    <row r="15629" spans="9:9" x14ac:dyDescent="0.3">
      <c r="I15629" s="101"/>
    </row>
    <row r="15630" spans="9:9" x14ac:dyDescent="0.3">
      <c r="I15630" s="101"/>
    </row>
    <row r="15631" spans="9:9" x14ac:dyDescent="0.3">
      <c r="I15631" s="101"/>
    </row>
    <row r="15632" spans="9:9" x14ac:dyDescent="0.3">
      <c r="I15632" s="101"/>
    </row>
    <row r="15633" spans="9:9" x14ac:dyDescent="0.3">
      <c r="I15633" s="101"/>
    </row>
    <row r="15634" spans="9:9" x14ac:dyDescent="0.3">
      <c r="I15634" s="101"/>
    </row>
    <row r="15635" spans="9:9" x14ac:dyDescent="0.3">
      <c r="I15635" s="101"/>
    </row>
    <row r="15636" spans="9:9" x14ac:dyDescent="0.3">
      <c r="I15636" s="101"/>
    </row>
    <row r="15637" spans="9:9" x14ac:dyDescent="0.3">
      <c r="I15637" s="101"/>
    </row>
    <row r="15638" spans="9:9" x14ac:dyDescent="0.3">
      <c r="I15638" s="101"/>
    </row>
    <row r="15639" spans="9:9" x14ac:dyDescent="0.3">
      <c r="I15639" s="101"/>
    </row>
    <row r="15640" spans="9:9" x14ac:dyDescent="0.3">
      <c r="I15640" s="101"/>
    </row>
    <row r="15641" spans="9:9" x14ac:dyDescent="0.3">
      <c r="I15641" s="101"/>
    </row>
    <row r="15642" spans="9:9" x14ac:dyDescent="0.3">
      <c r="I15642" s="101"/>
    </row>
    <row r="15643" spans="9:9" x14ac:dyDescent="0.3">
      <c r="I15643" s="101"/>
    </row>
    <row r="15644" spans="9:9" x14ac:dyDescent="0.3">
      <c r="I15644" s="101"/>
    </row>
    <row r="15645" spans="9:9" x14ac:dyDescent="0.3">
      <c r="I15645" s="101"/>
    </row>
    <row r="15646" spans="9:9" x14ac:dyDescent="0.3">
      <c r="I15646" s="101"/>
    </row>
    <row r="15647" spans="9:9" x14ac:dyDescent="0.3">
      <c r="I15647" s="101"/>
    </row>
    <row r="15648" spans="9:9" x14ac:dyDescent="0.3">
      <c r="I15648" s="101"/>
    </row>
    <row r="15649" spans="9:9" x14ac:dyDescent="0.3">
      <c r="I15649" s="101"/>
    </row>
    <row r="15650" spans="9:9" x14ac:dyDescent="0.3">
      <c r="I15650" s="101"/>
    </row>
    <row r="15651" spans="9:9" x14ac:dyDescent="0.3">
      <c r="I15651" s="101"/>
    </row>
    <row r="15652" spans="9:9" x14ac:dyDescent="0.3">
      <c r="I15652" s="101"/>
    </row>
    <row r="15653" spans="9:9" x14ac:dyDescent="0.3">
      <c r="I15653" s="101"/>
    </row>
    <row r="15654" spans="9:9" x14ac:dyDescent="0.3">
      <c r="I15654" s="101"/>
    </row>
    <row r="15655" spans="9:9" x14ac:dyDescent="0.3">
      <c r="I15655" s="101"/>
    </row>
    <row r="15656" spans="9:9" x14ac:dyDescent="0.3">
      <c r="I15656" s="101"/>
    </row>
    <row r="15657" spans="9:9" x14ac:dyDescent="0.3">
      <c r="I15657" s="101"/>
    </row>
    <row r="15658" spans="9:9" x14ac:dyDescent="0.3">
      <c r="I15658" s="101"/>
    </row>
    <row r="15659" spans="9:9" x14ac:dyDescent="0.3">
      <c r="I15659" s="101"/>
    </row>
    <row r="15660" spans="9:9" x14ac:dyDescent="0.3">
      <c r="I15660" s="101"/>
    </row>
    <row r="15661" spans="9:9" x14ac:dyDescent="0.3">
      <c r="I15661" s="101"/>
    </row>
    <row r="15662" spans="9:9" x14ac:dyDescent="0.3">
      <c r="I15662" s="101"/>
    </row>
    <row r="15663" spans="9:9" x14ac:dyDescent="0.3">
      <c r="I15663" s="101"/>
    </row>
    <row r="15664" spans="9:9" x14ac:dyDescent="0.3">
      <c r="I15664" s="101"/>
    </row>
    <row r="15665" spans="9:9" x14ac:dyDescent="0.3">
      <c r="I15665" s="101"/>
    </row>
    <row r="15666" spans="9:9" x14ac:dyDescent="0.3">
      <c r="I15666" s="101"/>
    </row>
    <row r="15667" spans="9:9" x14ac:dyDescent="0.3">
      <c r="I15667" s="101"/>
    </row>
    <row r="15668" spans="9:9" x14ac:dyDescent="0.3">
      <c r="I15668" s="101"/>
    </row>
    <row r="15669" spans="9:9" x14ac:dyDescent="0.3">
      <c r="I15669" s="101"/>
    </row>
    <row r="15670" spans="9:9" x14ac:dyDescent="0.3">
      <c r="I15670" s="101"/>
    </row>
    <row r="15671" spans="9:9" x14ac:dyDescent="0.3">
      <c r="I15671" s="101"/>
    </row>
    <row r="15672" spans="9:9" x14ac:dyDescent="0.3">
      <c r="I15672" s="101"/>
    </row>
    <row r="15673" spans="9:9" x14ac:dyDescent="0.3">
      <c r="I15673" s="101"/>
    </row>
    <row r="15674" spans="9:9" x14ac:dyDescent="0.3">
      <c r="I15674" s="101"/>
    </row>
    <row r="15675" spans="9:9" x14ac:dyDescent="0.3">
      <c r="I15675" s="101"/>
    </row>
    <row r="15676" spans="9:9" x14ac:dyDescent="0.3">
      <c r="I15676" s="101"/>
    </row>
    <row r="15677" spans="9:9" x14ac:dyDescent="0.3">
      <c r="I15677" s="101"/>
    </row>
    <row r="15678" spans="9:9" x14ac:dyDescent="0.3">
      <c r="I15678" s="101"/>
    </row>
    <row r="15679" spans="9:9" x14ac:dyDescent="0.3">
      <c r="I15679" s="101"/>
    </row>
    <row r="15680" spans="9:9" x14ac:dyDescent="0.3">
      <c r="I15680" s="101"/>
    </row>
    <row r="15681" spans="9:9" x14ac:dyDescent="0.3">
      <c r="I15681" s="101"/>
    </row>
    <row r="15682" spans="9:9" x14ac:dyDescent="0.3">
      <c r="I15682" s="101"/>
    </row>
    <row r="15683" spans="9:9" x14ac:dyDescent="0.3">
      <c r="I15683" s="101"/>
    </row>
    <row r="15684" spans="9:9" x14ac:dyDescent="0.3">
      <c r="I15684" s="101"/>
    </row>
    <row r="15685" spans="9:9" x14ac:dyDescent="0.3">
      <c r="I15685" s="101"/>
    </row>
    <row r="15686" spans="9:9" x14ac:dyDescent="0.3">
      <c r="I15686" s="101"/>
    </row>
    <row r="15687" spans="9:9" x14ac:dyDescent="0.3">
      <c r="I15687" s="101"/>
    </row>
    <row r="15688" spans="9:9" x14ac:dyDescent="0.3">
      <c r="I15688" s="101"/>
    </row>
    <row r="15689" spans="9:9" x14ac:dyDescent="0.3">
      <c r="I15689" s="101"/>
    </row>
    <row r="15690" spans="9:9" x14ac:dyDescent="0.3">
      <c r="I15690" s="101"/>
    </row>
    <row r="15691" spans="9:9" x14ac:dyDescent="0.3">
      <c r="I15691" s="101"/>
    </row>
    <row r="15692" spans="9:9" x14ac:dyDescent="0.3">
      <c r="I15692" s="101"/>
    </row>
    <row r="15693" spans="9:9" x14ac:dyDescent="0.3">
      <c r="I15693" s="101"/>
    </row>
    <row r="15694" spans="9:9" x14ac:dyDescent="0.3">
      <c r="I15694" s="101"/>
    </row>
    <row r="15695" spans="9:9" x14ac:dyDescent="0.3">
      <c r="I15695" s="101"/>
    </row>
    <row r="15696" spans="9:9" x14ac:dyDescent="0.3">
      <c r="I15696" s="101"/>
    </row>
    <row r="15697" spans="9:9" x14ac:dyDescent="0.3">
      <c r="I15697" s="101"/>
    </row>
    <row r="15698" spans="9:9" x14ac:dyDescent="0.3">
      <c r="I15698" s="101"/>
    </row>
    <row r="15699" spans="9:9" x14ac:dyDescent="0.3">
      <c r="I15699" s="101"/>
    </row>
    <row r="15700" spans="9:9" x14ac:dyDescent="0.3">
      <c r="I15700" s="101"/>
    </row>
    <row r="15701" spans="9:9" x14ac:dyDescent="0.3">
      <c r="I15701" s="101"/>
    </row>
    <row r="15702" spans="9:9" x14ac:dyDescent="0.3">
      <c r="I15702" s="101"/>
    </row>
    <row r="15703" spans="9:9" x14ac:dyDescent="0.3">
      <c r="I15703" s="101"/>
    </row>
    <row r="15704" spans="9:9" x14ac:dyDescent="0.3">
      <c r="I15704" s="101"/>
    </row>
    <row r="15705" spans="9:9" x14ac:dyDescent="0.3">
      <c r="I15705" s="101"/>
    </row>
    <row r="15706" spans="9:9" x14ac:dyDescent="0.3">
      <c r="I15706" s="101"/>
    </row>
    <row r="15707" spans="9:9" x14ac:dyDescent="0.3">
      <c r="I15707" s="101"/>
    </row>
    <row r="15708" spans="9:9" x14ac:dyDescent="0.3">
      <c r="I15708" s="101"/>
    </row>
    <row r="15709" spans="9:9" x14ac:dyDescent="0.3">
      <c r="I15709" s="101"/>
    </row>
    <row r="15710" spans="9:9" x14ac:dyDescent="0.3">
      <c r="I15710" s="101"/>
    </row>
    <row r="15711" spans="9:9" x14ac:dyDescent="0.3">
      <c r="I15711" s="101"/>
    </row>
    <row r="15712" spans="9:9" x14ac:dyDescent="0.3">
      <c r="I15712" s="101"/>
    </row>
    <row r="15713" spans="9:9" x14ac:dyDescent="0.3">
      <c r="I15713" s="101"/>
    </row>
    <row r="15714" spans="9:9" x14ac:dyDescent="0.3">
      <c r="I15714" s="101"/>
    </row>
    <row r="15715" spans="9:9" x14ac:dyDescent="0.3">
      <c r="I15715" s="101"/>
    </row>
    <row r="15716" spans="9:9" x14ac:dyDescent="0.3">
      <c r="I15716" s="101"/>
    </row>
    <row r="15717" spans="9:9" x14ac:dyDescent="0.3">
      <c r="I15717" s="101"/>
    </row>
    <row r="15718" spans="9:9" x14ac:dyDescent="0.3">
      <c r="I15718" s="101"/>
    </row>
    <row r="15719" spans="9:9" x14ac:dyDescent="0.3">
      <c r="I15719" s="101"/>
    </row>
    <row r="15720" spans="9:9" x14ac:dyDescent="0.3">
      <c r="I15720" s="101"/>
    </row>
    <row r="15721" spans="9:9" x14ac:dyDescent="0.3">
      <c r="I15721" s="101"/>
    </row>
    <row r="15722" spans="9:9" x14ac:dyDescent="0.3">
      <c r="I15722" s="101"/>
    </row>
    <row r="15723" spans="9:9" x14ac:dyDescent="0.3">
      <c r="I15723" s="101"/>
    </row>
    <row r="15724" spans="9:9" x14ac:dyDescent="0.3">
      <c r="I15724" s="101"/>
    </row>
    <row r="15725" spans="9:9" x14ac:dyDescent="0.3">
      <c r="I15725" s="101"/>
    </row>
    <row r="15726" spans="9:9" x14ac:dyDescent="0.3">
      <c r="I15726" s="101"/>
    </row>
    <row r="15727" spans="9:9" x14ac:dyDescent="0.3">
      <c r="I15727" s="101"/>
    </row>
    <row r="15728" spans="9:9" x14ac:dyDescent="0.3">
      <c r="I15728" s="101"/>
    </row>
    <row r="15729" spans="9:9" x14ac:dyDescent="0.3">
      <c r="I15729" s="101"/>
    </row>
    <row r="15730" spans="9:9" x14ac:dyDescent="0.3">
      <c r="I15730" s="101"/>
    </row>
    <row r="15731" spans="9:9" x14ac:dyDescent="0.3">
      <c r="I15731" s="101"/>
    </row>
    <row r="15732" spans="9:9" x14ac:dyDescent="0.3">
      <c r="I15732" s="101"/>
    </row>
    <row r="15733" spans="9:9" x14ac:dyDescent="0.3">
      <c r="I15733" s="101"/>
    </row>
    <row r="15734" spans="9:9" x14ac:dyDescent="0.3">
      <c r="I15734" s="101"/>
    </row>
    <row r="15735" spans="9:9" x14ac:dyDescent="0.3">
      <c r="I15735" s="101"/>
    </row>
    <row r="15736" spans="9:9" x14ac:dyDescent="0.3">
      <c r="I15736" s="101"/>
    </row>
    <row r="15737" spans="9:9" x14ac:dyDescent="0.3">
      <c r="I15737" s="101"/>
    </row>
    <row r="15738" spans="9:9" x14ac:dyDescent="0.3">
      <c r="I15738" s="101"/>
    </row>
    <row r="15739" spans="9:9" x14ac:dyDescent="0.3">
      <c r="I15739" s="101"/>
    </row>
    <row r="15740" spans="9:9" x14ac:dyDescent="0.3">
      <c r="I15740" s="101"/>
    </row>
    <row r="15741" spans="9:9" x14ac:dyDescent="0.3">
      <c r="I15741" s="101"/>
    </row>
    <row r="15742" spans="9:9" x14ac:dyDescent="0.3">
      <c r="I15742" s="101"/>
    </row>
    <row r="15743" spans="9:9" x14ac:dyDescent="0.3">
      <c r="I15743" s="101"/>
    </row>
    <row r="15744" spans="9:9" x14ac:dyDescent="0.3">
      <c r="I15744" s="101"/>
    </row>
    <row r="15745" spans="9:9" x14ac:dyDescent="0.3">
      <c r="I15745" s="101"/>
    </row>
    <row r="15746" spans="9:9" x14ac:dyDescent="0.3">
      <c r="I15746" s="101"/>
    </row>
    <row r="15747" spans="9:9" x14ac:dyDescent="0.3">
      <c r="I15747" s="101"/>
    </row>
    <row r="15748" spans="9:9" x14ac:dyDescent="0.3">
      <c r="I15748" s="101"/>
    </row>
    <row r="15749" spans="9:9" x14ac:dyDescent="0.3">
      <c r="I15749" s="101"/>
    </row>
    <row r="15750" spans="9:9" x14ac:dyDescent="0.3">
      <c r="I15750" s="101"/>
    </row>
    <row r="15751" spans="9:9" x14ac:dyDescent="0.3">
      <c r="I15751" s="101"/>
    </row>
    <row r="15752" spans="9:9" x14ac:dyDescent="0.3">
      <c r="I15752" s="101"/>
    </row>
    <row r="15753" spans="9:9" x14ac:dyDescent="0.3">
      <c r="I15753" s="101"/>
    </row>
    <row r="15754" spans="9:9" x14ac:dyDescent="0.3">
      <c r="I15754" s="101"/>
    </row>
    <row r="15755" spans="9:9" x14ac:dyDescent="0.3">
      <c r="I15755" s="101"/>
    </row>
    <row r="15756" spans="9:9" x14ac:dyDescent="0.3">
      <c r="I15756" s="101"/>
    </row>
    <row r="15757" spans="9:9" x14ac:dyDescent="0.3">
      <c r="I15757" s="101"/>
    </row>
    <row r="15758" spans="9:9" x14ac:dyDescent="0.3">
      <c r="I15758" s="101"/>
    </row>
    <row r="15759" spans="9:9" x14ac:dyDescent="0.3">
      <c r="I15759" s="101"/>
    </row>
    <row r="15760" spans="9:9" x14ac:dyDescent="0.3">
      <c r="I15760" s="101"/>
    </row>
    <row r="15761" spans="9:9" x14ac:dyDescent="0.3">
      <c r="I15761" s="101"/>
    </row>
    <row r="15762" spans="9:9" x14ac:dyDescent="0.3">
      <c r="I15762" s="101"/>
    </row>
    <row r="15763" spans="9:9" x14ac:dyDescent="0.3">
      <c r="I15763" s="101"/>
    </row>
    <row r="15764" spans="9:9" x14ac:dyDescent="0.3">
      <c r="I15764" s="101"/>
    </row>
    <row r="15765" spans="9:9" x14ac:dyDescent="0.3">
      <c r="I15765" s="101"/>
    </row>
    <row r="15766" spans="9:9" x14ac:dyDescent="0.3">
      <c r="I15766" s="101"/>
    </row>
    <row r="15767" spans="9:9" x14ac:dyDescent="0.3">
      <c r="I15767" s="101"/>
    </row>
    <row r="15768" spans="9:9" x14ac:dyDescent="0.3">
      <c r="I15768" s="101"/>
    </row>
    <row r="15769" spans="9:9" x14ac:dyDescent="0.3">
      <c r="I15769" s="101"/>
    </row>
    <row r="15770" spans="9:9" x14ac:dyDescent="0.3">
      <c r="I15770" s="101"/>
    </row>
    <row r="15771" spans="9:9" x14ac:dyDescent="0.3">
      <c r="I15771" s="101"/>
    </row>
    <row r="15772" spans="9:9" x14ac:dyDescent="0.3">
      <c r="I15772" s="101"/>
    </row>
    <row r="15773" spans="9:9" x14ac:dyDescent="0.3">
      <c r="I15773" s="101"/>
    </row>
    <row r="15774" spans="9:9" x14ac:dyDescent="0.3">
      <c r="I15774" s="101"/>
    </row>
    <row r="15775" spans="9:9" x14ac:dyDescent="0.3">
      <c r="I15775" s="101"/>
    </row>
    <row r="15776" spans="9:9" x14ac:dyDescent="0.3">
      <c r="I15776" s="101"/>
    </row>
    <row r="15777" spans="9:9" x14ac:dyDescent="0.3">
      <c r="I15777" s="101"/>
    </row>
    <row r="15778" spans="9:9" x14ac:dyDescent="0.3">
      <c r="I15778" s="101"/>
    </row>
    <row r="15779" spans="9:9" x14ac:dyDescent="0.3">
      <c r="I15779" s="101"/>
    </row>
    <row r="15780" spans="9:9" x14ac:dyDescent="0.3">
      <c r="I15780" s="101"/>
    </row>
    <row r="15781" spans="9:9" x14ac:dyDescent="0.3">
      <c r="I15781" s="101"/>
    </row>
    <row r="15782" spans="9:9" x14ac:dyDescent="0.3">
      <c r="I15782" s="101"/>
    </row>
    <row r="15783" spans="9:9" x14ac:dyDescent="0.3">
      <c r="I15783" s="101"/>
    </row>
    <row r="15784" spans="9:9" x14ac:dyDescent="0.3">
      <c r="I15784" s="101"/>
    </row>
    <row r="15785" spans="9:9" x14ac:dyDescent="0.3">
      <c r="I15785" s="101"/>
    </row>
    <row r="15786" spans="9:9" x14ac:dyDescent="0.3">
      <c r="I15786" s="101"/>
    </row>
    <row r="15787" spans="9:9" x14ac:dyDescent="0.3">
      <c r="I15787" s="101"/>
    </row>
    <row r="15788" spans="9:9" x14ac:dyDescent="0.3">
      <c r="I15788" s="101"/>
    </row>
    <row r="15789" spans="9:9" x14ac:dyDescent="0.3">
      <c r="I15789" s="101"/>
    </row>
    <row r="15790" spans="9:9" x14ac:dyDescent="0.3">
      <c r="I15790" s="101"/>
    </row>
    <row r="15791" spans="9:9" x14ac:dyDescent="0.3">
      <c r="I15791" s="101"/>
    </row>
    <row r="15792" spans="9:9" x14ac:dyDescent="0.3">
      <c r="I15792" s="101"/>
    </row>
    <row r="15793" spans="9:9" x14ac:dyDescent="0.3">
      <c r="I15793" s="101"/>
    </row>
    <row r="15794" spans="9:9" x14ac:dyDescent="0.3">
      <c r="I15794" s="101"/>
    </row>
    <row r="15795" spans="9:9" x14ac:dyDescent="0.3">
      <c r="I15795" s="101"/>
    </row>
    <row r="15796" spans="9:9" x14ac:dyDescent="0.3">
      <c r="I15796" s="101"/>
    </row>
    <row r="15797" spans="9:9" x14ac:dyDescent="0.3">
      <c r="I15797" s="101"/>
    </row>
    <row r="15798" spans="9:9" x14ac:dyDescent="0.3">
      <c r="I15798" s="101"/>
    </row>
    <row r="15799" spans="9:9" x14ac:dyDescent="0.3">
      <c r="I15799" s="101"/>
    </row>
    <row r="15800" spans="9:9" x14ac:dyDescent="0.3">
      <c r="I15800" s="101"/>
    </row>
    <row r="15801" spans="9:9" x14ac:dyDescent="0.3">
      <c r="I15801" s="101"/>
    </row>
    <row r="15802" spans="9:9" x14ac:dyDescent="0.3">
      <c r="I15802" s="101"/>
    </row>
    <row r="15803" spans="9:9" x14ac:dyDescent="0.3">
      <c r="I15803" s="101"/>
    </row>
    <row r="15804" spans="9:9" x14ac:dyDescent="0.3">
      <c r="I15804" s="101"/>
    </row>
    <row r="15805" spans="9:9" x14ac:dyDescent="0.3">
      <c r="I15805" s="101"/>
    </row>
    <row r="15806" spans="9:9" x14ac:dyDescent="0.3">
      <c r="I15806" s="101"/>
    </row>
    <row r="15807" spans="9:9" x14ac:dyDescent="0.3">
      <c r="I15807" s="101"/>
    </row>
    <row r="15808" spans="9:9" x14ac:dyDescent="0.3">
      <c r="I15808" s="101"/>
    </row>
    <row r="15809" spans="9:9" x14ac:dyDescent="0.3">
      <c r="I15809" s="101"/>
    </row>
    <row r="15810" spans="9:9" x14ac:dyDescent="0.3">
      <c r="I15810" s="101"/>
    </row>
    <row r="15811" spans="9:9" x14ac:dyDescent="0.3">
      <c r="I15811" s="101"/>
    </row>
    <row r="15812" spans="9:9" x14ac:dyDescent="0.3">
      <c r="I15812" s="101"/>
    </row>
    <row r="15813" spans="9:9" x14ac:dyDescent="0.3">
      <c r="I15813" s="101"/>
    </row>
    <row r="15814" spans="9:9" x14ac:dyDescent="0.3">
      <c r="I15814" s="101"/>
    </row>
    <row r="15815" spans="9:9" x14ac:dyDescent="0.3">
      <c r="I15815" s="101"/>
    </row>
    <row r="15816" spans="9:9" x14ac:dyDescent="0.3">
      <c r="I15816" s="101"/>
    </row>
    <row r="15817" spans="9:9" x14ac:dyDescent="0.3">
      <c r="I15817" s="101"/>
    </row>
    <row r="15818" spans="9:9" x14ac:dyDescent="0.3">
      <c r="I15818" s="101"/>
    </row>
    <row r="15819" spans="9:9" x14ac:dyDescent="0.3">
      <c r="I15819" s="101"/>
    </row>
    <row r="15820" spans="9:9" x14ac:dyDescent="0.3">
      <c r="I15820" s="101"/>
    </row>
    <row r="15821" spans="9:9" x14ac:dyDescent="0.3">
      <c r="I15821" s="101"/>
    </row>
    <row r="15822" spans="9:9" x14ac:dyDescent="0.3">
      <c r="I15822" s="101"/>
    </row>
    <row r="15823" spans="9:9" x14ac:dyDescent="0.3">
      <c r="I15823" s="101"/>
    </row>
    <row r="15824" spans="9:9" x14ac:dyDescent="0.3">
      <c r="I15824" s="101"/>
    </row>
    <row r="15825" spans="9:9" x14ac:dyDescent="0.3">
      <c r="I15825" s="101"/>
    </row>
    <row r="15826" spans="9:9" x14ac:dyDescent="0.3">
      <c r="I15826" s="101"/>
    </row>
    <row r="15827" spans="9:9" x14ac:dyDescent="0.3">
      <c r="I15827" s="101"/>
    </row>
    <row r="15828" spans="9:9" x14ac:dyDescent="0.3">
      <c r="I15828" s="101"/>
    </row>
    <row r="15829" spans="9:9" x14ac:dyDescent="0.3">
      <c r="I15829" s="101"/>
    </row>
    <row r="15830" spans="9:9" x14ac:dyDescent="0.3">
      <c r="I15830" s="101"/>
    </row>
    <row r="15831" spans="9:9" x14ac:dyDescent="0.3">
      <c r="I15831" s="101"/>
    </row>
    <row r="15832" spans="9:9" x14ac:dyDescent="0.3">
      <c r="I15832" s="101"/>
    </row>
    <row r="15833" spans="9:9" x14ac:dyDescent="0.3">
      <c r="I15833" s="101"/>
    </row>
    <row r="15834" spans="9:9" x14ac:dyDescent="0.3">
      <c r="I15834" s="101"/>
    </row>
    <row r="15835" spans="9:9" x14ac:dyDescent="0.3">
      <c r="I15835" s="101"/>
    </row>
    <row r="15836" spans="9:9" x14ac:dyDescent="0.3">
      <c r="I15836" s="101"/>
    </row>
    <row r="15837" spans="9:9" x14ac:dyDescent="0.3">
      <c r="I15837" s="101"/>
    </row>
    <row r="15838" spans="9:9" x14ac:dyDescent="0.3">
      <c r="I15838" s="101"/>
    </row>
    <row r="15839" spans="9:9" x14ac:dyDescent="0.3">
      <c r="I15839" s="101"/>
    </row>
    <row r="15840" spans="9:9" x14ac:dyDescent="0.3">
      <c r="I15840" s="101"/>
    </row>
    <row r="15841" spans="9:9" x14ac:dyDescent="0.3">
      <c r="I15841" s="101"/>
    </row>
    <row r="15842" spans="9:9" x14ac:dyDescent="0.3">
      <c r="I15842" s="101"/>
    </row>
    <row r="15843" spans="9:9" x14ac:dyDescent="0.3">
      <c r="I15843" s="101"/>
    </row>
    <row r="15844" spans="9:9" x14ac:dyDescent="0.3">
      <c r="I15844" s="101"/>
    </row>
    <row r="15845" spans="9:9" x14ac:dyDescent="0.3">
      <c r="I15845" s="101"/>
    </row>
    <row r="15846" spans="9:9" x14ac:dyDescent="0.3">
      <c r="I15846" s="101"/>
    </row>
    <row r="15847" spans="9:9" x14ac:dyDescent="0.3">
      <c r="I15847" s="101"/>
    </row>
    <row r="15848" spans="9:9" x14ac:dyDescent="0.3">
      <c r="I15848" s="101"/>
    </row>
    <row r="15849" spans="9:9" x14ac:dyDescent="0.3">
      <c r="I15849" s="101"/>
    </row>
    <row r="15850" spans="9:9" x14ac:dyDescent="0.3">
      <c r="I15850" s="101"/>
    </row>
    <row r="15851" spans="9:9" x14ac:dyDescent="0.3">
      <c r="I15851" s="101"/>
    </row>
    <row r="15852" spans="9:9" x14ac:dyDescent="0.3">
      <c r="I15852" s="101"/>
    </row>
    <row r="15853" spans="9:9" x14ac:dyDescent="0.3">
      <c r="I15853" s="101"/>
    </row>
    <row r="15854" spans="9:9" x14ac:dyDescent="0.3">
      <c r="I15854" s="101"/>
    </row>
    <row r="15855" spans="9:9" x14ac:dyDescent="0.3">
      <c r="I15855" s="101"/>
    </row>
    <row r="15856" spans="9:9" x14ac:dyDescent="0.3">
      <c r="I15856" s="101"/>
    </row>
    <row r="15857" spans="9:9" x14ac:dyDescent="0.3">
      <c r="I15857" s="101"/>
    </row>
    <row r="15858" spans="9:9" x14ac:dyDescent="0.3">
      <c r="I15858" s="101"/>
    </row>
    <row r="15859" spans="9:9" x14ac:dyDescent="0.3">
      <c r="I15859" s="101"/>
    </row>
    <row r="15860" spans="9:9" x14ac:dyDescent="0.3">
      <c r="I15860" s="101"/>
    </row>
    <row r="15861" spans="9:9" x14ac:dyDescent="0.3">
      <c r="I15861" s="101"/>
    </row>
    <row r="15862" spans="9:9" x14ac:dyDescent="0.3">
      <c r="I15862" s="101"/>
    </row>
    <row r="15863" spans="9:9" x14ac:dyDescent="0.3">
      <c r="I15863" s="101"/>
    </row>
    <row r="15864" spans="9:9" x14ac:dyDescent="0.3">
      <c r="I15864" s="101"/>
    </row>
    <row r="15865" spans="9:9" x14ac:dyDescent="0.3">
      <c r="I15865" s="101"/>
    </row>
    <row r="15866" spans="9:9" x14ac:dyDescent="0.3">
      <c r="I15866" s="101"/>
    </row>
    <row r="15867" spans="9:9" x14ac:dyDescent="0.3">
      <c r="I15867" s="101"/>
    </row>
    <row r="15868" spans="9:9" x14ac:dyDescent="0.3">
      <c r="I15868" s="101"/>
    </row>
    <row r="15869" spans="9:9" x14ac:dyDescent="0.3">
      <c r="I15869" s="101"/>
    </row>
    <row r="15870" spans="9:9" x14ac:dyDescent="0.3">
      <c r="I15870" s="101"/>
    </row>
    <row r="15871" spans="9:9" x14ac:dyDescent="0.3">
      <c r="I15871" s="101"/>
    </row>
    <row r="15872" spans="9:9" x14ac:dyDescent="0.3">
      <c r="I15872" s="101"/>
    </row>
    <row r="15873" spans="9:9" x14ac:dyDescent="0.3">
      <c r="I15873" s="101"/>
    </row>
    <row r="15874" spans="9:9" x14ac:dyDescent="0.3">
      <c r="I15874" s="101"/>
    </row>
    <row r="15875" spans="9:9" x14ac:dyDescent="0.3">
      <c r="I15875" s="101"/>
    </row>
    <row r="15876" spans="9:9" x14ac:dyDescent="0.3">
      <c r="I15876" s="101"/>
    </row>
    <row r="15877" spans="9:9" x14ac:dyDescent="0.3">
      <c r="I15877" s="101"/>
    </row>
    <row r="15878" spans="9:9" x14ac:dyDescent="0.3">
      <c r="I15878" s="101"/>
    </row>
    <row r="15879" spans="9:9" x14ac:dyDescent="0.3">
      <c r="I15879" s="101"/>
    </row>
    <row r="15880" spans="9:9" x14ac:dyDescent="0.3">
      <c r="I15880" s="101"/>
    </row>
    <row r="15881" spans="9:9" x14ac:dyDescent="0.3">
      <c r="I15881" s="101"/>
    </row>
    <row r="15882" spans="9:9" x14ac:dyDescent="0.3">
      <c r="I15882" s="101"/>
    </row>
    <row r="15883" spans="9:9" x14ac:dyDescent="0.3">
      <c r="I15883" s="101"/>
    </row>
    <row r="15884" spans="9:9" x14ac:dyDescent="0.3">
      <c r="I15884" s="101"/>
    </row>
    <row r="15885" spans="9:9" x14ac:dyDescent="0.3">
      <c r="I15885" s="101"/>
    </row>
    <row r="15886" spans="9:9" x14ac:dyDescent="0.3">
      <c r="I15886" s="101"/>
    </row>
    <row r="15887" spans="9:9" x14ac:dyDescent="0.3">
      <c r="I15887" s="101"/>
    </row>
    <row r="15888" spans="9:9" x14ac:dyDescent="0.3">
      <c r="I15888" s="101"/>
    </row>
    <row r="15889" spans="9:9" x14ac:dyDescent="0.3">
      <c r="I15889" s="101"/>
    </row>
    <row r="15890" spans="9:9" x14ac:dyDescent="0.3">
      <c r="I15890" s="101"/>
    </row>
    <row r="15891" spans="9:9" x14ac:dyDescent="0.3">
      <c r="I15891" s="101"/>
    </row>
    <row r="15892" spans="9:9" x14ac:dyDescent="0.3">
      <c r="I15892" s="101"/>
    </row>
    <row r="15893" spans="9:9" x14ac:dyDescent="0.3">
      <c r="I15893" s="101"/>
    </row>
    <row r="15894" spans="9:9" x14ac:dyDescent="0.3">
      <c r="I15894" s="101"/>
    </row>
    <row r="15895" spans="9:9" x14ac:dyDescent="0.3">
      <c r="I15895" s="101"/>
    </row>
    <row r="15896" spans="9:9" x14ac:dyDescent="0.3">
      <c r="I15896" s="101"/>
    </row>
    <row r="15897" spans="9:9" x14ac:dyDescent="0.3">
      <c r="I15897" s="101"/>
    </row>
    <row r="15898" spans="9:9" x14ac:dyDescent="0.3">
      <c r="I15898" s="101"/>
    </row>
    <row r="15899" spans="9:9" x14ac:dyDescent="0.3">
      <c r="I15899" s="101"/>
    </row>
    <row r="15900" spans="9:9" x14ac:dyDescent="0.3">
      <c r="I15900" s="101"/>
    </row>
    <row r="15901" spans="9:9" x14ac:dyDescent="0.3">
      <c r="I15901" s="101"/>
    </row>
    <row r="15902" spans="9:9" x14ac:dyDescent="0.3">
      <c r="I15902" s="101"/>
    </row>
    <row r="15903" spans="9:9" x14ac:dyDescent="0.3">
      <c r="I15903" s="101"/>
    </row>
    <row r="15904" spans="9:9" x14ac:dyDescent="0.3">
      <c r="I15904" s="101"/>
    </row>
    <row r="15905" spans="9:9" x14ac:dyDescent="0.3">
      <c r="I15905" s="101"/>
    </row>
    <row r="15906" spans="9:9" x14ac:dyDescent="0.3">
      <c r="I15906" s="101"/>
    </row>
    <row r="15907" spans="9:9" x14ac:dyDescent="0.3">
      <c r="I15907" s="101"/>
    </row>
    <row r="15908" spans="9:9" x14ac:dyDescent="0.3">
      <c r="I15908" s="101"/>
    </row>
    <row r="15909" spans="9:9" x14ac:dyDescent="0.3">
      <c r="I15909" s="101"/>
    </row>
    <row r="15910" spans="9:9" x14ac:dyDescent="0.3">
      <c r="I15910" s="101"/>
    </row>
    <row r="15911" spans="9:9" x14ac:dyDescent="0.3">
      <c r="I15911" s="101"/>
    </row>
    <row r="15912" spans="9:9" x14ac:dyDescent="0.3">
      <c r="I15912" s="101"/>
    </row>
    <row r="15913" spans="9:9" x14ac:dyDescent="0.3">
      <c r="I15913" s="101"/>
    </row>
    <row r="15914" spans="9:9" x14ac:dyDescent="0.3">
      <c r="I15914" s="101"/>
    </row>
    <row r="15915" spans="9:9" x14ac:dyDescent="0.3">
      <c r="I15915" s="101"/>
    </row>
    <row r="15916" spans="9:9" x14ac:dyDescent="0.3">
      <c r="I15916" s="101"/>
    </row>
    <row r="15917" spans="9:9" x14ac:dyDescent="0.3">
      <c r="I15917" s="101"/>
    </row>
    <row r="15918" spans="9:9" x14ac:dyDescent="0.3">
      <c r="I15918" s="101"/>
    </row>
    <row r="15919" spans="9:9" x14ac:dyDescent="0.3">
      <c r="I15919" s="101"/>
    </row>
    <row r="15920" spans="9:9" x14ac:dyDescent="0.3">
      <c r="I15920" s="101"/>
    </row>
    <row r="15921" spans="9:9" x14ac:dyDescent="0.3">
      <c r="I15921" s="101"/>
    </row>
    <row r="15922" spans="9:9" x14ac:dyDescent="0.3">
      <c r="I15922" s="101"/>
    </row>
    <row r="15923" spans="9:9" x14ac:dyDescent="0.3">
      <c r="I15923" s="101"/>
    </row>
    <row r="15924" spans="9:9" x14ac:dyDescent="0.3">
      <c r="I15924" s="101"/>
    </row>
    <row r="15925" spans="9:9" x14ac:dyDescent="0.3">
      <c r="I15925" s="101"/>
    </row>
    <row r="15926" spans="9:9" x14ac:dyDescent="0.3">
      <c r="I15926" s="101"/>
    </row>
    <row r="15927" spans="9:9" x14ac:dyDescent="0.3">
      <c r="I15927" s="101"/>
    </row>
    <row r="15928" spans="9:9" x14ac:dyDescent="0.3">
      <c r="I15928" s="101"/>
    </row>
    <row r="15929" spans="9:9" x14ac:dyDescent="0.3">
      <c r="I15929" s="101"/>
    </row>
    <row r="15930" spans="9:9" x14ac:dyDescent="0.3">
      <c r="I15930" s="101"/>
    </row>
    <row r="15931" spans="9:9" x14ac:dyDescent="0.3">
      <c r="I15931" s="101"/>
    </row>
    <row r="15932" spans="9:9" x14ac:dyDescent="0.3">
      <c r="I15932" s="101"/>
    </row>
    <row r="15933" spans="9:9" x14ac:dyDescent="0.3">
      <c r="I15933" s="101"/>
    </row>
    <row r="15934" spans="9:9" x14ac:dyDescent="0.3">
      <c r="I15934" s="101"/>
    </row>
    <row r="15935" spans="9:9" x14ac:dyDescent="0.3">
      <c r="I15935" s="101"/>
    </row>
    <row r="15936" spans="9:9" x14ac:dyDescent="0.3">
      <c r="I15936" s="101"/>
    </row>
    <row r="15937" spans="9:9" x14ac:dyDescent="0.3">
      <c r="I15937" s="101"/>
    </row>
    <row r="15938" spans="9:9" x14ac:dyDescent="0.3">
      <c r="I15938" s="101"/>
    </row>
    <row r="15939" spans="9:9" x14ac:dyDescent="0.3">
      <c r="I15939" s="101"/>
    </row>
    <row r="15940" spans="9:9" x14ac:dyDescent="0.3">
      <c r="I15940" s="101"/>
    </row>
    <row r="15941" spans="9:9" x14ac:dyDescent="0.3">
      <c r="I15941" s="101"/>
    </row>
    <row r="15942" spans="9:9" x14ac:dyDescent="0.3">
      <c r="I15942" s="101"/>
    </row>
    <row r="15943" spans="9:9" x14ac:dyDescent="0.3">
      <c r="I15943" s="101"/>
    </row>
    <row r="15944" spans="9:9" x14ac:dyDescent="0.3">
      <c r="I15944" s="101"/>
    </row>
    <row r="15945" spans="9:9" x14ac:dyDescent="0.3">
      <c r="I15945" s="101"/>
    </row>
    <row r="15946" spans="9:9" x14ac:dyDescent="0.3">
      <c r="I15946" s="101"/>
    </row>
    <row r="15947" spans="9:9" x14ac:dyDescent="0.3">
      <c r="I15947" s="101"/>
    </row>
    <row r="15948" spans="9:9" x14ac:dyDescent="0.3">
      <c r="I15948" s="101"/>
    </row>
    <row r="15949" spans="9:9" x14ac:dyDescent="0.3">
      <c r="I15949" s="101"/>
    </row>
    <row r="15950" spans="9:9" x14ac:dyDescent="0.3">
      <c r="I15950" s="101"/>
    </row>
    <row r="15951" spans="9:9" x14ac:dyDescent="0.3">
      <c r="I15951" s="101"/>
    </row>
    <row r="15952" spans="9:9" x14ac:dyDescent="0.3">
      <c r="I15952" s="101"/>
    </row>
    <row r="15953" spans="9:9" x14ac:dyDescent="0.3">
      <c r="I15953" s="101"/>
    </row>
    <row r="15954" spans="9:9" x14ac:dyDescent="0.3">
      <c r="I15954" s="101"/>
    </row>
    <row r="15955" spans="9:9" x14ac:dyDescent="0.3">
      <c r="I15955" s="101"/>
    </row>
    <row r="15956" spans="9:9" x14ac:dyDescent="0.3">
      <c r="I15956" s="101"/>
    </row>
    <row r="15957" spans="9:9" x14ac:dyDescent="0.3">
      <c r="I15957" s="101"/>
    </row>
    <row r="15958" spans="9:9" x14ac:dyDescent="0.3">
      <c r="I15958" s="101"/>
    </row>
    <row r="15959" spans="9:9" x14ac:dyDescent="0.3">
      <c r="I15959" s="101"/>
    </row>
    <row r="15960" spans="9:9" x14ac:dyDescent="0.3">
      <c r="I15960" s="101"/>
    </row>
    <row r="15961" spans="9:9" x14ac:dyDescent="0.3">
      <c r="I15961" s="101"/>
    </row>
    <row r="15962" spans="9:9" x14ac:dyDescent="0.3">
      <c r="I15962" s="101"/>
    </row>
    <row r="15963" spans="9:9" x14ac:dyDescent="0.3">
      <c r="I15963" s="101"/>
    </row>
    <row r="15964" spans="9:9" x14ac:dyDescent="0.3">
      <c r="I15964" s="101"/>
    </row>
    <row r="15965" spans="9:9" x14ac:dyDescent="0.3">
      <c r="I15965" s="101"/>
    </row>
    <row r="15966" spans="9:9" x14ac:dyDescent="0.3">
      <c r="I15966" s="101"/>
    </row>
    <row r="15967" spans="9:9" x14ac:dyDescent="0.3">
      <c r="I15967" s="101"/>
    </row>
    <row r="15968" spans="9:9" x14ac:dyDescent="0.3">
      <c r="I15968" s="101"/>
    </row>
    <row r="15969" spans="9:9" x14ac:dyDescent="0.3">
      <c r="I15969" s="101"/>
    </row>
    <row r="15970" spans="9:9" x14ac:dyDescent="0.3">
      <c r="I15970" s="101"/>
    </row>
    <row r="15971" spans="9:9" x14ac:dyDescent="0.3">
      <c r="I15971" s="101"/>
    </row>
    <row r="15972" spans="9:9" x14ac:dyDescent="0.3">
      <c r="I15972" s="101"/>
    </row>
    <row r="15973" spans="9:9" x14ac:dyDescent="0.3">
      <c r="I15973" s="101"/>
    </row>
    <row r="15974" spans="9:9" x14ac:dyDescent="0.3">
      <c r="I15974" s="101"/>
    </row>
    <row r="15975" spans="9:9" x14ac:dyDescent="0.3">
      <c r="I15975" s="101"/>
    </row>
    <row r="15976" spans="9:9" x14ac:dyDescent="0.3">
      <c r="I15976" s="101"/>
    </row>
    <row r="15977" spans="9:9" x14ac:dyDescent="0.3">
      <c r="I15977" s="101"/>
    </row>
    <row r="15978" spans="9:9" x14ac:dyDescent="0.3">
      <c r="I15978" s="101"/>
    </row>
    <row r="15979" spans="9:9" x14ac:dyDescent="0.3">
      <c r="I15979" s="101"/>
    </row>
    <row r="15980" spans="9:9" x14ac:dyDescent="0.3">
      <c r="I15980" s="101"/>
    </row>
    <row r="15981" spans="9:9" x14ac:dyDescent="0.3">
      <c r="I15981" s="101"/>
    </row>
    <row r="15982" spans="9:9" x14ac:dyDescent="0.3">
      <c r="I15982" s="101"/>
    </row>
    <row r="15983" spans="9:9" x14ac:dyDescent="0.3">
      <c r="I15983" s="101"/>
    </row>
    <row r="15984" spans="9:9" x14ac:dyDescent="0.3">
      <c r="I15984" s="101"/>
    </row>
    <row r="15985" spans="9:9" x14ac:dyDescent="0.3">
      <c r="I15985" s="101"/>
    </row>
    <row r="15986" spans="9:9" x14ac:dyDescent="0.3">
      <c r="I15986" s="101"/>
    </row>
    <row r="15987" spans="9:9" x14ac:dyDescent="0.3">
      <c r="I15987" s="101"/>
    </row>
    <row r="15988" spans="9:9" x14ac:dyDescent="0.3">
      <c r="I15988" s="101"/>
    </row>
    <row r="15989" spans="9:9" x14ac:dyDescent="0.3">
      <c r="I15989" s="101"/>
    </row>
    <row r="15990" spans="9:9" x14ac:dyDescent="0.3">
      <c r="I15990" s="101"/>
    </row>
    <row r="15991" spans="9:9" x14ac:dyDescent="0.3">
      <c r="I15991" s="101"/>
    </row>
    <row r="15992" spans="9:9" x14ac:dyDescent="0.3">
      <c r="I15992" s="101"/>
    </row>
    <row r="15993" spans="9:9" x14ac:dyDescent="0.3">
      <c r="I15993" s="101"/>
    </row>
    <row r="15994" spans="9:9" x14ac:dyDescent="0.3">
      <c r="I15994" s="101"/>
    </row>
    <row r="15995" spans="9:9" x14ac:dyDescent="0.3">
      <c r="I15995" s="101"/>
    </row>
    <row r="15996" spans="9:9" x14ac:dyDescent="0.3">
      <c r="I15996" s="101"/>
    </row>
    <row r="15997" spans="9:9" x14ac:dyDescent="0.3">
      <c r="I15997" s="101"/>
    </row>
    <row r="15998" spans="9:9" x14ac:dyDescent="0.3">
      <c r="I15998" s="101"/>
    </row>
    <row r="15999" spans="9:9" x14ac:dyDescent="0.3">
      <c r="I15999" s="101"/>
    </row>
    <row r="16000" spans="9:9" x14ac:dyDescent="0.3">
      <c r="I16000" s="101"/>
    </row>
    <row r="16001" spans="9:9" x14ac:dyDescent="0.3">
      <c r="I16001" s="101"/>
    </row>
    <row r="16002" spans="9:9" x14ac:dyDescent="0.3">
      <c r="I16002" s="101"/>
    </row>
    <row r="16003" spans="9:9" x14ac:dyDescent="0.3">
      <c r="I16003" s="101"/>
    </row>
    <row r="16004" spans="9:9" x14ac:dyDescent="0.3">
      <c r="I16004" s="101"/>
    </row>
    <row r="16005" spans="9:9" x14ac:dyDescent="0.3">
      <c r="I16005" s="101"/>
    </row>
    <row r="16006" spans="9:9" x14ac:dyDescent="0.3">
      <c r="I16006" s="101"/>
    </row>
    <row r="16007" spans="9:9" x14ac:dyDescent="0.3">
      <c r="I16007" s="101"/>
    </row>
    <row r="16008" spans="9:9" x14ac:dyDescent="0.3">
      <c r="I16008" s="101"/>
    </row>
    <row r="16009" spans="9:9" x14ac:dyDescent="0.3">
      <c r="I16009" s="101"/>
    </row>
    <row r="16010" spans="9:9" x14ac:dyDescent="0.3">
      <c r="I16010" s="101"/>
    </row>
    <row r="16011" spans="9:9" x14ac:dyDescent="0.3">
      <c r="I16011" s="101"/>
    </row>
    <row r="16012" spans="9:9" x14ac:dyDescent="0.3">
      <c r="I16012" s="101"/>
    </row>
    <row r="16013" spans="9:9" x14ac:dyDescent="0.3">
      <c r="I16013" s="101"/>
    </row>
    <row r="16014" spans="9:9" x14ac:dyDescent="0.3">
      <c r="I16014" s="101"/>
    </row>
    <row r="16015" spans="9:9" x14ac:dyDescent="0.3">
      <c r="I16015" s="101"/>
    </row>
    <row r="16016" spans="9:9" x14ac:dyDescent="0.3">
      <c r="I16016" s="101"/>
    </row>
    <row r="16017" spans="9:9" x14ac:dyDescent="0.3">
      <c r="I16017" s="101"/>
    </row>
    <row r="16018" spans="9:9" x14ac:dyDescent="0.3">
      <c r="I16018" s="101"/>
    </row>
    <row r="16019" spans="9:9" x14ac:dyDescent="0.3">
      <c r="I16019" s="101"/>
    </row>
    <row r="16020" spans="9:9" x14ac:dyDescent="0.3">
      <c r="I16020" s="101"/>
    </row>
    <row r="16021" spans="9:9" x14ac:dyDescent="0.3">
      <c r="I16021" s="101"/>
    </row>
    <row r="16022" spans="9:9" x14ac:dyDescent="0.3">
      <c r="I16022" s="101"/>
    </row>
    <row r="16023" spans="9:9" x14ac:dyDescent="0.3">
      <c r="I16023" s="101"/>
    </row>
    <row r="16024" spans="9:9" x14ac:dyDescent="0.3">
      <c r="I16024" s="101"/>
    </row>
    <row r="16025" spans="9:9" x14ac:dyDescent="0.3">
      <c r="I16025" s="101"/>
    </row>
    <row r="16026" spans="9:9" x14ac:dyDescent="0.3">
      <c r="I16026" s="101"/>
    </row>
    <row r="16027" spans="9:9" x14ac:dyDescent="0.3">
      <c r="I16027" s="101"/>
    </row>
    <row r="16028" spans="9:9" x14ac:dyDescent="0.3">
      <c r="I16028" s="101"/>
    </row>
    <row r="16029" spans="9:9" x14ac:dyDescent="0.3">
      <c r="I16029" s="101"/>
    </row>
    <row r="16030" spans="9:9" x14ac:dyDescent="0.3">
      <c r="I16030" s="101"/>
    </row>
    <row r="16031" spans="9:9" x14ac:dyDescent="0.3">
      <c r="I16031" s="101"/>
    </row>
    <row r="16032" spans="9:9" x14ac:dyDescent="0.3">
      <c r="I16032" s="101"/>
    </row>
    <row r="16033" spans="9:9" x14ac:dyDescent="0.3">
      <c r="I16033" s="101"/>
    </row>
    <row r="16034" spans="9:9" x14ac:dyDescent="0.3">
      <c r="I16034" s="101"/>
    </row>
    <row r="16035" spans="9:9" x14ac:dyDescent="0.3">
      <c r="I16035" s="101"/>
    </row>
    <row r="16036" spans="9:9" x14ac:dyDescent="0.3">
      <c r="I16036" s="101"/>
    </row>
    <row r="16037" spans="9:9" x14ac:dyDescent="0.3">
      <c r="I16037" s="101"/>
    </row>
    <row r="16038" spans="9:9" x14ac:dyDescent="0.3">
      <c r="I16038" s="101"/>
    </row>
    <row r="16039" spans="9:9" x14ac:dyDescent="0.3">
      <c r="I16039" s="101"/>
    </row>
    <row r="16040" spans="9:9" x14ac:dyDescent="0.3">
      <c r="I16040" s="101"/>
    </row>
    <row r="16041" spans="9:9" x14ac:dyDescent="0.3">
      <c r="I16041" s="101"/>
    </row>
    <row r="16042" spans="9:9" x14ac:dyDescent="0.3">
      <c r="I16042" s="101"/>
    </row>
    <row r="16043" spans="9:9" x14ac:dyDescent="0.3">
      <c r="I16043" s="101"/>
    </row>
    <row r="16044" spans="9:9" x14ac:dyDescent="0.3">
      <c r="I16044" s="101"/>
    </row>
    <row r="16045" spans="9:9" x14ac:dyDescent="0.3">
      <c r="I16045" s="101"/>
    </row>
    <row r="16046" spans="9:9" x14ac:dyDescent="0.3">
      <c r="I16046" s="101"/>
    </row>
    <row r="16047" spans="9:9" x14ac:dyDescent="0.3">
      <c r="I16047" s="101"/>
    </row>
    <row r="16048" spans="9:9" x14ac:dyDescent="0.3">
      <c r="I16048" s="101"/>
    </row>
    <row r="16049" spans="9:9" x14ac:dyDescent="0.3">
      <c r="I16049" s="101"/>
    </row>
    <row r="16050" spans="9:9" x14ac:dyDescent="0.3">
      <c r="I16050" s="101"/>
    </row>
    <row r="16051" spans="9:9" x14ac:dyDescent="0.3">
      <c r="I16051" s="101"/>
    </row>
    <row r="16052" spans="9:9" x14ac:dyDescent="0.3">
      <c r="I16052" s="101"/>
    </row>
    <row r="16053" spans="9:9" x14ac:dyDescent="0.3">
      <c r="I16053" s="101"/>
    </row>
    <row r="16054" spans="9:9" x14ac:dyDescent="0.3">
      <c r="I16054" s="101"/>
    </row>
    <row r="16055" spans="9:9" x14ac:dyDescent="0.3">
      <c r="I16055" s="101"/>
    </row>
    <row r="16056" spans="9:9" x14ac:dyDescent="0.3">
      <c r="I16056" s="101"/>
    </row>
    <row r="16057" spans="9:9" x14ac:dyDescent="0.3">
      <c r="I16057" s="101"/>
    </row>
    <row r="16058" spans="9:9" x14ac:dyDescent="0.3">
      <c r="I16058" s="101"/>
    </row>
    <row r="16059" spans="9:9" x14ac:dyDescent="0.3">
      <c r="I16059" s="101"/>
    </row>
    <row r="16060" spans="9:9" x14ac:dyDescent="0.3">
      <c r="I16060" s="101"/>
    </row>
    <row r="16061" spans="9:9" x14ac:dyDescent="0.3">
      <c r="I16061" s="101"/>
    </row>
    <row r="16062" spans="9:9" x14ac:dyDescent="0.3">
      <c r="I16062" s="101"/>
    </row>
    <row r="16063" spans="9:9" x14ac:dyDescent="0.3">
      <c r="I16063" s="101"/>
    </row>
    <row r="16064" spans="9:9" x14ac:dyDescent="0.3">
      <c r="I16064" s="101"/>
    </row>
    <row r="16065" spans="9:9" x14ac:dyDescent="0.3">
      <c r="I16065" s="101"/>
    </row>
    <row r="16066" spans="9:9" x14ac:dyDescent="0.3">
      <c r="I16066" s="101"/>
    </row>
    <row r="16067" spans="9:9" x14ac:dyDescent="0.3">
      <c r="I16067" s="101"/>
    </row>
    <row r="16068" spans="9:9" x14ac:dyDescent="0.3">
      <c r="I16068" s="101"/>
    </row>
    <row r="16069" spans="9:9" x14ac:dyDescent="0.3">
      <c r="I16069" s="101"/>
    </row>
    <row r="16070" spans="9:9" x14ac:dyDescent="0.3">
      <c r="I16070" s="101"/>
    </row>
    <row r="16071" spans="9:9" x14ac:dyDescent="0.3">
      <c r="I16071" s="101"/>
    </row>
    <row r="16072" spans="9:9" x14ac:dyDescent="0.3">
      <c r="I16072" s="101"/>
    </row>
    <row r="16073" spans="9:9" x14ac:dyDescent="0.3">
      <c r="I16073" s="101"/>
    </row>
    <row r="16074" spans="9:9" x14ac:dyDescent="0.3">
      <c r="I16074" s="101"/>
    </row>
    <row r="16075" spans="9:9" x14ac:dyDescent="0.3">
      <c r="I16075" s="101"/>
    </row>
    <row r="16076" spans="9:9" x14ac:dyDescent="0.3">
      <c r="I16076" s="101"/>
    </row>
    <row r="16077" spans="9:9" x14ac:dyDescent="0.3">
      <c r="I16077" s="101"/>
    </row>
    <row r="16078" spans="9:9" x14ac:dyDescent="0.3">
      <c r="I16078" s="101"/>
    </row>
    <row r="16079" spans="9:9" x14ac:dyDescent="0.3">
      <c r="I16079" s="101"/>
    </row>
    <row r="16080" spans="9:9" x14ac:dyDescent="0.3">
      <c r="I16080" s="101"/>
    </row>
    <row r="16081" spans="9:9" x14ac:dyDescent="0.3">
      <c r="I16081" s="101"/>
    </row>
    <row r="16082" spans="9:9" x14ac:dyDescent="0.3">
      <c r="I16082" s="101"/>
    </row>
    <row r="16083" spans="9:9" x14ac:dyDescent="0.3">
      <c r="I16083" s="101"/>
    </row>
    <row r="16084" spans="9:9" x14ac:dyDescent="0.3">
      <c r="I16084" s="101"/>
    </row>
    <row r="16085" spans="9:9" x14ac:dyDescent="0.3">
      <c r="I16085" s="101"/>
    </row>
    <row r="16086" spans="9:9" x14ac:dyDescent="0.3">
      <c r="I16086" s="101"/>
    </row>
    <row r="16087" spans="9:9" x14ac:dyDescent="0.3">
      <c r="I16087" s="101"/>
    </row>
    <row r="16088" spans="9:9" x14ac:dyDescent="0.3">
      <c r="I16088" s="101"/>
    </row>
    <row r="16089" spans="9:9" x14ac:dyDescent="0.3">
      <c r="I16089" s="101"/>
    </row>
    <row r="16090" spans="9:9" x14ac:dyDescent="0.3">
      <c r="I16090" s="101"/>
    </row>
    <row r="16091" spans="9:9" x14ac:dyDescent="0.3">
      <c r="I16091" s="101"/>
    </row>
    <row r="16092" spans="9:9" x14ac:dyDescent="0.3">
      <c r="I16092" s="101"/>
    </row>
    <row r="16093" spans="9:9" x14ac:dyDescent="0.3">
      <c r="I16093" s="101"/>
    </row>
    <row r="16094" spans="9:9" x14ac:dyDescent="0.3">
      <c r="I16094" s="101"/>
    </row>
    <row r="16095" spans="9:9" x14ac:dyDescent="0.3">
      <c r="I16095" s="101"/>
    </row>
    <row r="16096" spans="9:9" x14ac:dyDescent="0.3">
      <c r="I16096" s="101"/>
    </row>
    <row r="16097" spans="9:9" x14ac:dyDescent="0.3">
      <c r="I16097" s="101"/>
    </row>
    <row r="16098" spans="9:9" x14ac:dyDescent="0.3">
      <c r="I16098" s="101"/>
    </row>
    <row r="16099" spans="9:9" x14ac:dyDescent="0.3">
      <c r="I16099" s="101"/>
    </row>
    <row r="16100" spans="9:9" x14ac:dyDescent="0.3">
      <c r="I16100" s="101"/>
    </row>
    <row r="16101" spans="9:9" x14ac:dyDescent="0.3">
      <c r="I16101" s="101"/>
    </row>
    <row r="16102" spans="9:9" x14ac:dyDescent="0.3">
      <c r="I16102" s="101"/>
    </row>
    <row r="16103" spans="9:9" x14ac:dyDescent="0.3">
      <c r="I16103" s="101"/>
    </row>
    <row r="16104" spans="9:9" x14ac:dyDescent="0.3">
      <c r="I16104" s="101"/>
    </row>
    <row r="16105" spans="9:9" x14ac:dyDescent="0.3">
      <c r="I16105" s="101"/>
    </row>
    <row r="16106" spans="9:9" x14ac:dyDescent="0.3">
      <c r="I16106" s="101"/>
    </row>
    <row r="16107" spans="9:9" x14ac:dyDescent="0.3">
      <c r="I16107" s="101"/>
    </row>
    <row r="16108" spans="9:9" x14ac:dyDescent="0.3">
      <c r="I16108" s="101"/>
    </row>
    <row r="16109" spans="9:9" x14ac:dyDescent="0.3">
      <c r="I16109" s="101"/>
    </row>
    <row r="16110" spans="9:9" x14ac:dyDescent="0.3">
      <c r="I16110" s="101"/>
    </row>
    <row r="16111" spans="9:9" x14ac:dyDescent="0.3">
      <c r="I16111" s="101"/>
    </row>
    <row r="16112" spans="9:9" x14ac:dyDescent="0.3">
      <c r="I16112" s="101"/>
    </row>
    <row r="16113" spans="9:9" x14ac:dyDescent="0.3">
      <c r="I16113" s="101"/>
    </row>
    <row r="16114" spans="9:9" x14ac:dyDescent="0.3">
      <c r="I16114" s="101"/>
    </row>
    <row r="16115" spans="9:9" x14ac:dyDescent="0.3">
      <c r="I16115" s="101"/>
    </row>
    <row r="16116" spans="9:9" x14ac:dyDescent="0.3">
      <c r="I16116" s="101"/>
    </row>
    <row r="16117" spans="9:9" x14ac:dyDescent="0.3">
      <c r="I16117" s="101"/>
    </row>
    <row r="16118" spans="9:9" x14ac:dyDescent="0.3">
      <c r="I16118" s="101"/>
    </row>
    <row r="16119" spans="9:9" x14ac:dyDescent="0.3">
      <c r="I16119" s="101"/>
    </row>
    <row r="16120" spans="9:9" x14ac:dyDescent="0.3">
      <c r="I16120" s="101"/>
    </row>
    <row r="16121" spans="9:9" x14ac:dyDescent="0.3">
      <c r="I16121" s="101"/>
    </row>
    <row r="16122" spans="9:9" x14ac:dyDescent="0.3">
      <c r="I16122" s="101"/>
    </row>
    <row r="16123" spans="9:9" x14ac:dyDescent="0.3">
      <c r="I16123" s="101"/>
    </row>
    <row r="16124" spans="9:9" x14ac:dyDescent="0.3">
      <c r="I16124" s="101"/>
    </row>
    <row r="16125" spans="9:9" x14ac:dyDescent="0.3">
      <c r="I16125" s="101"/>
    </row>
    <row r="16126" spans="9:9" x14ac:dyDescent="0.3">
      <c r="I16126" s="101"/>
    </row>
    <row r="16127" spans="9:9" x14ac:dyDescent="0.3">
      <c r="I16127" s="101"/>
    </row>
    <row r="16128" spans="9:9" x14ac:dyDescent="0.3">
      <c r="I16128" s="101"/>
    </row>
    <row r="16129" spans="9:9" x14ac:dyDescent="0.3">
      <c r="I16129" s="101"/>
    </row>
    <row r="16130" spans="9:9" x14ac:dyDescent="0.3">
      <c r="I16130" s="101"/>
    </row>
    <row r="16131" spans="9:9" x14ac:dyDescent="0.3">
      <c r="I16131" s="101"/>
    </row>
    <row r="16132" spans="9:9" x14ac:dyDescent="0.3">
      <c r="I16132" s="101"/>
    </row>
    <row r="16133" spans="9:9" x14ac:dyDescent="0.3">
      <c r="I16133" s="101"/>
    </row>
    <row r="16134" spans="9:9" x14ac:dyDescent="0.3">
      <c r="I16134" s="101"/>
    </row>
    <row r="16135" spans="9:9" x14ac:dyDescent="0.3">
      <c r="I16135" s="101"/>
    </row>
    <row r="16136" spans="9:9" x14ac:dyDescent="0.3">
      <c r="I16136" s="101"/>
    </row>
    <row r="16137" spans="9:9" x14ac:dyDescent="0.3">
      <c r="I16137" s="101"/>
    </row>
    <row r="16138" spans="9:9" x14ac:dyDescent="0.3">
      <c r="I16138" s="101"/>
    </row>
    <row r="16139" spans="9:9" x14ac:dyDescent="0.3">
      <c r="I16139" s="101"/>
    </row>
    <row r="16140" spans="9:9" x14ac:dyDescent="0.3">
      <c r="I16140" s="101"/>
    </row>
    <row r="16141" spans="9:9" x14ac:dyDescent="0.3">
      <c r="I16141" s="101"/>
    </row>
    <row r="16142" spans="9:9" x14ac:dyDescent="0.3">
      <c r="I16142" s="101"/>
    </row>
    <row r="16143" spans="9:9" x14ac:dyDescent="0.3">
      <c r="I16143" s="101"/>
    </row>
    <row r="16144" spans="9:9" x14ac:dyDescent="0.3">
      <c r="I16144" s="101"/>
    </row>
    <row r="16145" spans="9:9" x14ac:dyDescent="0.3">
      <c r="I16145" s="101"/>
    </row>
    <row r="16146" spans="9:9" x14ac:dyDescent="0.3">
      <c r="I16146" s="101"/>
    </row>
    <row r="16147" spans="9:9" x14ac:dyDescent="0.3">
      <c r="I16147" s="101"/>
    </row>
    <row r="16148" spans="9:9" x14ac:dyDescent="0.3">
      <c r="I16148" s="101"/>
    </row>
    <row r="16149" spans="9:9" x14ac:dyDescent="0.3">
      <c r="I16149" s="101"/>
    </row>
    <row r="16150" spans="9:9" x14ac:dyDescent="0.3">
      <c r="I16150" s="101"/>
    </row>
    <row r="16151" spans="9:9" x14ac:dyDescent="0.3">
      <c r="I16151" s="101"/>
    </row>
    <row r="16152" spans="9:9" x14ac:dyDescent="0.3">
      <c r="I16152" s="101"/>
    </row>
    <row r="16153" spans="9:9" x14ac:dyDescent="0.3">
      <c r="I16153" s="101"/>
    </row>
    <row r="16154" spans="9:9" x14ac:dyDescent="0.3">
      <c r="I16154" s="101"/>
    </row>
    <row r="16155" spans="9:9" x14ac:dyDescent="0.3">
      <c r="I16155" s="101"/>
    </row>
    <row r="16156" spans="9:9" x14ac:dyDescent="0.3">
      <c r="I16156" s="101"/>
    </row>
    <row r="16157" spans="9:9" x14ac:dyDescent="0.3">
      <c r="I16157" s="101"/>
    </row>
    <row r="16158" spans="9:9" x14ac:dyDescent="0.3">
      <c r="I16158" s="101"/>
    </row>
    <row r="16159" spans="9:9" x14ac:dyDescent="0.3">
      <c r="I16159" s="101"/>
    </row>
    <row r="16160" spans="9:9" x14ac:dyDescent="0.3">
      <c r="I16160" s="101"/>
    </row>
    <row r="16161" spans="9:9" x14ac:dyDescent="0.3">
      <c r="I16161" s="101"/>
    </row>
    <row r="16162" spans="9:9" x14ac:dyDescent="0.3">
      <c r="I16162" s="101"/>
    </row>
    <row r="16163" spans="9:9" x14ac:dyDescent="0.3">
      <c r="I16163" s="101"/>
    </row>
    <row r="16164" spans="9:9" x14ac:dyDescent="0.3">
      <c r="I16164" s="101"/>
    </row>
    <row r="16165" spans="9:9" x14ac:dyDescent="0.3">
      <c r="I16165" s="101"/>
    </row>
    <row r="16166" spans="9:9" x14ac:dyDescent="0.3">
      <c r="I16166" s="101"/>
    </row>
    <row r="16167" spans="9:9" x14ac:dyDescent="0.3">
      <c r="I16167" s="101"/>
    </row>
    <row r="16168" spans="9:9" x14ac:dyDescent="0.3">
      <c r="I16168" s="101"/>
    </row>
    <row r="16169" spans="9:9" x14ac:dyDescent="0.3">
      <c r="I16169" s="101"/>
    </row>
    <row r="16170" spans="9:9" x14ac:dyDescent="0.3">
      <c r="I16170" s="101"/>
    </row>
    <row r="16171" spans="9:9" x14ac:dyDescent="0.3">
      <c r="I16171" s="101"/>
    </row>
    <row r="16172" spans="9:9" x14ac:dyDescent="0.3">
      <c r="I16172" s="101"/>
    </row>
    <row r="16173" spans="9:9" x14ac:dyDescent="0.3">
      <c r="I16173" s="101"/>
    </row>
    <row r="16174" spans="9:9" x14ac:dyDescent="0.3">
      <c r="I16174" s="101"/>
    </row>
    <row r="16175" spans="9:9" x14ac:dyDescent="0.3">
      <c r="I16175" s="101"/>
    </row>
    <row r="16176" spans="9:9" x14ac:dyDescent="0.3">
      <c r="I16176" s="101"/>
    </row>
    <row r="16177" spans="9:9" x14ac:dyDescent="0.3">
      <c r="I16177" s="101"/>
    </row>
    <row r="16178" spans="9:9" x14ac:dyDescent="0.3">
      <c r="I16178" s="101"/>
    </row>
    <row r="16179" spans="9:9" x14ac:dyDescent="0.3">
      <c r="I16179" s="101"/>
    </row>
    <row r="16180" spans="9:9" x14ac:dyDescent="0.3">
      <c r="I16180" s="101"/>
    </row>
    <row r="16181" spans="9:9" x14ac:dyDescent="0.3">
      <c r="I16181" s="101"/>
    </row>
    <row r="16182" spans="9:9" x14ac:dyDescent="0.3">
      <c r="I16182" s="101"/>
    </row>
    <row r="16183" spans="9:9" x14ac:dyDescent="0.3">
      <c r="I16183" s="101"/>
    </row>
    <row r="16184" spans="9:9" x14ac:dyDescent="0.3">
      <c r="I16184" s="101"/>
    </row>
    <row r="16185" spans="9:9" x14ac:dyDescent="0.3">
      <c r="I16185" s="101"/>
    </row>
    <row r="16186" spans="9:9" x14ac:dyDescent="0.3">
      <c r="I16186" s="101"/>
    </row>
    <row r="16187" spans="9:9" x14ac:dyDescent="0.3">
      <c r="I16187" s="101"/>
    </row>
    <row r="16188" spans="9:9" x14ac:dyDescent="0.3">
      <c r="I16188" s="101"/>
    </row>
    <row r="16189" spans="9:9" x14ac:dyDescent="0.3">
      <c r="I16189" s="101"/>
    </row>
    <row r="16190" spans="9:9" x14ac:dyDescent="0.3">
      <c r="I16190" s="101"/>
    </row>
    <row r="16191" spans="9:9" x14ac:dyDescent="0.3">
      <c r="I16191" s="101"/>
    </row>
    <row r="16192" spans="9:9" x14ac:dyDescent="0.3">
      <c r="I16192" s="101"/>
    </row>
    <row r="16193" spans="9:9" x14ac:dyDescent="0.3">
      <c r="I16193" s="101"/>
    </row>
    <row r="16194" spans="9:9" x14ac:dyDescent="0.3">
      <c r="I16194" s="101"/>
    </row>
    <row r="16195" spans="9:9" x14ac:dyDescent="0.3">
      <c r="I16195" s="101"/>
    </row>
    <row r="16196" spans="9:9" x14ac:dyDescent="0.3">
      <c r="I16196" s="101"/>
    </row>
    <row r="16197" spans="9:9" x14ac:dyDescent="0.3">
      <c r="I16197" s="101"/>
    </row>
    <row r="16198" spans="9:9" x14ac:dyDescent="0.3">
      <c r="I16198" s="101"/>
    </row>
    <row r="16199" spans="9:9" x14ac:dyDescent="0.3">
      <c r="I16199" s="101"/>
    </row>
    <row r="16200" spans="9:9" x14ac:dyDescent="0.3">
      <c r="I16200" s="101"/>
    </row>
    <row r="16201" spans="9:9" x14ac:dyDescent="0.3">
      <c r="I16201" s="101"/>
    </row>
    <row r="16202" spans="9:9" x14ac:dyDescent="0.3">
      <c r="I16202" s="101"/>
    </row>
    <row r="16203" spans="9:9" x14ac:dyDescent="0.3">
      <c r="I16203" s="101"/>
    </row>
    <row r="16204" spans="9:9" x14ac:dyDescent="0.3">
      <c r="I16204" s="101"/>
    </row>
    <row r="16205" spans="9:9" x14ac:dyDescent="0.3">
      <c r="I16205" s="101"/>
    </row>
    <row r="16206" spans="9:9" x14ac:dyDescent="0.3">
      <c r="I16206" s="101"/>
    </row>
    <row r="16207" spans="9:9" x14ac:dyDescent="0.3">
      <c r="I16207" s="101"/>
    </row>
    <row r="16208" spans="9:9" x14ac:dyDescent="0.3">
      <c r="I16208" s="101"/>
    </row>
    <row r="16209" spans="9:9" x14ac:dyDescent="0.3">
      <c r="I16209" s="101"/>
    </row>
    <row r="16210" spans="9:9" x14ac:dyDescent="0.3">
      <c r="I16210" s="101"/>
    </row>
    <row r="16211" spans="9:9" x14ac:dyDescent="0.3">
      <c r="I16211" s="101"/>
    </row>
    <row r="16212" spans="9:9" x14ac:dyDescent="0.3">
      <c r="I16212" s="101"/>
    </row>
    <row r="16213" spans="9:9" x14ac:dyDescent="0.3">
      <c r="I16213" s="101"/>
    </row>
    <row r="16214" spans="9:9" x14ac:dyDescent="0.3">
      <c r="I16214" s="101"/>
    </row>
    <row r="16215" spans="9:9" x14ac:dyDescent="0.3">
      <c r="I16215" s="101"/>
    </row>
    <row r="16216" spans="9:9" x14ac:dyDescent="0.3">
      <c r="I16216" s="101"/>
    </row>
    <row r="16217" spans="9:9" x14ac:dyDescent="0.3">
      <c r="I16217" s="101"/>
    </row>
    <row r="16218" spans="9:9" x14ac:dyDescent="0.3">
      <c r="I16218" s="101"/>
    </row>
    <row r="16219" spans="9:9" x14ac:dyDescent="0.3">
      <c r="I16219" s="101"/>
    </row>
    <row r="16220" spans="9:9" x14ac:dyDescent="0.3">
      <c r="I16220" s="101"/>
    </row>
    <row r="16221" spans="9:9" x14ac:dyDescent="0.3">
      <c r="I16221" s="101"/>
    </row>
    <row r="16222" spans="9:9" x14ac:dyDescent="0.3">
      <c r="I16222" s="101"/>
    </row>
    <row r="16223" spans="9:9" x14ac:dyDescent="0.3">
      <c r="I16223" s="101"/>
    </row>
    <row r="16224" spans="9:9" x14ac:dyDescent="0.3">
      <c r="I16224" s="101"/>
    </row>
    <row r="16225" spans="9:9" x14ac:dyDescent="0.3">
      <c r="I16225" s="101"/>
    </row>
    <row r="16226" spans="9:9" x14ac:dyDescent="0.3">
      <c r="I16226" s="101"/>
    </row>
    <row r="16227" spans="9:9" x14ac:dyDescent="0.3">
      <c r="I16227" s="101"/>
    </row>
    <row r="16228" spans="9:9" x14ac:dyDescent="0.3">
      <c r="I16228" s="101"/>
    </row>
    <row r="16229" spans="9:9" x14ac:dyDescent="0.3">
      <c r="I16229" s="101"/>
    </row>
    <row r="16230" spans="9:9" x14ac:dyDescent="0.3">
      <c r="I16230" s="101"/>
    </row>
    <row r="16231" spans="9:9" x14ac:dyDescent="0.3">
      <c r="I16231" s="101"/>
    </row>
    <row r="16232" spans="9:9" x14ac:dyDescent="0.3">
      <c r="I16232" s="101"/>
    </row>
    <row r="16233" spans="9:9" x14ac:dyDescent="0.3">
      <c r="I16233" s="101"/>
    </row>
    <row r="16234" spans="9:9" x14ac:dyDescent="0.3">
      <c r="I16234" s="101"/>
    </row>
    <row r="16235" spans="9:9" x14ac:dyDescent="0.3">
      <c r="I16235" s="101"/>
    </row>
    <row r="16236" spans="9:9" x14ac:dyDescent="0.3">
      <c r="I16236" s="101"/>
    </row>
    <row r="16237" spans="9:9" x14ac:dyDescent="0.3">
      <c r="I16237" s="101"/>
    </row>
    <row r="16238" spans="9:9" x14ac:dyDescent="0.3">
      <c r="I16238" s="101"/>
    </row>
    <row r="16239" spans="9:9" x14ac:dyDescent="0.3">
      <c r="I16239" s="101"/>
    </row>
    <row r="16240" spans="9:9" x14ac:dyDescent="0.3">
      <c r="I16240" s="101"/>
    </row>
    <row r="16241" spans="9:9" x14ac:dyDescent="0.3">
      <c r="I16241" s="101"/>
    </row>
    <row r="16242" spans="9:9" x14ac:dyDescent="0.3">
      <c r="I16242" s="101"/>
    </row>
    <row r="16243" spans="9:9" x14ac:dyDescent="0.3">
      <c r="I16243" s="101"/>
    </row>
    <row r="16244" spans="9:9" x14ac:dyDescent="0.3">
      <c r="I16244" s="101"/>
    </row>
    <row r="16245" spans="9:9" x14ac:dyDescent="0.3">
      <c r="I16245" s="101"/>
    </row>
    <row r="16246" spans="9:9" x14ac:dyDescent="0.3">
      <c r="I16246" s="101"/>
    </row>
    <row r="16247" spans="9:9" x14ac:dyDescent="0.3">
      <c r="I16247" s="101"/>
    </row>
    <row r="16248" spans="9:9" x14ac:dyDescent="0.3">
      <c r="I16248" s="101"/>
    </row>
    <row r="16249" spans="9:9" x14ac:dyDescent="0.3">
      <c r="I16249" s="101"/>
    </row>
    <row r="16250" spans="9:9" x14ac:dyDescent="0.3">
      <c r="I16250" s="101"/>
    </row>
    <row r="16251" spans="9:9" x14ac:dyDescent="0.3">
      <c r="I16251" s="101"/>
    </row>
    <row r="16252" spans="9:9" x14ac:dyDescent="0.3">
      <c r="I16252" s="101"/>
    </row>
    <row r="16253" spans="9:9" x14ac:dyDescent="0.3">
      <c r="I16253" s="101"/>
    </row>
    <row r="16254" spans="9:9" x14ac:dyDescent="0.3">
      <c r="I16254" s="101"/>
    </row>
    <row r="16255" spans="9:9" x14ac:dyDescent="0.3">
      <c r="I16255" s="101"/>
    </row>
    <row r="16256" spans="9:9" x14ac:dyDescent="0.3">
      <c r="I16256" s="101"/>
    </row>
    <row r="16257" spans="9:9" x14ac:dyDescent="0.3">
      <c r="I16257" s="101"/>
    </row>
    <row r="16258" spans="9:9" x14ac:dyDescent="0.3">
      <c r="I16258" s="101"/>
    </row>
    <row r="16259" spans="9:9" x14ac:dyDescent="0.3">
      <c r="I16259" s="101"/>
    </row>
    <row r="16260" spans="9:9" x14ac:dyDescent="0.3">
      <c r="I16260" s="101"/>
    </row>
    <row r="16261" spans="9:9" x14ac:dyDescent="0.3">
      <c r="I16261" s="101"/>
    </row>
    <row r="16262" spans="9:9" x14ac:dyDescent="0.3">
      <c r="I16262" s="101"/>
    </row>
    <row r="16263" spans="9:9" x14ac:dyDescent="0.3">
      <c r="I16263" s="101"/>
    </row>
    <row r="16264" spans="9:9" x14ac:dyDescent="0.3">
      <c r="I16264" s="101"/>
    </row>
    <row r="16265" spans="9:9" x14ac:dyDescent="0.3">
      <c r="I16265" s="101"/>
    </row>
    <row r="16266" spans="9:9" x14ac:dyDescent="0.3">
      <c r="I16266" s="101"/>
    </row>
    <row r="16267" spans="9:9" x14ac:dyDescent="0.3">
      <c r="I16267" s="101"/>
    </row>
    <row r="16268" spans="9:9" x14ac:dyDescent="0.3">
      <c r="I16268" s="101"/>
    </row>
    <row r="16269" spans="9:9" x14ac:dyDescent="0.3">
      <c r="I16269" s="101"/>
    </row>
    <row r="16270" spans="9:9" x14ac:dyDescent="0.3">
      <c r="I16270" s="101"/>
    </row>
    <row r="16271" spans="9:9" x14ac:dyDescent="0.3">
      <c r="I16271" s="101"/>
    </row>
    <row r="16272" spans="9:9" x14ac:dyDescent="0.3">
      <c r="I16272" s="101"/>
    </row>
    <row r="16273" spans="9:9" x14ac:dyDescent="0.3">
      <c r="I16273" s="101"/>
    </row>
    <row r="16274" spans="9:9" x14ac:dyDescent="0.3">
      <c r="I16274" s="101"/>
    </row>
    <row r="16275" spans="9:9" x14ac:dyDescent="0.3">
      <c r="I16275" s="101"/>
    </row>
    <row r="16276" spans="9:9" x14ac:dyDescent="0.3">
      <c r="I16276" s="101"/>
    </row>
    <row r="16277" spans="9:9" x14ac:dyDescent="0.3">
      <c r="I16277" s="101"/>
    </row>
    <row r="16278" spans="9:9" x14ac:dyDescent="0.3">
      <c r="I16278" s="101"/>
    </row>
    <row r="16279" spans="9:9" x14ac:dyDescent="0.3">
      <c r="I16279" s="101"/>
    </row>
    <row r="16280" spans="9:9" x14ac:dyDescent="0.3">
      <c r="I16280" s="101"/>
    </row>
    <row r="16281" spans="9:9" x14ac:dyDescent="0.3">
      <c r="I16281" s="101"/>
    </row>
    <row r="16282" spans="9:9" x14ac:dyDescent="0.3">
      <c r="I16282" s="101"/>
    </row>
    <row r="16283" spans="9:9" x14ac:dyDescent="0.3">
      <c r="I16283" s="101"/>
    </row>
    <row r="16284" spans="9:9" x14ac:dyDescent="0.3">
      <c r="I16284" s="101"/>
    </row>
    <row r="16285" spans="9:9" x14ac:dyDescent="0.3">
      <c r="I16285" s="101"/>
    </row>
    <row r="16286" spans="9:9" x14ac:dyDescent="0.3">
      <c r="I16286" s="101"/>
    </row>
    <row r="16287" spans="9:9" x14ac:dyDescent="0.3">
      <c r="I16287" s="101"/>
    </row>
    <row r="16288" spans="9:9" x14ac:dyDescent="0.3">
      <c r="I16288" s="101"/>
    </row>
    <row r="16289" spans="9:9" x14ac:dyDescent="0.3">
      <c r="I16289" s="101"/>
    </row>
    <row r="16290" spans="9:9" x14ac:dyDescent="0.3">
      <c r="I16290" s="101"/>
    </row>
    <row r="16291" spans="9:9" x14ac:dyDescent="0.3">
      <c r="I16291" s="101"/>
    </row>
    <row r="16292" spans="9:9" x14ac:dyDescent="0.3">
      <c r="I16292" s="101"/>
    </row>
    <row r="16293" spans="9:9" x14ac:dyDescent="0.3">
      <c r="I16293" s="101"/>
    </row>
    <row r="16294" spans="9:9" x14ac:dyDescent="0.3">
      <c r="I16294" s="101"/>
    </row>
    <row r="16295" spans="9:9" x14ac:dyDescent="0.3">
      <c r="I16295" s="101"/>
    </row>
    <row r="16296" spans="9:9" x14ac:dyDescent="0.3">
      <c r="I16296" s="101"/>
    </row>
    <row r="16297" spans="9:9" x14ac:dyDescent="0.3">
      <c r="I16297" s="101"/>
    </row>
    <row r="16298" spans="9:9" x14ac:dyDescent="0.3">
      <c r="I16298" s="101"/>
    </row>
    <row r="16299" spans="9:9" x14ac:dyDescent="0.3">
      <c r="I16299" s="101"/>
    </row>
    <row r="16300" spans="9:9" x14ac:dyDescent="0.3">
      <c r="I16300" s="101"/>
    </row>
    <row r="16301" spans="9:9" x14ac:dyDescent="0.3">
      <c r="I16301" s="101"/>
    </row>
    <row r="16302" spans="9:9" x14ac:dyDescent="0.3">
      <c r="I16302" s="101"/>
    </row>
    <row r="16303" spans="9:9" x14ac:dyDescent="0.3">
      <c r="I16303" s="101"/>
    </row>
    <row r="16304" spans="9:9" x14ac:dyDescent="0.3">
      <c r="I16304" s="101"/>
    </row>
    <row r="16305" spans="9:9" x14ac:dyDescent="0.3">
      <c r="I16305" s="101"/>
    </row>
    <row r="16306" spans="9:9" x14ac:dyDescent="0.3">
      <c r="I16306" s="101"/>
    </row>
    <row r="16307" spans="9:9" x14ac:dyDescent="0.3">
      <c r="I16307" s="101"/>
    </row>
    <row r="16308" spans="9:9" x14ac:dyDescent="0.3">
      <c r="I16308" s="101"/>
    </row>
    <row r="16309" spans="9:9" x14ac:dyDescent="0.3">
      <c r="I16309" s="101"/>
    </row>
    <row r="16310" spans="9:9" x14ac:dyDescent="0.3">
      <c r="I16310" s="101"/>
    </row>
    <row r="16311" spans="9:9" x14ac:dyDescent="0.3">
      <c r="I16311" s="101"/>
    </row>
    <row r="16312" spans="9:9" x14ac:dyDescent="0.3">
      <c r="I16312" s="101"/>
    </row>
    <row r="16313" spans="9:9" x14ac:dyDescent="0.3">
      <c r="I16313" s="101"/>
    </row>
    <row r="16314" spans="9:9" x14ac:dyDescent="0.3">
      <c r="I16314" s="101"/>
    </row>
    <row r="16315" spans="9:9" x14ac:dyDescent="0.3">
      <c r="I16315" s="101"/>
    </row>
    <row r="16316" spans="9:9" x14ac:dyDescent="0.3">
      <c r="I16316" s="101"/>
    </row>
    <row r="16317" spans="9:9" x14ac:dyDescent="0.3">
      <c r="I16317" s="101"/>
    </row>
    <row r="16318" spans="9:9" x14ac:dyDescent="0.3">
      <c r="I16318" s="101"/>
    </row>
    <row r="16319" spans="9:9" x14ac:dyDescent="0.3">
      <c r="I16319" s="101"/>
    </row>
    <row r="16320" spans="9:9" x14ac:dyDescent="0.3">
      <c r="I16320" s="101"/>
    </row>
    <row r="16321" spans="9:9" x14ac:dyDescent="0.3">
      <c r="I16321" s="101"/>
    </row>
    <row r="16322" spans="9:9" x14ac:dyDescent="0.3">
      <c r="I16322" s="101"/>
    </row>
    <row r="16323" spans="9:9" x14ac:dyDescent="0.3">
      <c r="I16323" s="101"/>
    </row>
    <row r="16324" spans="9:9" x14ac:dyDescent="0.3">
      <c r="I16324" s="101"/>
    </row>
    <row r="16325" spans="9:9" x14ac:dyDescent="0.3">
      <c r="I16325" s="101"/>
    </row>
    <row r="16326" spans="9:9" x14ac:dyDescent="0.3">
      <c r="I16326" s="101"/>
    </row>
    <row r="16327" spans="9:9" x14ac:dyDescent="0.3">
      <c r="I16327" s="101"/>
    </row>
    <row r="16328" spans="9:9" x14ac:dyDescent="0.3">
      <c r="I16328" s="101"/>
    </row>
    <row r="16329" spans="9:9" x14ac:dyDescent="0.3">
      <c r="I16329" s="101"/>
    </row>
    <row r="16330" spans="9:9" x14ac:dyDescent="0.3">
      <c r="I16330" s="101"/>
    </row>
    <row r="16331" spans="9:9" x14ac:dyDescent="0.3">
      <c r="I16331" s="101"/>
    </row>
    <row r="16332" spans="9:9" x14ac:dyDescent="0.3">
      <c r="I16332" s="101"/>
    </row>
    <row r="16333" spans="9:9" x14ac:dyDescent="0.3">
      <c r="I16333" s="101"/>
    </row>
    <row r="16334" spans="9:9" x14ac:dyDescent="0.3">
      <c r="I16334" s="101"/>
    </row>
    <row r="16335" spans="9:9" x14ac:dyDescent="0.3">
      <c r="I16335" s="101"/>
    </row>
    <row r="16336" spans="9:9" x14ac:dyDescent="0.3">
      <c r="I16336" s="101"/>
    </row>
    <row r="16337" spans="9:9" x14ac:dyDescent="0.3">
      <c r="I16337" s="101"/>
    </row>
    <row r="16338" spans="9:9" x14ac:dyDescent="0.3">
      <c r="I16338" s="101"/>
    </row>
    <row r="16339" spans="9:9" x14ac:dyDescent="0.3">
      <c r="I16339" s="101"/>
    </row>
    <row r="16340" spans="9:9" x14ac:dyDescent="0.3">
      <c r="I16340" s="101"/>
    </row>
    <row r="16341" spans="9:9" x14ac:dyDescent="0.3">
      <c r="I16341" s="101"/>
    </row>
    <row r="16342" spans="9:9" x14ac:dyDescent="0.3">
      <c r="I16342" s="101"/>
    </row>
    <row r="16343" spans="9:9" x14ac:dyDescent="0.3">
      <c r="I16343" s="101"/>
    </row>
    <row r="16344" spans="9:9" x14ac:dyDescent="0.3">
      <c r="I16344" s="101"/>
    </row>
    <row r="16345" spans="9:9" x14ac:dyDescent="0.3">
      <c r="I16345" s="101"/>
    </row>
    <row r="16346" spans="9:9" x14ac:dyDescent="0.3">
      <c r="I16346" s="101"/>
    </row>
    <row r="16347" spans="9:9" x14ac:dyDescent="0.3">
      <c r="I16347" s="101"/>
    </row>
    <row r="16348" spans="9:9" x14ac:dyDescent="0.3">
      <c r="I16348" s="101"/>
    </row>
    <row r="16349" spans="9:9" x14ac:dyDescent="0.3">
      <c r="I16349" s="101"/>
    </row>
    <row r="16350" spans="9:9" x14ac:dyDescent="0.3">
      <c r="I16350" s="101"/>
    </row>
    <row r="16351" spans="9:9" x14ac:dyDescent="0.3">
      <c r="I16351" s="101"/>
    </row>
    <row r="16352" spans="9:9" x14ac:dyDescent="0.3">
      <c r="I16352" s="101"/>
    </row>
    <row r="16353" spans="9:9" x14ac:dyDescent="0.3">
      <c r="I16353" s="101"/>
    </row>
    <row r="16354" spans="9:9" x14ac:dyDescent="0.3">
      <c r="I16354" s="101"/>
    </row>
    <row r="16355" spans="9:9" x14ac:dyDescent="0.3">
      <c r="I16355" s="101"/>
    </row>
    <row r="16356" spans="9:9" x14ac:dyDescent="0.3">
      <c r="I16356" s="101"/>
    </row>
    <row r="16357" spans="9:9" x14ac:dyDescent="0.3">
      <c r="I16357" s="101"/>
    </row>
    <row r="16358" spans="9:9" x14ac:dyDescent="0.3">
      <c r="I16358" s="101"/>
    </row>
    <row r="16359" spans="9:9" x14ac:dyDescent="0.3">
      <c r="I16359" s="101"/>
    </row>
    <row r="16360" spans="9:9" x14ac:dyDescent="0.3">
      <c r="I16360" s="101"/>
    </row>
    <row r="16361" spans="9:9" x14ac:dyDescent="0.3">
      <c r="I16361" s="101"/>
    </row>
    <row r="16362" spans="9:9" x14ac:dyDescent="0.3">
      <c r="I16362" s="101"/>
    </row>
    <row r="16363" spans="9:9" x14ac:dyDescent="0.3">
      <c r="I16363" s="101"/>
    </row>
    <row r="16364" spans="9:9" x14ac:dyDescent="0.3">
      <c r="I16364" s="101"/>
    </row>
    <row r="16365" spans="9:9" x14ac:dyDescent="0.3">
      <c r="I16365" s="101"/>
    </row>
    <row r="16366" spans="9:9" x14ac:dyDescent="0.3">
      <c r="I16366" s="101"/>
    </row>
    <row r="16367" spans="9:9" x14ac:dyDescent="0.3">
      <c r="I16367" s="101"/>
    </row>
    <row r="16368" spans="9:9" x14ac:dyDescent="0.3">
      <c r="I16368" s="101"/>
    </row>
    <row r="16369" spans="9:9" x14ac:dyDescent="0.3">
      <c r="I16369" s="101"/>
    </row>
    <row r="16370" spans="9:9" x14ac:dyDescent="0.3">
      <c r="I16370" s="101"/>
    </row>
    <row r="16371" spans="9:9" x14ac:dyDescent="0.3">
      <c r="I16371" s="101"/>
    </row>
    <row r="16372" spans="9:9" x14ac:dyDescent="0.3">
      <c r="I16372" s="101"/>
    </row>
    <row r="16373" spans="9:9" x14ac:dyDescent="0.3">
      <c r="I16373" s="101"/>
    </row>
    <row r="16374" spans="9:9" x14ac:dyDescent="0.3">
      <c r="I16374" s="101"/>
    </row>
    <row r="16375" spans="9:9" x14ac:dyDescent="0.3">
      <c r="I16375" s="101"/>
    </row>
    <row r="16376" spans="9:9" x14ac:dyDescent="0.3">
      <c r="I16376" s="101"/>
    </row>
    <row r="16377" spans="9:9" x14ac:dyDescent="0.3">
      <c r="I16377" s="101"/>
    </row>
    <row r="16378" spans="9:9" x14ac:dyDescent="0.3">
      <c r="I16378" s="101"/>
    </row>
    <row r="16379" spans="9:9" x14ac:dyDescent="0.3">
      <c r="I16379" s="101"/>
    </row>
    <row r="16380" spans="9:9" x14ac:dyDescent="0.3">
      <c r="I16380" s="101"/>
    </row>
    <row r="16381" spans="9:9" x14ac:dyDescent="0.3">
      <c r="I16381" s="101"/>
    </row>
    <row r="16382" spans="9:9" x14ac:dyDescent="0.3">
      <c r="I16382" s="101"/>
    </row>
    <row r="16383" spans="9:9" x14ac:dyDescent="0.3">
      <c r="I16383" s="101"/>
    </row>
    <row r="16384" spans="9:9" x14ac:dyDescent="0.3">
      <c r="I16384" s="101"/>
    </row>
    <row r="16385" spans="9:9" x14ac:dyDescent="0.3">
      <c r="I16385" s="101"/>
    </row>
    <row r="16386" spans="9:9" x14ac:dyDescent="0.3">
      <c r="I16386" s="101"/>
    </row>
    <row r="16387" spans="9:9" x14ac:dyDescent="0.3">
      <c r="I16387" s="101"/>
    </row>
    <row r="16388" spans="9:9" x14ac:dyDescent="0.3">
      <c r="I16388" s="101"/>
    </row>
    <row r="16389" spans="9:9" x14ac:dyDescent="0.3">
      <c r="I16389" s="101"/>
    </row>
    <row r="16390" spans="9:9" x14ac:dyDescent="0.3">
      <c r="I16390" s="101"/>
    </row>
    <row r="16391" spans="9:9" x14ac:dyDescent="0.3">
      <c r="I16391" s="101"/>
    </row>
    <row r="16392" spans="9:9" x14ac:dyDescent="0.3">
      <c r="I16392" s="101"/>
    </row>
    <row r="16393" spans="9:9" x14ac:dyDescent="0.3">
      <c r="I16393" s="101"/>
    </row>
    <row r="16394" spans="9:9" x14ac:dyDescent="0.3">
      <c r="I16394" s="101"/>
    </row>
    <row r="16395" spans="9:9" x14ac:dyDescent="0.3">
      <c r="I16395" s="101"/>
    </row>
    <row r="16396" spans="9:9" x14ac:dyDescent="0.3">
      <c r="I16396" s="101"/>
    </row>
    <row r="16397" spans="9:9" x14ac:dyDescent="0.3">
      <c r="I16397" s="101"/>
    </row>
    <row r="16398" spans="9:9" x14ac:dyDescent="0.3">
      <c r="I16398" s="101"/>
    </row>
    <row r="16399" spans="9:9" x14ac:dyDescent="0.3">
      <c r="I16399" s="101"/>
    </row>
    <row r="16400" spans="9:9" x14ac:dyDescent="0.3">
      <c r="I16400" s="101"/>
    </row>
    <row r="16401" spans="9:9" x14ac:dyDescent="0.3">
      <c r="I16401" s="101"/>
    </row>
    <row r="16402" spans="9:9" x14ac:dyDescent="0.3">
      <c r="I16402" s="101"/>
    </row>
    <row r="16403" spans="9:9" x14ac:dyDescent="0.3">
      <c r="I16403" s="101"/>
    </row>
    <row r="16404" spans="9:9" x14ac:dyDescent="0.3">
      <c r="I16404" s="101"/>
    </row>
    <row r="16405" spans="9:9" x14ac:dyDescent="0.3">
      <c r="I16405" s="101"/>
    </row>
    <row r="16406" spans="9:9" x14ac:dyDescent="0.3">
      <c r="I16406" s="101"/>
    </row>
    <row r="16407" spans="9:9" x14ac:dyDescent="0.3">
      <c r="I16407" s="101"/>
    </row>
    <row r="16408" spans="9:9" x14ac:dyDescent="0.3">
      <c r="I16408" s="101"/>
    </row>
    <row r="16409" spans="9:9" x14ac:dyDescent="0.3">
      <c r="I16409" s="101"/>
    </row>
    <row r="16410" spans="9:9" x14ac:dyDescent="0.3">
      <c r="I16410" s="101"/>
    </row>
    <row r="16411" spans="9:9" x14ac:dyDescent="0.3">
      <c r="I16411" s="101"/>
    </row>
    <row r="16412" spans="9:9" x14ac:dyDescent="0.3">
      <c r="I16412" s="101"/>
    </row>
    <row r="16413" spans="9:9" x14ac:dyDescent="0.3">
      <c r="I16413" s="101"/>
    </row>
    <row r="16414" spans="9:9" x14ac:dyDescent="0.3">
      <c r="I16414" s="101"/>
    </row>
    <row r="16415" spans="9:9" x14ac:dyDescent="0.3">
      <c r="I16415" s="101"/>
    </row>
    <row r="16416" spans="9:9" x14ac:dyDescent="0.3">
      <c r="I16416" s="101"/>
    </row>
    <row r="16417" spans="9:9" x14ac:dyDescent="0.3">
      <c r="I16417" s="101"/>
    </row>
    <row r="16418" spans="9:9" x14ac:dyDescent="0.3">
      <c r="I16418" s="101"/>
    </row>
    <row r="16419" spans="9:9" x14ac:dyDescent="0.3">
      <c r="I16419" s="101"/>
    </row>
    <row r="16420" spans="9:9" x14ac:dyDescent="0.3">
      <c r="I16420" s="101"/>
    </row>
    <row r="16421" spans="9:9" x14ac:dyDescent="0.3">
      <c r="I16421" s="101"/>
    </row>
    <row r="16422" spans="9:9" x14ac:dyDescent="0.3">
      <c r="I16422" s="101"/>
    </row>
    <row r="16423" spans="9:9" x14ac:dyDescent="0.3">
      <c r="I16423" s="101"/>
    </row>
    <row r="16424" spans="9:9" x14ac:dyDescent="0.3">
      <c r="I16424" s="101"/>
    </row>
    <row r="16425" spans="9:9" x14ac:dyDescent="0.3">
      <c r="I16425" s="101"/>
    </row>
    <row r="16426" spans="9:9" x14ac:dyDescent="0.3">
      <c r="I16426" s="101"/>
    </row>
    <row r="16427" spans="9:9" x14ac:dyDescent="0.3">
      <c r="I16427" s="101"/>
    </row>
    <row r="16428" spans="9:9" x14ac:dyDescent="0.3">
      <c r="I16428" s="101"/>
    </row>
    <row r="16429" spans="9:9" x14ac:dyDescent="0.3">
      <c r="I16429" s="101"/>
    </row>
    <row r="16430" spans="9:9" x14ac:dyDescent="0.3">
      <c r="I16430" s="101"/>
    </row>
    <row r="16431" spans="9:9" x14ac:dyDescent="0.3">
      <c r="I16431" s="101"/>
    </row>
    <row r="16432" spans="9:9" x14ac:dyDescent="0.3">
      <c r="I16432" s="101"/>
    </row>
    <row r="16433" spans="9:9" x14ac:dyDescent="0.3">
      <c r="I16433" s="101"/>
    </row>
    <row r="16434" spans="9:9" x14ac:dyDescent="0.3">
      <c r="I16434" s="101"/>
    </row>
    <row r="16435" spans="9:9" x14ac:dyDescent="0.3">
      <c r="I16435" s="101"/>
    </row>
    <row r="16436" spans="9:9" x14ac:dyDescent="0.3">
      <c r="I16436" s="101"/>
    </row>
    <row r="16437" spans="9:9" x14ac:dyDescent="0.3">
      <c r="I16437" s="101"/>
    </row>
    <row r="16438" spans="9:9" x14ac:dyDescent="0.3">
      <c r="I16438" s="101"/>
    </row>
    <row r="16439" spans="9:9" x14ac:dyDescent="0.3">
      <c r="I16439" s="101"/>
    </row>
    <row r="16440" spans="9:9" x14ac:dyDescent="0.3">
      <c r="I16440" s="101"/>
    </row>
    <row r="16441" spans="9:9" x14ac:dyDescent="0.3">
      <c r="I16441" s="101"/>
    </row>
    <row r="16442" spans="9:9" x14ac:dyDescent="0.3">
      <c r="I16442" s="101"/>
    </row>
    <row r="16443" spans="9:9" x14ac:dyDescent="0.3">
      <c r="I16443" s="101"/>
    </row>
    <row r="16444" spans="9:9" x14ac:dyDescent="0.3">
      <c r="I16444" s="101"/>
    </row>
    <row r="16445" spans="9:9" x14ac:dyDescent="0.3">
      <c r="I16445" s="101"/>
    </row>
    <row r="16446" spans="9:9" x14ac:dyDescent="0.3">
      <c r="I16446" s="101"/>
    </row>
    <row r="16447" spans="9:9" x14ac:dyDescent="0.3">
      <c r="I16447" s="101"/>
    </row>
    <row r="16448" spans="9:9" x14ac:dyDescent="0.3">
      <c r="I16448" s="101"/>
    </row>
    <row r="16449" spans="9:9" x14ac:dyDescent="0.3">
      <c r="I16449" s="101"/>
    </row>
    <row r="16450" spans="9:9" x14ac:dyDescent="0.3">
      <c r="I16450" s="101"/>
    </row>
    <row r="16451" spans="9:9" x14ac:dyDescent="0.3">
      <c r="I16451" s="101"/>
    </row>
    <row r="16452" spans="9:9" x14ac:dyDescent="0.3">
      <c r="I16452" s="101"/>
    </row>
    <row r="16453" spans="9:9" x14ac:dyDescent="0.3">
      <c r="I16453" s="101"/>
    </row>
    <row r="16454" spans="9:9" x14ac:dyDescent="0.3">
      <c r="I16454" s="101"/>
    </row>
    <row r="16455" spans="9:9" x14ac:dyDescent="0.3">
      <c r="I16455" s="101"/>
    </row>
    <row r="16456" spans="9:9" x14ac:dyDescent="0.3">
      <c r="I16456" s="101"/>
    </row>
    <row r="16457" spans="9:9" x14ac:dyDescent="0.3">
      <c r="I16457" s="101"/>
    </row>
    <row r="16458" spans="9:9" x14ac:dyDescent="0.3">
      <c r="I16458" s="101"/>
    </row>
    <row r="16459" spans="9:9" x14ac:dyDescent="0.3">
      <c r="I16459" s="101"/>
    </row>
    <row r="16460" spans="9:9" x14ac:dyDescent="0.3">
      <c r="I16460" s="101"/>
    </row>
    <row r="16461" spans="9:9" x14ac:dyDescent="0.3">
      <c r="I16461" s="101"/>
    </row>
    <row r="16462" spans="9:9" x14ac:dyDescent="0.3">
      <c r="I16462" s="101"/>
    </row>
    <row r="16463" spans="9:9" x14ac:dyDescent="0.3">
      <c r="I16463" s="101"/>
    </row>
    <row r="16464" spans="9:9" x14ac:dyDescent="0.3">
      <c r="I16464" s="101"/>
    </row>
    <row r="16465" spans="9:9" x14ac:dyDescent="0.3">
      <c r="I16465" s="101"/>
    </row>
    <row r="16466" spans="9:9" x14ac:dyDescent="0.3">
      <c r="I16466" s="101"/>
    </row>
    <row r="16467" spans="9:9" x14ac:dyDescent="0.3">
      <c r="I16467" s="101"/>
    </row>
    <row r="16468" spans="9:9" x14ac:dyDescent="0.3">
      <c r="I16468" s="101"/>
    </row>
    <row r="16469" spans="9:9" x14ac:dyDescent="0.3">
      <c r="I16469" s="101"/>
    </row>
    <row r="16470" spans="9:9" x14ac:dyDescent="0.3">
      <c r="I16470" s="101"/>
    </row>
    <row r="16471" spans="9:9" x14ac:dyDescent="0.3">
      <c r="I16471" s="101"/>
    </row>
    <row r="16472" spans="9:9" x14ac:dyDescent="0.3">
      <c r="I16472" s="101"/>
    </row>
    <row r="16473" spans="9:9" x14ac:dyDescent="0.3">
      <c r="I16473" s="101"/>
    </row>
    <row r="16474" spans="9:9" x14ac:dyDescent="0.3">
      <c r="I16474" s="101"/>
    </row>
    <row r="16475" spans="9:9" x14ac:dyDescent="0.3">
      <c r="I16475" s="101"/>
    </row>
    <row r="16476" spans="9:9" x14ac:dyDescent="0.3">
      <c r="I16476" s="101"/>
    </row>
    <row r="16477" spans="9:9" x14ac:dyDescent="0.3">
      <c r="I16477" s="101"/>
    </row>
    <row r="16478" spans="9:9" x14ac:dyDescent="0.3">
      <c r="I16478" s="101"/>
    </row>
    <row r="16479" spans="9:9" x14ac:dyDescent="0.3">
      <c r="I16479" s="101"/>
    </row>
    <row r="16480" spans="9:9" x14ac:dyDescent="0.3">
      <c r="I16480" s="101"/>
    </row>
    <row r="16481" spans="9:9" x14ac:dyDescent="0.3">
      <c r="I16481" s="101"/>
    </row>
    <row r="16482" spans="9:9" x14ac:dyDescent="0.3">
      <c r="I16482" s="101"/>
    </row>
    <row r="16483" spans="9:9" x14ac:dyDescent="0.3">
      <c r="I16483" s="101"/>
    </row>
    <row r="16484" spans="9:9" x14ac:dyDescent="0.3">
      <c r="I16484" s="101"/>
    </row>
    <row r="16485" spans="9:9" x14ac:dyDescent="0.3">
      <c r="I16485" s="101"/>
    </row>
    <row r="16486" spans="9:9" x14ac:dyDescent="0.3">
      <c r="I16486" s="101"/>
    </row>
    <row r="16487" spans="9:9" x14ac:dyDescent="0.3">
      <c r="I16487" s="101"/>
    </row>
    <row r="16488" spans="9:9" x14ac:dyDescent="0.3">
      <c r="I16488" s="101"/>
    </row>
    <row r="16489" spans="9:9" x14ac:dyDescent="0.3">
      <c r="I16489" s="101"/>
    </row>
    <row r="16490" spans="9:9" x14ac:dyDescent="0.3">
      <c r="I16490" s="101"/>
    </row>
    <row r="16491" spans="9:9" x14ac:dyDescent="0.3">
      <c r="I16491" s="101"/>
    </row>
    <row r="16492" spans="9:9" x14ac:dyDescent="0.3">
      <c r="I16492" s="101"/>
    </row>
    <row r="16493" spans="9:9" x14ac:dyDescent="0.3">
      <c r="I16493" s="101"/>
    </row>
    <row r="16494" spans="9:9" x14ac:dyDescent="0.3">
      <c r="I16494" s="101"/>
    </row>
    <row r="16495" spans="9:9" x14ac:dyDescent="0.3">
      <c r="I16495" s="101"/>
    </row>
    <row r="16496" spans="9:9" x14ac:dyDescent="0.3">
      <c r="I16496" s="101"/>
    </row>
    <row r="16497" spans="9:9" x14ac:dyDescent="0.3">
      <c r="I16497" s="101"/>
    </row>
    <row r="16498" spans="9:9" x14ac:dyDescent="0.3">
      <c r="I16498" s="101"/>
    </row>
    <row r="16499" spans="9:9" x14ac:dyDescent="0.3">
      <c r="I16499" s="101"/>
    </row>
    <row r="16500" spans="9:9" x14ac:dyDescent="0.3">
      <c r="I16500" s="101"/>
    </row>
    <row r="16501" spans="9:9" x14ac:dyDescent="0.3">
      <c r="I16501" s="101"/>
    </row>
    <row r="16502" spans="9:9" x14ac:dyDescent="0.3">
      <c r="I16502" s="101"/>
    </row>
    <row r="16503" spans="9:9" x14ac:dyDescent="0.3">
      <c r="I16503" s="101"/>
    </row>
    <row r="16504" spans="9:9" x14ac:dyDescent="0.3">
      <c r="I16504" s="101"/>
    </row>
    <row r="16505" spans="9:9" x14ac:dyDescent="0.3">
      <c r="I16505" s="101"/>
    </row>
    <row r="16506" spans="9:9" x14ac:dyDescent="0.3">
      <c r="I16506" s="101"/>
    </row>
    <row r="16507" spans="9:9" x14ac:dyDescent="0.3">
      <c r="I16507" s="101"/>
    </row>
    <row r="16508" spans="9:9" x14ac:dyDescent="0.3">
      <c r="I16508" s="101"/>
    </row>
    <row r="16509" spans="9:9" x14ac:dyDescent="0.3">
      <c r="I16509" s="101"/>
    </row>
    <row r="16510" spans="9:9" x14ac:dyDescent="0.3">
      <c r="I16510" s="101"/>
    </row>
    <row r="16511" spans="9:9" x14ac:dyDescent="0.3">
      <c r="I16511" s="101"/>
    </row>
    <row r="16512" spans="9:9" x14ac:dyDescent="0.3">
      <c r="I16512" s="101"/>
    </row>
    <row r="16513" spans="9:9" x14ac:dyDescent="0.3">
      <c r="I16513" s="101"/>
    </row>
    <row r="16514" spans="9:9" x14ac:dyDescent="0.3">
      <c r="I16514" s="101"/>
    </row>
    <row r="16515" spans="9:9" x14ac:dyDescent="0.3">
      <c r="I16515" s="101"/>
    </row>
    <row r="16516" spans="9:9" x14ac:dyDescent="0.3">
      <c r="I16516" s="101"/>
    </row>
    <row r="16517" spans="9:9" x14ac:dyDescent="0.3">
      <c r="I16517" s="101"/>
    </row>
    <row r="16518" spans="9:9" x14ac:dyDescent="0.3">
      <c r="I16518" s="101"/>
    </row>
    <row r="16519" spans="9:9" x14ac:dyDescent="0.3">
      <c r="I16519" s="101"/>
    </row>
    <row r="16520" spans="9:9" x14ac:dyDescent="0.3">
      <c r="I16520" s="101"/>
    </row>
    <row r="16521" spans="9:9" x14ac:dyDescent="0.3">
      <c r="I16521" s="101"/>
    </row>
    <row r="16522" spans="9:9" x14ac:dyDescent="0.3">
      <c r="I16522" s="101"/>
    </row>
    <row r="16523" spans="9:9" x14ac:dyDescent="0.3">
      <c r="I16523" s="101"/>
    </row>
    <row r="16524" spans="9:9" x14ac:dyDescent="0.3">
      <c r="I16524" s="101"/>
    </row>
    <row r="16525" spans="9:9" x14ac:dyDescent="0.3">
      <c r="I16525" s="101"/>
    </row>
    <row r="16526" spans="9:9" x14ac:dyDescent="0.3">
      <c r="I16526" s="101"/>
    </row>
    <row r="16527" spans="9:9" x14ac:dyDescent="0.3">
      <c r="I16527" s="101"/>
    </row>
    <row r="16528" spans="9:9" x14ac:dyDescent="0.3">
      <c r="I16528" s="101"/>
    </row>
    <row r="16529" spans="9:9" x14ac:dyDescent="0.3">
      <c r="I16529" s="101"/>
    </row>
    <row r="16530" spans="9:9" x14ac:dyDescent="0.3">
      <c r="I16530" s="101"/>
    </row>
    <row r="16531" spans="9:9" x14ac:dyDescent="0.3">
      <c r="I16531" s="101"/>
    </row>
    <row r="16532" spans="9:9" x14ac:dyDescent="0.3">
      <c r="I16532" s="101"/>
    </row>
    <row r="16533" spans="9:9" x14ac:dyDescent="0.3">
      <c r="I16533" s="101"/>
    </row>
    <row r="16534" spans="9:9" x14ac:dyDescent="0.3">
      <c r="I16534" s="101"/>
    </row>
    <row r="16535" spans="9:9" x14ac:dyDescent="0.3">
      <c r="I16535" s="101"/>
    </row>
    <row r="16536" spans="9:9" x14ac:dyDescent="0.3">
      <c r="I16536" s="101"/>
    </row>
    <row r="16537" spans="9:9" x14ac:dyDescent="0.3">
      <c r="I16537" s="101"/>
    </row>
    <row r="16538" spans="9:9" x14ac:dyDescent="0.3">
      <c r="I16538" s="101"/>
    </row>
    <row r="16539" spans="9:9" x14ac:dyDescent="0.3">
      <c r="I16539" s="101"/>
    </row>
    <row r="16540" spans="9:9" x14ac:dyDescent="0.3">
      <c r="I16540" s="101"/>
    </row>
    <row r="16541" spans="9:9" x14ac:dyDescent="0.3">
      <c r="I16541" s="101"/>
    </row>
    <row r="16542" spans="9:9" x14ac:dyDescent="0.3">
      <c r="I16542" s="101"/>
    </row>
    <row r="16543" spans="9:9" x14ac:dyDescent="0.3">
      <c r="I16543" s="101"/>
    </row>
    <row r="16544" spans="9:9" x14ac:dyDescent="0.3">
      <c r="I16544" s="101"/>
    </row>
    <row r="16545" spans="9:9" x14ac:dyDescent="0.3">
      <c r="I16545" s="101"/>
    </row>
    <row r="16546" spans="9:9" x14ac:dyDescent="0.3">
      <c r="I16546" s="101"/>
    </row>
    <row r="16547" spans="9:9" x14ac:dyDescent="0.3">
      <c r="I16547" s="101"/>
    </row>
    <row r="16548" spans="9:9" x14ac:dyDescent="0.3">
      <c r="I16548" s="101"/>
    </row>
    <row r="16549" spans="9:9" x14ac:dyDescent="0.3">
      <c r="I16549" s="101"/>
    </row>
    <row r="16550" spans="9:9" x14ac:dyDescent="0.3">
      <c r="I16550" s="101"/>
    </row>
    <row r="16551" spans="9:9" x14ac:dyDescent="0.3">
      <c r="I16551" s="101"/>
    </row>
    <row r="16552" spans="9:9" x14ac:dyDescent="0.3">
      <c r="I16552" s="101"/>
    </row>
    <row r="16553" spans="9:9" x14ac:dyDescent="0.3">
      <c r="I16553" s="101"/>
    </row>
    <row r="16554" spans="9:9" x14ac:dyDescent="0.3">
      <c r="I16554" s="101"/>
    </row>
    <row r="16555" spans="9:9" x14ac:dyDescent="0.3">
      <c r="I16555" s="101"/>
    </row>
    <row r="16556" spans="9:9" x14ac:dyDescent="0.3">
      <c r="I16556" s="101"/>
    </row>
    <row r="16557" spans="9:9" x14ac:dyDescent="0.3">
      <c r="I16557" s="101"/>
    </row>
    <row r="16558" spans="9:9" x14ac:dyDescent="0.3">
      <c r="I16558" s="101"/>
    </row>
    <row r="16559" spans="9:9" x14ac:dyDescent="0.3">
      <c r="I16559" s="101"/>
    </row>
    <row r="16560" spans="9:9" x14ac:dyDescent="0.3">
      <c r="I16560" s="101"/>
    </row>
    <row r="16561" spans="9:9" x14ac:dyDescent="0.3">
      <c r="I16561" s="101"/>
    </row>
    <row r="16562" spans="9:9" x14ac:dyDescent="0.3">
      <c r="I16562" s="101"/>
    </row>
    <row r="16563" spans="9:9" x14ac:dyDescent="0.3">
      <c r="I16563" s="101"/>
    </row>
    <row r="16564" spans="9:9" x14ac:dyDescent="0.3">
      <c r="I16564" s="101"/>
    </row>
    <row r="16565" spans="9:9" x14ac:dyDescent="0.3">
      <c r="I16565" s="101"/>
    </row>
    <row r="16566" spans="9:9" x14ac:dyDescent="0.3">
      <c r="I16566" s="101"/>
    </row>
    <row r="16567" spans="9:9" x14ac:dyDescent="0.3">
      <c r="I16567" s="101"/>
    </row>
    <row r="16568" spans="9:9" x14ac:dyDescent="0.3">
      <c r="I16568" s="101"/>
    </row>
    <row r="16569" spans="9:9" x14ac:dyDescent="0.3">
      <c r="I16569" s="101"/>
    </row>
    <row r="16570" spans="9:9" x14ac:dyDescent="0.3">
      <c r="I16570" s="101"/>
    </row>
    <row r="16571" spans="9:9" x14ac:dyDescent="0.3">
      <c r="I16571" s="101"/>
    </row>
    <row r="16572" spans="9:9" x14ac:dyDescent="0.3">
      <c r="I16572" s="101"/>
    </row>
    <row r="16573" spans="9:9" x14ac:dyDescent="0.3">
      <c r="I16573" s="101"/>
    </row>
    <row r="16574" spans="9:9" x14ac:dyDescent="0.3">
      <c r="I16574" s="101"/>
    </row>
    <row r="16575" spans="9:9" x14ac:dyDescent="0.3">
      <c r="I16575" s="101"/>
    </row>
    <row r="16576" spans="9:9" x14ac:dyDescent="0.3">
      <c r="I16576" s="101"/>
    </row>
    <row r="16577" spans="9:9" x14ac:dyDescent="0.3">
      <c r="I16577" s="101"/>
    </row>
    <row r="16578" spans="9:9" x14ac:dyDescent="0.3">
      <c r="I16578" s="101"/>
    </row>
    <row r="16579" spans="9:9" x14ac:dyDescent="0.3">
      <c r="I16579" s="101"/>
    </row>
    <row r="16580" spans="9:9" x14ac:dyDescent="0.3">
      <c r="I16580" s="101"/>
    </row>
    <row r="16581" spans="9:9" x14ac:dyDescent="0.3">
      <c r="I16581" s="101"/>
    </row>
    <row r="16582" spans="9:9" x14ac:dyDescent="0.3">
      <c r="I16582" s="101"/>
    </row>
    <row r="16583" spans="9:9" x14ac:dyDescent="0.3">
      <c r="I16583" s="101"/>
    </row>
    <row r="16584" spans="9:9" x14ac:dyDescent="0.3">
      <c r="I16584" s="101"/>
    </row>
    <row r="16585" spans="9:9" x14ac:dyDescent="0.3">
      <c r="I16585" s="101"/>
    </row>
    <row r="16586" spans="9:9" x14ac:dyDescent="0.3">
      <c r="I16586" s="101"/>
    </row>
    <row r="16587" spans="9:9" x14ac:dyDescent="0.3">
      <c r="I16587" s="101"/>
    </row>
    <row r="16588" spans="9:9" x14ac:dyDescent="0.3">
      <c r="I16588" s="101"/>
    </row>
    <row r="16589" spans="9:9" x14ac:dyDescent="0.3">
      <c r="I16589" s="101"/>
    </row>
    <row r="16590" spans="9:9" x14ac:dyDescent="0.3">
      <c r="I16590" s="101"/>
    </row>
    <row r="16591" spans="9:9" x14ac:dyDescent="0.3">
      <c r="I16591" s="101"/>
    </row>
    <row r="16592" spans="9:9" x14ac:dyDescent="0.3">
      <c r="I16592" s="101"/>
    </row>
    <row r="16593" spans="9:9" x14ac:dyDescent="0.3">
      <c r="I16593" s="101"/>
    </row>
    <row r="16594" spans="9:9" x14ac:dyDescent="0.3">
      <c r="I16594" s="101"/>
    </row>
    <row r="16595" spans="9:9" x14ac:dyDescent="0.3">
      <c r="I16595" s="101"/>
    </row>
    <row r="16596" spans="9:9" x14ac:dyDescent="0.3">
      <c r="I16596" s="101"/>
    </row>
    <row r="16597" spans="9:9" x14ac:dyDescent="0.3">
      <c r="I16597" s="101"/>
    </row>
    <row r="16598" spans="9:9" x14ac:dyDescent="0.3">
      <c r="I16598" s="101"/>
    </row>
    <row r="16599" spans="9:9" x14ac:dyDescent="0.3">
      <c r="I16599" s="101"/>
    </row>
    <row r="16600" spans="9:9" x14ac:dyDescent="0.3">
      <c r="I16600" s="101"/>
    </row>
    <row r="16601" spans="9:9" x14ac:dyDescent="0.3">
      <c r="I16601" s="101"/>
    </row>
    <row r="16602" spans="9:9" x14ac:dyDescent="0.3">
      <c r="I16602" s="101"/>
    </row>
    <row r="16603" spans="9:9" x14ac:dyDescent="0.3">
      <c r="I16603" s="101"/>
    </row>
    <row r="16604" spans="9:9" x14ac:dyDescent="0.3">
      <c r="I16604" s="101"/>
    </row>
    <row r="16605" spans="9:9" x14ac:dyDescent="0.3">
      <c r="I16605" s="101"/>
    </row>
    <row r="16606" spans="9:9" x14ac:dyDescent="0.3">
      <c r="I16606" s="101"/>
    </row>
    <row r="16607" spans="9:9" x14ac:dyDescent="0.3">
      <c r="I16607" s="101"/>
    </row>
    <row r="16608" spans="9:9" x14ac:dyDescent="0.3">
      <c r="I16608" s="101"/>
    </row>
    <row r="16609" spans="9:9" x14ac:dyDescent="0.3">
      <c r="I16609" s="101"/>
    </row>
    <row r="16610" spans="9:9" x14ac:dyDescent="0.3">
      <c r="I16610" s="101"/>
    </row>
    <row r="16611" spans="9:9" x14ac:dyDescent="0.3">
      <c r="I16611" s="101"/>
    </row>
    <row r="16612" spans="9:9" x14ac:dyDescent="0.3">
      <c r="I16612" s="101"/>
    </row>
    <row r="16613" spans="9:9" x14ac:dyDescent="0.3">
      <c r="I16613" s="101"/>
    </row>
    <row r="16614" spans="9:9" x14ac:dyDescent="0.3">
      <c r="I16614" s="101"/>
    </row>
    <row r="16615" spans="9:9" x14ac:dyDescent="0.3">
      <c r="I16615" s="101"/>
    </row>
    <row r="16616" spans="9:9" x14ac:dyDescent="0.3">
      <c r="I16616" s="101"/>
    </row>
    <row r="16617" spans="9:9" x14ac:dyDescent="0.3">
      <c r="I16617" s="101"/>
    </row>
    <row r="16618" spans="9:9" x14ac:dyDescent="0.3">
      <c r="I16618" s="101"/>
    </row>
    <row r="16619" spans="9:9" x14ac:dyDescent="0.3">
      <c r="I16619" s="101"/>
    </row>
    <row r="16620" spans="9:9" x14ac:dyDescent="0.3">
      <c r="I16620" s="101"/>
    </row>
    <row r="16621" spans="9:9" x14ac:dyDescent="0.3">
      <c r="I16621" s="101"/>
    </row>
    <row r="16622" spans="9:9" x14ac:dyDescent="0.3">
      <c r="I16622" s="101"/>
    </row>
    <row r="16623" spans="9:9" x14ac:dyDescent="0.3">
      <c r="I16623" s="101"/>
    </row>
    <row r="16624" spans="9:9" x14ac:dyDescent="0.3">
      <c r="I16624" s="101"/>
    </row>
    <row r="16625" spans="9:9" x14ac:dyDescent="0.3">
      <c r="I16625" s="101"/>
    </row>
    <row r="16626" spans="9:9" x14ac:dyDescent="0.3">
      <c r="I16626" s="101"/>
    </row>
    <row r="16627" spans="9:9" x14ac:dyDescent="0.3">
      <c r="I16627" s="101"/>
    </row>
    <row r="16628" spans="9:9" x14ac:dyDescent="0.3">
      <c r="I16628" s="101"/>
    </row>
    <row r="16629" spans="9:9" x14ac:dyDescent="0.3">
      <c r="I16629" s="101"/>
    </row>
    <row r="16630" spans="9:9" x14ac:dyDescent="0.3">
      <c r="I16630" s="101"/>
    </row>
    <row r="16631" spans="9:9" x14ac:dyDescent="0.3">
      <c r="I16631" s="101"/>
    </row>
    <row r="16632" spans="9:9" x14ac:dyDescent="0.3">
      <c r="I16632" s="101"/>
    </row>
    <row r="16633" spans="9:9" x14ac:dyDescent="0.3">
      <c r="I16633" s="101"/>
    </row>
    <row r="16634" spans="9:9" x14ac:dyDescent="0.3">
      <c r="I16634" s="101"/>
    </row>
    <row r="16635" spans="9:9" x14ac:dyDescent="0.3">
      <c r="I16635" s="101"/>
    </row>
    <row r="16636" spans="9:9" x14ac:dyDescent="0.3">
      <c r="I16636" s="101"/>
    </row>
    <row r="16637" spans="9:9" x14ac:dyDescent="0.3">
      <c r="I16637" s="101"/>
    </row>
    <row r="16638" spans="9:9" x14ac:dyDescent="0.3">
      <c r="I16638" s="101"/>
    </row>
    <row r="16639" spans="9:9" x14ac:dyDescent="0.3">
      <c r="I16639" s="101"/>
    </row>
    <row r="16640" spans="9:9" x14ac:dyDescent="0.3">
      <c r="I16640" s="101"/>
    </row>
    <row r="16641" spans="9:9" x14ac:dyDescent="0.3">
      <c r="I16641" s="101"/>
    </row>
    <row r="16642" spans="9:9" x14ac:dyDescent="0.3">
      <c r="I16642" s="101"/>
    </row>
    <row r="16643" spans="9:9" x14ac:dyDescent="0.3">
      <c r="I16643" s="101"/>
    </row>
    <row r="16644" spans="9:9" x14ac:dyDescent="0.3">
      <c r="I16644" s="101"/>
    </row>
    <row r="16645" spans="9:9" x14ac:dyDescent="0.3">
      <c r="I16645" s="101"/>
    </row>
    <row r="16646" spans="9:9" x14ac:dyDescent="0.3">
      <c r="I16646" s="101"/>
    </row>
    <row r="16647" spans="9:9" x14ac:dyDescent="0.3">
      <c r="I16647" s="101"/>
    </row>
    <row r="16648" spans="9:9" x14ac:dyDescent="0.3">
      <c r="I16648" s="101"/>
    </row>
    <row r="16649" spans="9:9" x14ac:dyDescent="0.3">
      <c r="I16649" s="101"/>
    </row>
    <row r="16650" spans="9:9" x14ac:dyDescent="0.3">
      <c r="I16650" s="101"/>
    </row>
    <row r="16651" spans="9:9" x14ac:dyDescent="0.3">
      <c r="I16651" s="101"/>
    </row>
    <row r="16652" spans="9:9" x14ac:dyDescent="0.3">
      <c r="I16652" s="101"/>
    </row>
    <row r="16653" spans="9:9" x14ac:dyDescent="0.3">
      <c r="I16653" s="101"/>
    </row>
    <row r="16654" spans="9:9" x14ac:dyDescent="0.3">
      <c r="I16654" s="101"/>
    </row>
    <row r="16655" spans="9:9" x14ac:dyDescent="0.3">
      <c r="I16655" s="101"/>
    </row>
    <row r="16656" spans="9:9" x14ac:dyDescent="0.3">
      <c r="I16656" s="101"/>
    </row>
    <row r="16657" spans="9:9" x14ac:dyDescent="0.3">
      <c r="I16657" s="101"/>
    </row>
    <row r="16658" spans="9:9" x14ac:dyDescent="0.3">
      <c r="I16658" s="101"/>
    </row>
    <row r="16659" spans="9:9" x14ac:dyDescent="0.3">
      <c r="I16659" s="101"/>
    </row>
    <row r="16660" spans="9:9" x14ac:dyDescent="0.3">
      <c r="I16660" s="101"/>
    </row>
    <row r="16661" spans="9:9" x14ac:dyDescent="0.3">
      <c r="I16661" s="101"/>
    </row>
    <row r="16662" spans="9:9" x14ac:dyDescent="0.3">
      <c r="I16662" s="101"/>
    </row>
    <row r="16663" spans="9:9" x14ac:dyDescent="0.3">
      <c r="I16663" s="101"/>
    </row>
    <row r="16664" spans="9:9" x14ac:dyDescent="0.3">
      <c r="I16664" s="101"/>
    </row>
    <row r="16665" spans="9:9" x14ac:dyDescent="0.3">
      <c r="I16665" s="101"/>
    </row>
    <row r="16666" spans="9:9" x14ac:dyDescent="0.3">
      <c r="I16666" s="101"/>
    </row>
    <row r="16667" spans="9:9" x14ac:dyDescent="0.3">
      <c r="I16667" s="101"/>
    </row>
    <row r="16668" spans="9:9" x14ac:dyDescent="0.3">
      <c r="I16668" s="101"/>
    </row>
    <row r="16669" spans="9:9" x14ac:dyDescent="0.3">
      <c r="I16669" s="101"/>
    </row>
    <row r="16670" spans="9:9" x14ac:dyDescent="0.3">
      <c r="I16670" s="101"/>
    </row>
    <row r="16671" spans="9:9" x14ac:dyDescent="0.3">
      <c r="I16671" s="101"/>
    </row>
    <row r="16672" spans="9:9" x14ac:dyDescent="0.3">
      <c r="I16672" s="101"/>
    </row>
    <row r="16673" spans="9:9" x14ac:dyDescent="0.3">
      <c r="I16673" s="101"/>
    </row>
    <row r="16674" spans="9:9" x14ac:dyDescent="0.3">
      <c r="I16674" s="101"/>
    </row>
    <row r="16675" spans="9:9" x14ac:dyDescent="0.3">
      <c r="I16675" s="101"/>
    </row>
    <row r="16676" spans="9:9" x14ac:dyDescent="0.3">
      <c r="I16676" s="101"/>
    </row>
    <row r="16677" spans="9:9" x14ac:dyDescent="0.3">
      <c r="I16677" s="101"/>
    </row>
    <row r="16678" spans="9:9" x14ac:dyDescent="0.3">
      <c r="I16678" s="101"/>
    </row>
    <row r="16679" spans="9:9" x14ac:dyDescent="0.3">
      <c r="I16679" s="101"/>
    </row>
    <row r="16680" spans="9:9" x14ac:dyDescent="0.3">
      <c r="I16680" s="101"/>
    </row>
    <row r="16681" spans="9:9" x14ac:dyDescent="0.3">
      <c r="I16681" s="101"/>
    </row>
    <row r="16682" spans="9:9" x14ac:dyDescent="0.3">
      <c r="I16682" s="101"/>
    </row>
    <row r="16683" spans="9:9" x14ac:dyDescent="0.3">
      <c r="I16683" s="101"/>
    </row>
    <row r="16684" spans="9:9" x14ac:dyDescent="0.3">
      <c r="I16684" s="101"/>
    </row>
    <row r="16685" spans="9:9" x14ac:dyDescent="0.3">
      <c r="I16685" s="101"/>
    </row>
    <row r="16686" spans="9:9" x14ac:dyDescent="0.3">
      <c r="I16686" s="101"/>
    </row>
    <row r="16687" spans="9:9" x14ac:dyDescent="0.3">
      <c r="I16687" s="101"/>
    </row>
    <row r="16688" spans="9:9" x14ac:dyDescent="0.3">
      <c r="I16688" s="101"/>
    </row>
    <row r="16689" spans="9:9" x14ac:dyDescent="0.3">
      <c r="I16689" s="101"/>
    </row>
    <row r="16690" spans="9:9" x14ac:dyDescent="0.3">
      <c r="I16690" s="101"/>
    </row>
    <row r="16691" spans="9:9" x14ac:dyDescent="0.3">
      <c r="I16691" s="101"/>
    </row>
    <row r="16692" spans="9:9" x14ac:dyDescent="0.3">
      <c r="I16692" s="101"/>
    </row>
    <row r="16693" spans="9:9" x14ac:dyDescent="0.3">
      <c r="I16693" s="101"/>
    </row>
    <row r="16694" spans="9:9" x14ac:dyDescent="0.3">
      <c r="I16694" s="101"/>
    </row>
    <row r="16695" spans="9:9" x14ac:dyDescent="0.3">
      <c r="I16695" s="101"/>
    </row>
    <row r="16696" spans="9:9" x14ac:dyDescent="0.3">
      <c r="I16696" s="101"/>
    </row>
    <row r="16697" spans="9:9" x14ac:dyDescent="0.3">
      <c r="I16697" s="101"/>
    </row>
    <row r="16698" spans="9:9" x14ac:dyDescent="0.3">
      <c r="I16698" s="101"/>
    </row>
    <row r="16699" spans="9:9" x14ac:dyDescent="0.3">
      <c r="I16699" s="101"/>
    </row>
    <row r="16700" spans="9:9" x14ac:dyDescent="0.3">
      <c r="I16700" s="101"/>
    </row>
    <row r="16701" spans="9:9" x14ac:dyDescent="0.3">
      <c r="I16701" s="101"/>
    </row>
    <row r="16702" spans="9:9" x14ac:dyDescent="0.3">
      <c r="I16702" s="101"/>
    </row>
    <row r="16703" spans="9:9" x14ac:dyDescent="0.3">
      <c r="I16703" s="101"/>
    </row>
    <row r="16704" spans="9:9" x14ac:dyDescent="0.3">
      <c r="I16704" s="101"/>
    </row>
    <row r="16705" spans="9:9" x14ac:dyDescent="0.3">
      <c r="I16705" s="101"/>
    </row>
    <row r="16706" spans="9:9" x14ac:dyDescent="0.3">
      <c r="I16706" s="101"/>
    </row>
    <row r="16707" spans="9:9" x14ac:dyDescent="0.3">
      <c r="I16707" s="101"/>
    </row>
    <row r="16708" spans="9:9" x14ac:dyDescent="0.3">
      <c r="I16708" s="101"/>
    </row>
    <row r="16709" spans="9:9" x14ac:dyDescent="0.3">
      <c r="I16709" s="101"/>
    </row>
    <row r="16710" spans="9:9" x14ac:dyDescent="0.3">
      <c r="I16710" s="101"/>
    </row>
    <row r="16711" spans="9:9" x14ac:dyDescent="0.3">
      <c r="I16711" s="101"/>
    </row>
    <row r="16712" spans="9:9" x14ac:dyDescent="0.3">
      <c r="I16712" s="101"/>
    </row>
    <row r="16713" spans="9:9" x14ac:dyDescent="0.3">
      <c r="I16713" s="101"/>
    </row>
    <row r="16714" spans="9:9" x14ac:dyDescent="0.3">
      <c r="I16714" s="101"/>
    </row>
    <row r="16715" spans="9:9" x14ac:dyDescent="0.3">
      <c r="I16715" s="101"/>
    </row>
    <row r="16716" spans="9:9" x14ac:dyDescent="0.3">
      <c r="I16716" s="101"/>
    </row>
    <row r="16717" spans="9:9" x14ac:dyDescent="0.3">
      <c r="I16717" s="101"/>
    </row>
    <row r="16718" spans="9:9" x14ac:dyDescent="0.3">
      <c r="I16718" s="101"/>
    </row>
    <row r="16719" spans="9:9" x14ac:dyDescent="0.3">
      <c r="I16719" s="101"/>
    </row>
    <row r="16720" spans="9:9" x14ac:dyDescent="0.3">
      <c r="I16720" s="101"/>
    </row>
    <row r="16721" spans="9:9" x14ac:dyDescent="0.3">
      <c r="I16721" s="101"/>
    </row>
    <row r="16722" spans="9:9" x14ac:dyDescent="0.3">
      <c r="I16722" s="101"/>
    </row>
    <row r="16723" spans="9:9" x14ac:dyDescent="0.3">
      <c r="I16723" s="101"/>
    </row>
    <row r="16724" spans="9:9" x14ac:dyDescent="0.3">
      <c r="I16724" s="101"/>
    </row>
    <row r="16725" spans="9:9" x14ac:dyDescent="0.3">
      <c r="I16725" s="101"/>
    </row>
    <row r="16726" spans="9:9" x14ac:dyDescent="0.3">
      <c r="I16726" s="101"/>
    </row>
    <row r="16727" spans="9:9" x14ac:dyDescent="0.3">
      <c r="I16727" s="101"/>
    </row>
    <row r="16728" spans="9:9" x14ac:dyDescent="0.3">
      <c r="I16728" s="101"/>
    </row>
    <row r="16729" spans="9:9" x14ac:dyDescent="0.3">
      <c r="I16729" s="101"/>
    </row>
    <row r="16730" spans="9:9" x14ac:dyDescent="0.3">
      <c r="I16730" s="101"/>
    </row>
    <row r="16731" spans="9:9" x14ac:dyDescent="0.3">
      <c r="I16731" s="101"/>
    </row>
    <row r="16732" spans="9:9" x14ac:dyDescent="0.3">
      <c r="I16732" s="101"/>
    </row>
    <row r="16733" spans="9:9" x14ac:dyDescent="0.3">
      <c r="I16733" s="101"/>
    </row>
    <row r="16734" spans="9:9" x14ac:dyDescent="0.3">
      <c r="I16734" s="101"/>
    </row>
    <row r="16735" spans="9:9" x14ac:dyDescent="0.3">
      <c r="I16735" s="101"/>
    </row>
    <row r="16736" spans="9:9" x14ac:dyDescent="0.3">
      <c r="I16736" s="101"/>
    </row>
    <row r="16737" spans="9:9" x14ac:dyDescent="0.3">
      <c r="I16737" s="101"/>
    </row>
    <row r="16738" spans="9:9" x14ac:dyDescent="0.3">
      <c r="I16738" s="101"/>
    </row>
    <row r="16739" spans="9:9" x14ac:dyDescent="0.3">
      <c r="I16739" s="101"/>
    </row>
    <row r="16740" spans="9:9" x14ac:dyDescent="0.3">
      <c r="I16740" s="101"/>
    </row>
    <row r="16741" spans="9:9" x14ac:dyDescent="0.3">
      <c r="I16741" s="101"/>
    </row>
    <row r="16742" spans="9:9" x14ac:dyDescent="0.3">
      <c r="I16742" s="101"/>
    </row>
    <row r="16743" spans="9:9" x14ac:dyDescent="0.3">
      <c r="I16743" s="101"/>
    </row>
    <row r="16744" spans="9:9" x14ac:dyDescent="0.3">
      <c r="I16744" s="101"/>
    </row>
    <row r="16745" spans="9:9" x14ac:dyDescent="0.3">
      <c r="I16745" s="101"/>
    </row>
    <row r="16746" spans="9:9" x14ac:dyDescent="0.3">
      <c r="I16746" s="101"/>
    </row>
    <row r="16747" spans="9:9" x14ac:dyDescent="0.3">
      <c r="I16747" s="101"/>
    </row>
    <row r="16748" spans="9:9" x14ac:dyDescent="0.3">
      <c r="I16748" s="101"/>
    </row>
    <row r="16749" spans="9:9" x14ac:dyDescent="0.3">
      <c r="I16749" s="101"/>
    </row>
    <row r="16750" spans="9:9" x14ac:dyDescent="0.3">
      <c r="I16750" s="101"/>
    </row>
    <row r="16751" spans="9:9" x14ac:dyDescent="0.3">
      <c r="I16751" s="101"/>
    </row>
    <row r="16752" spans="9:9" x14ac:dyDescent="0.3">
      <c r="I16752" s="101"/>
    </row>
    <row r="16753" spans="9:9" x14ac:dyDescent="0.3">
      <c r="I16753" s="101"/>
    </row>
    <row r="16754" spans="9:9" x14ac:dyDescent="0.3">
      <c r="I16754" s="101"/>
    </row>
    <row r="16755" spans="9:9" x14ac:dyDescent="0.3">
      <c r="I16755" s="101"/>
    </row>
    <row r="16756" spans="9:9" x14ac:dyDescent="0.3">
      <c r="I16756" s="101"/>
    </row>
    <row r="16757" spans="9:9" x14ac:dyDescent="0.3">
      <c r="I16757" s="101"/>
    </row>
    <row r="16758" spans="9:9" x14ac:dyDescent="0.3">
      <c r="I16758" s="101"/>
    </row>
    <row r="16759" spans="9:9" x14ac:dyDescent="0.3">
      <c r="I16759" s="101"/>
    </row>
    <row r="16760" spans="9:9" x14ac:dyDescent="0.3">
      <c r="I16760" s="101"/>
    </row>
    <row r="16761" spans="9:9" x14ac:dyDescent="0.3">
      <c r="I16761" s="101"/>
    </row>
    <row r="16762" spans="9:9" x14ac:dyDescent="0.3">
      <c r="I16762" s="101"/>
    </row>
    <row r="16763" spans="9:9" x14ac:dyDescent="0.3">
      <c r="I16763" s="101"/>
    </row>
    <row r="16764" spans="9:9" x14ac:dyDescent="0.3">
      <c r="I16764" s="101"/>
    </row>
    <row r="16765" spans="9:9" x14ac:dyDescent="0.3">
      <c r="I16765" s="101"/>
    </row>
    <row r="16766" spans="9:9" x14ac:dyDescent="0.3">
      <c r="I16766" s="101"/>
    </row>
    <row r="16767" spans="9:9" x14ac:dyDescent="0.3">
      <c r="I16767" s="101"/>
    </row>
    <row r="16768" spans="9:9" x14ac:dyDescent="0.3">
      <c r="I16768" s="101"/>
    </row>
    <row r="16769" spans="9:9" x14ac:dyDescent="0.3">
      <c r="I16769" s="101"/>
    </row>
    <row r="16770" spans="9:9" x14ac:dyDescent="0.3">
      <c r="I16770" s="101"/>
    </row>
    <row r="16771" spans="9:9" x14ac:dyDescent="0.3">
      <c r="I16771" s="101"/>
    </row>
    <row r="16772" spans="9:9" x14ac:dyDescent="0.3">
      <c r="I16772" s="101"/>
    </row>
    <row r="16773" spans="9:9" x14ac:dyDescent="0.3">
      <c r="I16773" s="101"/>
    </row>
    <row r="16774" spans="9:9" x14ac:dyDescent="0.3">
      <c r="I16774" s="101"/>
    </row>
    <row r="16775" spans="9:9" x14ac:dyDescent="0.3">
      <c r="I16775" s="101"/>
    </row>
    <row r="16776" spans="9:9" x14ac:dyDescent="0.3">
      <c r="I16776" s="101"/>
    </row>
    <row r="16777" spans="9:9" x14ac:dyDescent="0.3">
      <c r="I16777" s="101"/>
    </row>
    <row r="16778" spans="9:9" x14ac:dyDescent="0.3">
      <c r="I16778" s="101"/>
    </row>
    <row r="16779" spans="9:9" x14ac:dyDescent="0.3">
      <c r="I16779" s="101"/>
    </row>
    <row r="16780" spans="9:9" x14ac:dyDescent="0.3">
      <c r="I16780" s="101"/>
    </row>
    <row r="16781" spans="9:9" x14ac:dyDescent="0.3">
      <c r="I16781" s="101"/>
    </row>
    <row r="16782" spans="9:9" x14ac:dyDescent="0.3">
      <c r="I16782" s="101"/>
    </row>
    <row r="16783" spans="9:9" x14ac:dyDescent="0.3">
      <c r="I16783" s="101"/>
    </row>
    <row r="16784" spans="9:9" x14ac:dyDescent="0.3">
      <c r="I16784" s="101"/>
    </row>
    <row r="16785" spans="9:9" x14ac:dyDescent="0.3">
      <c r="I16785" s="101"/>
    </row>
    <row r="16786" spans="9:9" x14ac:dyDescent="0.3">
      <c r="I16786" s="101"/>
    </row>
    <row r="16787" spans="9:9" x14ac:dyDescent="0.3">
      <c r="I16787" s="101"/>
    </row>
    <row r="16788" spans="9:9" x14ac:dyDescent="0.3">
      <c r="I16788" s="101"/>
    </row>
    <row r="16789" spans="9:9" x14ac:dyDescent="0.3">
      <c r="I16789" s="101"/>
    </row>
    <row r="16790" spans="9:9" x14ac:dyDescent="0.3">
      <c r="I16790" s="101"/>
    </row>
    <row r="16791" spans="9:9" x14ac:dyDescent="0.3">
      <c r="I16791" s="101"/>
    </row>
    <row r="16792" spans="9:9" x14ac:dyDescent="0.3">
      <c r="I16792" s="101"/>
    </row>
    <row r="16793" spans="9:9" x14ac:dyDescent="0.3">
      <c r="I16793" s="101"/>
    </row>
    <row r="16794" spans="9:9" x14ac:dyDescent="0.3">
      <c r="I16794" s="101"/>
    </row>
    <row r="16795" spans="9:9" x14ac:dyDescent="0.3">
      <c r="I16795" s="101"/>
    </row>
    <row r="16796" spans="9:9" x14ac:dyDescent="0.3">
      <c r="I16796" s="101"/>
    </row>
    <row r="16797" spans="9:9" x14ac:dyDescent="0.3">
      <c r="I16797" s="101"/>
    </row>
    <row r="16798" spans="9:9" x14ac:dyDescent="0.3">
      <c r="I16798" s="101"/>
    </row>
    <row r="16799" spans="9:9" x14ac:dyDescent="0.3">
      <c r="I16799" s="101"/>
    </row>
    <row r="16800" spans="9:9" x14ac:dyDescent="0.3">
      <c r="I16800" s="101"/>
    </row>
    <row r="16801" spans="9:9" x14ac:dyDescent="0.3">
      <c r="I16801" s="101"/>
    </row>
    <row r="16802" spans="9:9" x14ac:dyDescent="0.3">
      <c r="I16802" s="101"/>
    </row>
    <row r="16803" spans="9:9" x14ac:dyDescent="0.3">
      <c r="I16803" s="101"/>
    </row>
    <row r="16804" spans="9:9" x14ac:dyDescent="0.3">
      <c r="I16804" s="101"/>
    </row>
    <row r="16805" spans="9:9" x14ac:dyDescent="0.3">
      <c r="I16805" s="101"/>
    </row>
    <row r="16806" spans="9:9" x14ac:dyDescent="0.3">
      <c r="I16806" s="101"/>
    </row>
    <row r="16807" spans="9:9" x14ac:dyDescent="0.3">
      <c r="I16807" s="101"/>
    </row>
    <row r="16808" spans="9:9" x14ac:dyDescent="0.3">
      <c r="I16808" s="101"/>
    </row>
    <row r="16809" spans="9:9" x14ac:dyDescent="0.3">
      <c r="I16809" s="101"/>
    </row>
    <row r="16810" spans="9:9" x14ac:dyDescent="0.3">
      <c r="I16810" s="101"/>
    </row>
    <row r="16811" spans="9:9" x14ac:dyDescent="0.3">
      <c r="I16811" s="101"/>
    </row>
    <row r="16812" spans="9:9" x14ac:dyDescent="0.3">
      <c r="I16812" s="101"/>
    </row>
    <row r="16813" spans="9:9" x14ac:dyDescent="0.3">
      <c r="I16813" s="101"/>
    </row>
    <row r="16814" spans="9:9" x14ac:dyDescent="0.3">
      <c r="I16814" s="101"/>
    </row>
    <row r="16815" spans="9:9" x14ac:dyDescent="0.3">
      <c r="I16815" s="101"/>
    </row>
    <row r="16816" spans="9:9" x14ac:dyDescent="0.3">
      <c r="I16816" s="101"/>
    </row>
    <row r="16817" spans="9:9" x14ac:dyDescent="0.3">
      <c r="I16817" s="101"/>
    </row>
    <row r="16818" spans="9:9" x14ac:dyDescent="0.3">
      <c r="I16818" s="101"/>
    </row>
    <row r="16819" spans="9:9" x14ac:dyDescent="0.3">
      <c r="I16819" s="101"/>
    </row>
    <row r="16820" spans="9:9" x14ac:dyDescent="0.3">
      <c r="I16820" s="101"/>
    </row>
    <row r="16821" spans="9:9" x14ac:dyDescent="0.3">
      <c r="I16821" s="101"/>
    </row>
    <row r="16822" spans="9:9" x14ac:dyDescent="0.3">
      <c r="I16822" s="101"/>
    </row>
    <row r="16823" spans="9:9" x14ac:dyDescent="0.3">
      <c r="I16823" s="101"/>
    </row>
    <row r="16824" spans="9:9" x14ac:dyDescent="0.3">
      <c r="I16824" s="101"/>
    </row>
    <row r="16825" spans="9:9" x14ac:dyDescent="0.3">
      <c r="I16825" s="101"/>
    </row>
    <row r="16826" spans="9:9" x14ac:dyDescent="0.3">
      <c r="I16826" s="101"/>
    </row>
    <row r="16827" spans="9:9" x14ac:dyDescent="0.3">
      <c r="I16827" s="101"/>
    </row>
    <row r="16828" spans="9:9" x14ac:dyDescent="0.3">
      <c r="I16828" s="101"/>
    </row>
    <row r="16829" spans="9:9" x14ac:dyDescent="0.3">
      <c r="I16829" s="101"/>
    </row>
    <row r="16830" spans="9:9" x14ac:dyDescent="0.3">
      <c r="I16830" s="101"/>
    </row>
    <row r="16831" spans="9:9" x14ac:dyDescent="0.3">
      <c r="I16831" s="101"/>
    </row>
    <row r="16832" spans="9:9" x14ac:dyDescent="0.3">
      <c r="I16832" s="101"/>
    </row>
    <row r="16833" spans="9:9" x14ac:dyDescent="0.3">
      <c r="I16833" s="101"/>
    </row>
    <row r="16834" spans="9:9" x14ac:dyDescent="0.3">
      <c r="I16834" s="101"/>
    </row>
    <row r="16835" spans="9:9" x14ac:dyDescent="0.3">
      <c r="I16835" s="101"/>
    </row>
    <row r="16836" spans="9:9" x14ac:dyDescent="0.3">
      <c r="I16836" s="101"/>
    </row>
    <row r="16837" spans="9:9" x14ac:dyDescent="0.3">
      <c r="I16837" s="101"/>
    </row>
    <row r="16838" spans="9:9" x14ac:dyDescent="0.3">
      <c r="I16838" s="101"/>
    </row>
    <row r="16839" spans="9:9" x14ac:dyDescent="0.3">
      <c r="I16839" s="101"/>
    </row>
    <row r="16840" spans="9:9" x14ac:dyDescent="0.3">
      <c r="I16840" s="101"/>
    </row>
    <row r="16841" spans="9:9" x14ac:dyDescent="0.3">
      <c r="I16841" s="101"/>
    </row>
    <row r="16842" spans="9:9" x14ac:dyDescent="0.3">
      <c r="I16842" s="101"/>
    </row>
    <row r="16843" spans="9:9" x14ac:dyDescent="0.3">
      <c r="I16843" s="101"/>
    </row>
    <row r="16844" spans="9:9" x14ac:dyDescent="0.3">
      <c r="I16844" s="101"/>
    </row>
    <row r="16845" spans="9:9" x14ac:dyDescent="0.3">
      <c r="I16845" s="101"/>
    </row>
    <row r="16846" spans="9:9" x14ac:dyDescent="0.3">
      <c r="I16846" s="101"/>
    </row>
    <row r="16847" spans="9:9" x14ac:dyDescent="0.3">
      <c r="I16847" s="101"/>
    </row>
    <row r="16848" spans="9:9" x14ac:dyDescent="0.3">
      <c r="I16848" s="101"/>
    </row>
    <row r="16849" spans="9:9" x14ac:dyDescent="0.3">
      <c r="I16849" s="101"/>
    </row>
    <row r="16850" spans="9:9" x14ac:dyDescent="0.3">
      <c r="I16850" s="101"/>
    </row>
    <row r="16851" spans="9:9" x14ac:dyDescent="0.3">
      <c r="I16851" s="101"/>
    </row>
    <row r="16852" spans="9:9" x14ac:dyDescent="0.3">
      <c r="I16852" s="101"/>
    </row>
    <row r="16853" spans="9:9" x14ac:dyDescent="0.3">
      <c r="I16853" s="101"/>
    </row>
    <row r="16854" spans="9:9" x14ac:dyDescent="0.3">
      <c r="I16854" s="101"/>
    </row>
    <row r="16855" spans="9:9" x14ac:dyDescent="0.3">
      <c r="I16855" s="101"/>
    </row>
    <row r="16856" spans="9:9" x14ac:dyDescent="0.3">
      <c r="I16856" s="101"/>
    </row>
    <row r="16857" spans="9:9" x14ac:dyDescent="0.3">
      <c r="I16857" s="101"/>
    </row>
    <row r="16858" spans="9:9" x14ac:dyDescent="0.3">
      <c r="I16858" s="101"/>
    </row>
    <row r="16859" spans="9:9" x14ac:dyDescent="0.3">
      <c r="I16859" s="101"/>
    </row>
    <row r="16860" spans="9:9" x14ac:dyDescent="0.3">
      <c r="I16860" s="101"/>
    </row>
    <row r="16861" spans="9:9" x14ac:dyDescent="0.3">
      <c r="I16861" s="101"/>
    </row>
    <row r="16862" spans="9:9" x14ac:dyDescent="0.3">
      <c r="I16862" s="101"/>
    </row>
    <row r="16863" spans="9:9" x14ac:dyDescent="0.3">
      <c r="I16863" s="101"/>
    </row>
    <row r="16864" spans="9:9" x14ac:dyDescent="0.3">
      <c r="I16864" s="101"/>
    </row>
    <row r="16865" spans="9:9" x14ac:dyDescent="0.3">
      <c r="I16865" s="101"/>
    </row>
    <row r="16866" spans="9:9" x14ac:dyDescent="0.3">
      <c r="I16866" s="101"/>
    </row>
    <row r="16867" spans="9:9" x14ac:dyDescent="0.3">
      <c r="I16867" s="101"/>
    </row>
    <row r="16868" spans="9:9" x14ac:dyDescent="0.3">
      <c r="I16868" s="101"/>
    </row>
    <row r="16869" spans="9:9" x14ac:dyDescent="0.3">
      <c r="I16869" s="101"/>
    </row>
    <row r="16870" spans="9:9" x14ac:dyDescent="0.3">
      <c r="I16870" s="101"/>
    </row>
    <row r="16871" spans="9:9" x14ac:dyDescent="0.3">
      <c r="I16871" s="101"/>
    </row>
    <row r="16872" spans="9:9" x14ac:dyDescent="0.3">
      <c r="I16872" s="101"/>
    </row>
    <row r="16873" spans="9:9" x14ac:dyDescent="0.3">
      <c r="I16873" s="101"/>
    </row>
    <row r="16874" spans="9:9" x14ac:dyDescent="0.3">
      <c r="I16874" s="101"/>
    </row>
    <row r="16875" spans="9:9" x14ac:dyDescent="0.3">
      <c r="I16875" s="101"/>
    </row>
    <row r="16876" spans="9:9" x14ac:dyDescent="0.3">
      <c r="I16876" s="101"/>
    </row>
    <row r="16877" spans="9:9" x14ac:dyDescent="0.3">
      <c r="I16877" s="101"/>
    </row>
    <row r="16878" spans="9:9" x14ac:dyDescent="0.3">
      <c r="I16878" s="101"/>
    </row>
    <row r="16879" spans="9:9" x14ac:dyDescent="0.3">
      <c r="I16879" s="101"/>
    </row>
    <row r="16880" spans="9:9" x14ac:dyDescent="0.3">
      <c r="I16880" s="101"/>
    </row>
    <row r="16881" spans="9:9" x14ac:dyDescent="0.3">
      <c r="I16881" s="101"/>
    </row>
    <row r="16882" spans="9:9" x14ac:dyDescent="0.3">
      <c r="I16882" s="101"/>
    </row>
    <row r="16883" spans="9:9" x14ac:dyDescent="0.3">
      <c r="I16883" s="101"/>
    </row>
    <row r="16884" spans="9:9" x14ac:dyDescent="0.3">
      <c r="I16884" s="101"/>
    </row>
    <row r="16885" spans="9:9" x14ac:dyDescent="0.3">
      <c r="I16885" s="101"/>
    </row>
    <row r="16886" spans="9:9" x14ac:dyDescent="0.3">
      <c r="I16886" s="101"/>
    </row>
    <row r="16887" spans="9:9" x14ac:dyDescent="0.3">
      <c r="I16887" s="101"/>
    </row>
    <row r="16888" spans="9:9" x14ac:dyDescent="0.3">
      <c r="I16888" s="101"/>
    </row>
    <row r="16889" spans="9:9" x14ac:dyDescent="0.3">
      <c r="I16889" s="101"/>
    </row>
    <row r="16890" spans="9:9" x14ac:dyDescent="0.3">
      <c r="I16890" s="101"/>
    </row>
    <row r="16891" spans="9:9" x14ac:dyDescent="0.3">
      <c r="I16891" s="101"/>
    </row>
    <row r="16892" spans="9:9" x14ac:dyDescent="0.3">
      <c r="I16892" s="101"/>
    </row>
    <row r="16893" spans="9:9" x14ac:dyDescent="0.3">
      <c r="I16893" s="101"/>
    </row>
    <row r="16894" spans="9:9" x14ac:dyDescent="0.3">
      <c r="I16894" s="101"/>
    </row>
    <row r="16895" spans="9:9" x14ac:dyDescent="0.3">
      <c r="I16895" s="101"/>
    </row>
    <row r="16896" spans="9:9" x14ac:dyDescent="0.3">
      <c r="I16896" s="101"/>
    </row>
    <row r="16897" spans="9:9" x14ac:dyDescent="0.3">
      <c r="I16897" s="101"/>
    </row>
    <row r="16898" spans="9:9" x14ac:dyDescent="0.3">
      <c r="I16898" s="101"/>
    </row>
    <row r="16899" spans="9:9" x14ac:dyDescent="0.3">
      <c r="I16899" s="101"/>
    </row>
    <row r="16900" spans="9:9" x14ac:dyDescent="0.3">
      <c r="I16900" s="101"/>
    </row>
    <row r="16901" spans="9:9" x14ac:dyDescent="0.3">
      <c r="I16901" s="101"/>
    </row>
    <row r="16902" spans="9:9" x14ac:dyDescent="0.3">
      <c r="I16902" s="101"/>
    </row>
    <row r="16903" spans="9:9" x14ac:dyDescent="0.3">
      <c r="I16903" s="101"/>
    </row>
    <row r="16904" spans="9:9" x14ac:dyDescent="0.3">
      <c r="I16904" s="101"/>
    </row>
    <row r="16905" spans="9:9" x14ac:dyDescent="0.3">
      <c r="I16905" s="101"/>
    </row>
    <row r="16906" spans="9:9" x14ac:dyDescent="0.3">
      <c r="I16906" s="101"/>
    </row>
    <row r="16907" spans="9:9" x14ac:dyDescent="0.3">
      <c r="I16907" s="101"/>
    </row>
    <row r="16908" spans="9:9" x14ac:dyDescent="0.3">
      <c r="I16908" s="101"/>
    </row>
    <row r="16909" spans="9:9" x14ac:dyDescent="0.3">
      <c r="I16909" s="101"/>
    </row>
    <row r="16910" spans="9:9" x14ac:dyDescent="0.3">
      <c r="I16910" s="101"/>
    </row>
    <row r="16911" spans="9:9" x14ac:dyDescent="0.3">
      <c r="I16911" s="101"/>
    </row>
    <row r="16912" spans="9:9" x14ac:dyDescent="0.3">
      <c r="I16912" s="101"/>
    </row>
    <row r="16913" spans="9:9" x14ac:dyDescent="0.3">
      <c r="I16913" s="101"/>
    </row>
    <row r="16914" spans="9:9" x14ac:dyDescent="0.3">
      <c r="I16914" s="101"/>
    </row>
    <row r="16915" spans="9:9" x14ac:dyDescent="0.3">
      <c r="I16915" s="101"/>
    </row>
    <row r="16916" spans="9:9" x14ac:dyDescent="0.3">
      <c r="I16916" s="101"/>
    </row>
    <row r="16917" spans="9:9" x14ac:dyDescent="0.3">
      <c r="I16917" s="101"/>
    </row>
    <row r="16918" spans="9:9" x14ac:dyDescent="0.3">
      <c r="I16918" s="101"/>
    </row>
    <row r="16919" spans="9:9" x14ac:dyDescent="0.3">
      <c r="I16919" s="101"/>
    </row>
    <row r="16920" spans="9:9" x14ac:dyDescent="0.3">
      <c r="I16920" s="101"/>
    </row>
    <row r="16921" spans="9:9" x14ac:dyDescent="0.3">
      <c r="I16921" s="101"/>
    </row>
    <row r="16922" spans="9:9" x14ac:dyDescent="0.3">
      <c r="I16922" s="101"/>
    </row>
    <row r="16923" spans="9:9" x14ac:dyDescent="0.3">
      <c r="I16923" s="101"/>
    </row>
    <row r="16924" spans="9:9" x14ac:dyDescent="0.3">
      <c r="I16924" s="101"/>
    </row>
    <row r="16925" spans="9:9" x14ac:dyDescent="0.3">
      <c r="I16925" s="101"/>
    </row>
    <row r="16926" spans="9:9" x14ac:dyDescent="0.3">
      <c r="I16926" s="101"/>
    </row>
    <row r="16927" spans="9:9" x14ac:dyDescent="0.3">
      <c r="I16927" s="101"/>
    </row>
    <row r="16928" spans="9:9" x14ac:dyDescent="0.3">
      <c r="I16928" s="101"/>
    </row>
    <row r="16929" spans="9:9" x14ac:dyDescent="0.3">
      <c r="I16929" s="101"/>
    </row>
    <row r="16930" spans="9:9" x14ac:dyDescent="0.3">
      <c r="I16930" s="101"/>
    </row>
    <row r="16931" spans="9:9" x14ac:dyDescent="0.3">
      <c r="I16931" s="101"/>
    </row>
    <row r="16932" spans="9:9" x14ac:dyDescent="0.3">
      <c r="I16932" s="101"/>
    </row>
    <row r="16933" spans="9:9" x14ac:dyDescent="0.3">
      <c r="I16933" s="101"/>
    </row>
    <row r="16934" spans="9:9" x14ac:dyDescent="0.3">
      <c r="I16934" s="101"/>
    </row>
    <row r="16935" spans="9:9" x14ac:dyDescent="0.3">
      <c r="I16935" s="101"/>
    </row>
    <row r="16936" spans="9:9" x14ac:dyDescent="0.3">
      <c r="I16936" s="101"/>
    </row>
    <row r="16937" spans="9:9" x14ac:dyDescent="0.3">
      <c r="I16937" s="101"/>
    </row>
    <row r="16938" spans="9:9" x14ac:dyDescent="0.3">
      <c r="I16938" s="101"/>
    </row>
    <row r="16939" spans="9:9" x14ac:dyDescent="0.3">
      <c r="I16939" s="101"/>
    </row>
    <row r="16940" spans="9:9" x14ac:dyDescent="0.3">
      <c r="I16940" s="101"/>
    </row>
    <row r="16941" spans="9:9" x14ac:dyDescent="0.3">
      <c r="I16941" s="101"/>
    </row>
    <row r="16942" spans="9:9" x14ac:dyDescent="0.3">
      <c r="I16942" s="101"/>
    </row>
    <row r="16943" spans="9:9" x14ac:dyDescent="0.3">
      <c r="I16943" s="101"/>
    </row>
    <row r="16944" spans="9:9" x14ac:dyDescent="0.3">
      <c r="I16944" s="101"/>
    </row>
    <row r="16945" spans="9:9" x14ac:dyDescent="0.3">
      <c r="I16945" s="101"/>
    </row>
    <row r="16946" spans="9:9" x14ac:dyDescent="0.3">
      <c r="I16946" s="101"/>
    </row>
    <row r="16947" spans="9:9" x14ac:dyDescent="0.3">
      <c r="I16947" s="101"/>
    </row>
    <row r="16948" spans="9:9" x14ac:dyDescent="0.3">
      <c r="I16948" s="101"/>
    </row>
    <row r="16949" spans="9:9" x14ac:dyDescent="0.3">
      <c r="I16949" s="101"/>
    </row>
    <row r="16950" spans="9:9" x14ac:dyDescent="0.3">
      <c r="I16950" s="101"/>
    </row>
    <row r="16951" spans="9:9" x14ac:dyDescent="0.3">
      <c r="I16951" s="101"/>
    </row>
    <row r="16952" spans="9:9" x14ac:dyDescent="0.3">
      <c r="I16952" s="101"/>
    </row>
    <row r="16953" spans="9:9" x14ac:dyDescent="0.3">
      <c r="I16953" s="101"/>
    </row>
    <row r="16954" spans="9:9" x14ac:dyDescent="0.3">
      <c r="I16954" s="101"/>
    </row>
    <row r="16955" spans="9:9" x14ac:dyDescent="0.3">
      <c r="I16955" s="101"/>
    </row>
    <row r="16956" spans="9:9" x14ac:dyDescent="0.3">
      <c r="I16956" s="101"/>
    </row>
    <row r="16957" spans="9:9" x14ac:dyDescent="0.3">
      <c r="I16957" s="101"/>
    </row>
    <row r="16958" spans="9:9" x14ac:dyDescent="0.3">
      <c r="I16958" s="101"/>
    </row>
    <row r="16959" spans="9:9" x14ac:dyDescent="0.3">
      <c r="I16959" s="101"/>
    </row>
    <row r="16960" spans="9:9" x14ac:dyDescent="0.3">
      <c r="I16960" s="101"/>
    </row>
    <row r="16961" spans="9:9" x14ac:dyDescent="0.3">
      <c r="I16961" s="101"/>
    </row>
    <row r="16962" spans="9:9" x14ac:dyDescent="0.3">
      <c r="I16962" s="101"/>
    </row>
    <row r="16963" spans="9:9" x14ac:dyDescent="0.3">
      <c r="I16963" s="101"/>
    </row>
    <row r="16964" spans="9:9" x14ac:dyDescent="0.3">
      <c r="I16964" s="101"/>
    </row>
    <row r="16965" spans="9:9" x14ac:dyDescent="0.3">
      <c r="I16965" s="101"/>
    </row>
    <row r="16966" spans="9:9" x14ac:dyDescent="0.3">
      <c r="I16966" s="101"/>
    </row>
    <row r="16967" spans="9:9" x14ac:dyDescent="0.3">
      <c r="I16967" s="101"/>
    </row>
    <row r="16968" spans="9:9" x14ac:dyDescent="0.3">
      <c r="I16968" s="101"/>
    </row>
    <row r="16969" spans="9:9" x14ac:dyDescent="0.3">
      <c r="I16969" s="101"/>
    </row>
    <row r="16970" spans="9:9" x14ac:dyDescent="0.3">
      <c r="I16970" s="101"/>
    </row>
    <row r="16971" spans="9:9" x14ac:dyDescent="0.3">
      <c r="I16971" s="101"/>
    </row>
    <row r="16972" spans="9:9" x14ac:dyDescent="0.3">
      <c r="I16972" s="101"/>
    </row>
    <row r="16973" spans="9:9" x14ac:dyDescent="0.3">
      <c r="I16973" s="101"/>
    </row>
    <row r="16974" spans="9:9" x14ac:dyDescent="0.3">
      <c r="I16974" s="101"/>
    </row>
    <row r="16975" spans="9:9" x14ac:dyDescent="0.3">
      <c r="I16975" s="101"/>
    </row>
    <row r="16976" spans="9:9" x14ac:dyDescent="0.3">
      <c r="I16976" s="101"/>
    </row>
    <row r="16977" spans="9:9" x14ac:dyDescent="0.3">
      <c r="I16977" s="101"/>
    </row>
    <row r="16978" spans="9:9" x14ac:dyDescent="0.3">
      <c r="I16978" s="101"/>
    </row>
    <row r="16979" spans="9:9" x14ac:dyDescent="0.3">
      <c r="I16979" s="101"/>
    </row>
    <row r="16980" spans="9:9" x14ac:dyDescent="0.3">
      <c r="I16980" s="101"/>
    </row>
    <row r="16981" spans="9:9" x14ac:dyDescent="0.3">
      <c r="I16981" s="101"/>
    </row>
    <row r="16982" spans="9:9" x14ac:dyDescent="0.3">
      <c r="I16982" s="101"/>
    </row>
    <row r="16983" spans="9:9" x14ac:dyDescent="0.3">
      <c r="I16983" s="101"/>
    </row>
    <row r="16984" spans="9:9" x14ac:dyDescent="0.3">
      <c r="I16984" s="101"/>
    </row>
    <row r="16985" spans="9:9" x14ac:dyDescent="0.3">
      <c r="I16985" s="101"/>
    </row>
    <row r="16986" spans="9:9" x14ac:dyDescent="0.3">
      <c r="I16986" s="101"/>
    </row>
    <row r="16987" spans="9:9" x14ac:dyDescent="0.3">
      <c r="I16987" s="101"/>
    </row>
    <row r="16988" spans="9:9" x14ac:dyDescent="0.3">
      <c r="I16988" s="101"/>
    </row>
    <row r="16989" spans="9:9" x14ac:dyDescent="0.3">
      <c r="I16989" s="101"/>
    </row>
    <row r="16990" spans="9:9" x14ac:dyDescent="0.3">
      <c r="I16990" s="101"/>
    </row>
    <row r="16991" spans="9:9" x14ac:dyDescent="0.3">
      <c r="I16991" s="101"/>
    </row>
    <row r="16992" spans="9:9" x14ac:dyDescent="0.3">
      <c r="I16992" s="101"/>
    </row>
    <row r="16993" spans="9:9" x14ac:dyDescent="0.3">
      <c r="I16993" s="101"/>
    </row>
    <row r="16994" spans="9:9" x14ac:dyDescent="0.3">
      <c r="I16994" s="101"/>
    </row>
    <row r="16995" spans="9:9" x14ac:dyDescent="0.3">
      <c r="I16995" s="101"/>
    </row>
    <row r="16996" spans="9:9" x14ac:dyDescent="0.3">
      <c r="I16996" s="101"/>
    </row>
    <row r="16997" spans="9:9" x14ac:dyDescent="0.3">
      <c r="I16997" s="101"/>
    </row>
    <row r="16998" spans="9:9" x14ac:dyDescent="0.3">
      <c r="I16998" s="101"/>
    </row>
    <row r="16999" spans="9:9" x14ac:dyDescent="0.3">
      <c r="I16999" s="101"/>
    </row>
    <row r="17000" spans="9:9" x14ac:dyDescent="0.3">
      <c r="I17000" s="101"/>
    </row>
    <row r="17001" spans="9:9" x14ac:dyDescent="0.3">
      <c r="I17001" s="101"/>
    </row>
    <row r="17002" spans="9:9" x14ac:dyDescent="0.3">
      <c r="I17002" s="101"/>
    </row>
    <row r="17003" spans="9:9" x14ac:dyDescent="0.3">
      <c r="I17003" s="101"/>
    </row>
    <row r="17004" spans="9:9" x14ac:dyDescent="0.3">
      <c r="I17004" s="101"/>
    </row>
    <row r="17005" spans="9:9" x14ac:dyDescent="0.3">
      <c r="I17005" s="101"/>
    </row>
    <row r="17006" spans="9:9" x14ac:dyDescent="0.3">
      <c r="I17006" s="101"/>
    </row>
    <row r="17007" spans="9:9" x14ac:dyDescent="0.3">
      <c r="I17007" s="101"/>
    </row>
    <row r="17008" spans="9:9" x14ac:dyDescent="0.3">
      <c r="I17008" s="101"/>
    </row>
    <row r="17009" spans="9:9" x14ac:dyDescent="0.3">
      <c r="I17009" s="101"/>
    </row>
    <row r="17010" spans="9:9" x14ac:dyDescent="0.3">
      <c r="I17010" s="101"/>
    </row>
    <row r="17011" spans="9:9" x14ac:dyDescent="0.3">
      <c r="I17011" s="101"/>
    </row>
    <row r="17012" spans="9:9" x14ac:dyDescent="0.3">
      <c r="I17012" s="101"/>
    </row>
    <row r="17013" spans="9:9" x14ac:dyDescent="0.3">
      <c r="I17013" s="101"/>
    </row>
    <row r="17014" spans="9:9" x14ac:dyDescent="0.3">
      <c r="I17014" s="101"/>
    </row>
    <row r="17015" spans="9:9" x14ac:dyDescent="0.3">
      <c r="I17015" s="101"/>
    </row>
    <row r="17016" spans="9:9" x14ac:dyDescent="0.3">
      <c r="I17016" s="101"/>
    </row>
    <row r="17017" spans="9:9" x14ac:dyDescent="0.3">
      <c r="I17017" s="101"/>
    </row>
    <row r="17018" spans="9:9" x14ac:dyDescent="0.3">
      <c r="I17018" s="101"/>
    </row>
    <row r="17019" spans="9:9" x14ac:dyDescent="0.3">
      <c r="I17019" s="101"/>
    </row>
    <row r="17020" spans="9:9" x14ac:dyDescent="0.3">
      <c r="I17020" s="101"/>
    </row>
    <row r="17021" spans="9:9" x14ac:dyDescent="0.3">
      <c r="I17021" s="101"/>
    </row>
    <row r="17022" spans="9:9" x14ac:dyDescent="0.3">
      <c r="I17022" s="101"/>
    </row>
    <row r="17023" spans="9:9" x14ac:dyDescent="0.3">
      <c r="I17023" s="101"/>
    </row>
    <row r="17024" spans="9:9" x14ac:dyDescent="0.3">
      <c r="I17024" s="101"/>
    </row>
    <row r="17025" spans="9:9" x14ac:dyDescent="0.3">
      <c r="I17025" s="101"/>
    </row>
    <row r="17026" spans="9:9" x14ac:dyDescent="0.3">
      <c r="I17026" s="101"/>
    </row>
    <row r="17027" spans="9:9" x14ac:dyDescent="0.3">
      <c r="I17027" s="101"/>
    </row>
    <row r="17028" spans="9:9" x14ac:dyDescent="0.3">
      <c r="I17028" s="101"/>
    </row>
    <row r="17029" spans="9:9" x14ac:dyDescent="0.3">
      <c r="I17029" s="101"/>
    </row>
    <row r="17030" spans="9:9" x14ac:dyDescent="0.3">
      <c r="I17030" s="101"/>
    </row>
    <row r="17031" spans="9:9" x14ac:dyDescent="0.3">
      <c r="I17031" s="101"/>
    </row>
    <row r="17032" spans="9:9" x14ac:dyDescent="0.3">
      <c r="I17032" s="101"/>
    </row>
    <row r="17033" spans="9:9" x14ac:dyDescent="0.3">
      <c r="I17033" s="101"/>
    </row>
    <row r="17034" spans="9:9" x14ac:dyDescent="0.3">
      <c r="I17034" s="101"/>
    </row>
    <row r="17035" spans="9:9" x14ac:dyDescent="0.3">
      <c r="I17035" s="101"/>
    </row>
    <row r="17036" spans="9:9" x14ac:dyDescent="0.3">
      <c r="I17036" s="101"/>
    </row>
    <row r="17037" spans="9:9" x14ac:dyDescent="0.3">
      <c r="I17037" s="101"/>
    </row>
    <row r="17038" spans="9:9" x14ac:dyDescent="0.3">
      <c r="I17038" s="101"/>
    </row>
    <row r="17039" spans="9:9" x14ac:dyDescent="0.3">
      <c r="I17039" s="101"/>
    </row>
    <row r="17040" spans="9:9" x14ac:dyDescent="0.3">
      <c r="I17040" s="101"/>
    </row>
    <row r="17041" spans="9:9" x14ac:dyDescent="0.3">
      <c r="I17041" s="101"/>
    </row>
    <row r="17042" spans="9:9" x14ac:dyDescent="0.3">
      <c r="I17042" s="101"/>
    </row>
    <row r="17043" spans="9:9" x14ac:dyDescent="0.3">
      <c r="I17043" s="101"/>
    </row>
    <row r="17044" spans="9:9" x14ac:dyDescent="0.3">
      <c r="I17044" s="101"/>
    </row>
    <row r="17045" spans="9:9" x14ac:dyDescent="0.3">
      <c r="I17045" s="101"/>
    </row>
    <row r="17046" spans="9:9" x14ac:dyDescent="0.3">
      <c r="I17046" s="101"/>
    </row>
    <row r="17047" spans="9:9" x14ac:dyDescent="0.3">
      <c r="I17047" s="101"/>
    </row>
    <row r="17048" spans="9:9" x14ac:dyDescent="0.3">
      <c r="I17048" s="101"/>
    </row>
    <row r="17049" spans="9:9" x14ac:dyDescent="0.3">
      <c r="I17049" s="101"/>
    </row>
    <row r="17050" spans="9:9" x14ac:dyDescent="0.3">
      <c r="I17050" s="101"/>
    </row>
    <row r="17051" spans="9:9" x14ac:dyDescent="0.3">
      <c r="I17051" s="101"/>
    </row>
    <row r="17052" spans="9:9" x14ac:dyDescent="0.3">
      <c r="I17052" s="101"/>
    </row>
    <row r="17053" spans="9:9" x14ac:dyDescent="0.3">
      <c r="I17053" s="101"/>
    </row>
    <row r="17054" spans="9:9" x14ac:dyDescent="0.3">
      <c r="I17054" s="101"/>
    </row>
    <row r="17055" spans="9:9" x14ac:dyDescent="0.3">
      <c r="I17055" s="101"/>
    </row>
    <row r="17056" spans="9:9" x14ac:dyDescent="0.3">
      <c r="I17056" s="101"/>
    </row>
    <row r="17057" spans="9:9" x14ac:dyDescent="0.3">
      <c r="I17057" s="101"/>
    </row>
    <row r="17058" spans="9:9" x14ac:dyDescent="0.3">
      <c r="I17058" s="101"/>
    </row>
    <row r="17059" spans="9:9" x14ac:dyDescent="0.3">
      <c r="I17059" s="101"/>
    </row>
    <row r="17060" spans="9:9" x14ac:dyDescent="0.3">
      <c r="I17060" s="101"/>
    </row>
    <row r="17061" spans="9:9" x14ac:dyDescent="0.3">
      <c r="I17061" s="101"/>
    </row>
    <row r="17062" spans="9:9" x14ac:dyDescent="0.3">
      <c r="I17062" s="101"/>
    </row>
    <row r="17063" spans="9:9" x14ac:dyDescent="0.3">
      <c r="I17063" s="101"/>
    </row>
    <row r="17064" spans="9:9" x14ac:dyDescent="0.3">
      <c r="I17064" s="101"/>
    </row>
    <row r="17065" spans="9:9" x14ac:dyDescent="0.3">
      <c r="I17065" s="101"/>
    </row>
    <row r="17066" spans="9:9" x14ac:dyDescent="0.3">
      <c r="I17066" s="101"/>
    </row>
    <row r="17067" spans="9:9" x14ac:dyDescent="0.3">
      <c r="I17067" s="101"/>
    </row>
    <row r="17068" spans="9:9" x14ac:dyDescent="0.3">
      <c r="I17068" s="101"/>
    </row>
    <row r="17069" spans="9:9" x14ac:dyDescent="0.3">
      <c r="I17069" s="101"/>
    </row>
    <row r="17070" spans="9:9" x14ac:dyDescent="0.3">
      <c r="I17070" s="101"/>
    </row>
    <row r="17071" spans="9:9" x14ac:dyDescent="0.3">
      <c r="I17071" s="101"/>
    </row>
    <row r="17072" spans="9:9" x14ac:dyDescent="0.3">
      <c r="I17072" s="101"/>
    </row>
    <row r="17073" spans="9:9" x14ac:dyDescent="0.3">
      <c r="I17073" s="101"/>
    </row>
    <row r="17074" spans="9:9" x14ac:dyDescent="0.3">
      <c r="I17074" s="101"/>
    </row>
    <row r="17075" spans="9:9" x14ac:dyDescent="0.3">
      <c r="I17075" s="101"/>
    </row>
    <row r="17076" spans="9:9" x14ac:dyDescent="0.3">
      <c r="I17076" s="101"/>
    </row>
    <row r="17077" spans="9:9" x14ac:dyDescent="0.3">
      <c r="I17077" s="101"/>
    </row>
    <row r="17078" spans="9:9" x14ac:dyDescent="0.3">
      <c r="I17078" s="101"/>
    </row>
    <row r="17079" spans="9:9" x14ac:dyDescent="0.3">
      <c r="I17079" s="101"/>
    </row>
    <row r="17080" spans="9:9" x14ac:dyDescent="0.3">
      <c r="I17080" s="101"/>
    </row>
    <row r="17081" spans="9:9" x14ac:dyDescent="0.3">
      <c r="I17081" s="101"/>
    </row>
    <row r="17082" spans="9:9" x14ac:dyDescent="0.3">
      <c r="I17082" s="101"/>
    </row>
    <row r="17083" spans="9:9" x14ac:dyDescent="0.3">
      <c r="I17083" s="101"/>
    </row>
    <row r="17084" spans="9:9" x14ac:dyDescent="0.3">
      <c r="I17084" s="101"/>
    </row>
    <row r="17085" spans="9:9" x14ac:dyDescent="0.3">
      <c r="I17085" s="101"/>
    </row>
    <row r="17086" spans="9:9" x14ac:dyDescent="0.3">
      <c r="I17086" s="101"/>
    </row>
    <row r="17087" spans="9:9" x14ac:dyDescent="0.3">
      <c r="I17087" s="101"/>
    </row>
    <row r="17088" spans="9:9" x14ac:dyDescent="0.3">
      <c r="I17088" s="101"/>
    </row>
    <row r="17089" spans="9:9" x14ac:dyDescent="0.3">
      <c r="I17089" s="101"/>
    </row>
    <row r="17090" spans="9:9" x14ac:dyDescent="0.3">
      <c r="I17090" s="101"/>
    </row>
    <row r="17091" spans="9:9" x14ac:dyDescent="0.3">
      <c r="I17091" s="101"/>
    </row>
    <row r="17092" spans="9:9" x14ac:dyDescent="0.3">
      <c r="I17092" s="101"/>
    </row>
    <row r="17093" spans="9:9" x14ac:dyDescent="0.3">
      <c r="I17093" s="101"/>
    </row>
    <row r="17094" spans="9:9" x14ac:dyDescent="0.3">
      <c r="I17094" s="101"/>
    </row>
    <row r="17095" spans="9:9" x14ac:dyDescent="0.3">
      <c r="I17095" s="101"/>
    </row>
    <row r="17096" spans="9:9" x14ac:dyDescent="0.3">
      <c r="I17096" s="101"/>
    </row>
    <row r="17097" spans="9:9" x14ac:dyDescent="0.3">
      <c r="I17097" s="101"/>
    </row>
    <row r="17098" spans="9:9" x14ac:dyDescent="0.3">
      <c r="I17098" s="101"/>
    </row>
    <row r="17099" spans="9:9" x14ac:dyDescent="0.3">
      <c r="I17099" s="101"/>
    </row>
    <row r="17100" spans="9:9" x14ac:dyDescent="0.3">
      <c r="I17100" s="101"/>
    </row>
    <row r="17101" spans="9:9" x14ac:dyDescent="0.3">
      <c r="I17101" s="101"/>
    </row>
    <row r="17102" spans="9:9" x14ac:dyDescent="0.3">
      <c r="I17102" s="101"/>
    </row>
    <row r="17103" spans="9:9" x14ac:dyDescent="0.3">
      <c r="I17103" s="101"/>
    </row>
    <row r="17104" spans="9:9" x14ac:dyDescent="0.3">
      <c r="I17104" s="101"/>
    </row>
    <row r="17105" spans="9:9" x14ac:dyDescent="0.3">
      <c r="I17105" s="101"/>
    </row>
    <row r="17106" spans="9:9" x14ac:dyDescent="0.3">
      <c r="I17106" s="101"/>
    </row>
    <row r="17107" spans="9:9" x14ac:dyDescent="0.3">
      <c r="I17107" s="101"/>
    </row>
    <row r="17108" spans="9:9" x14ac:dyDescent="0.3">
      <c r="I17108" s="101"/>
    </row>
    <row r="17109" spans="9:9" x14ac:dyDescent="0.3">
      <c r="I17109" s="101"/>
    </row>
    <row r="17110" spans="9:9" x14ac:dyDescent="0.3">
      <c r="I17110" s="101"/>
    </row>
    <row r="17111" spans="9:9" x14ac:dyDescent="0.3">
      <c r="I17111" s="101"/>
    </row>
    <row r="17112" spans="9:9" x14ac:dyDescent="0.3">
      <c r="I17112" s="101"/>
    </row>
    <row r="17113" spans="9:9" x14ac:dyDescent="0.3">
      <c r="I17113" s="101"/>
    </row>
    <row r="17114" spans="9:9" x14ac:dyDescent="0.3">
      <c r="I17114" s="101"/>
    </row>
    <row r="17115" spans="9:9" x14ac:dyDescent="0.3">
      <c r="I17115" s="101"/>
    </row>
    <row r="17116" spans="9:9" x14ac:dyDescent="0.3">
      <c r="I17116" s="101"/>
    </row>
    <row r="17117" spans="9:9" x14ac:dyDescent="0.3">
      <c r="I17117" s="101"/>
    </row>
    <row r="17118" spans="9:9" x14ac:dyDescent="0.3">
      <c r="I17118" s="101"/>
    </row>
    <row r="17119" spans="9:9" x14ac:dyDescent="0.3">
      <c r="I17119" s="101"/>
    </row>
    <row r="17120" spans="9:9" x14ac:dyDescent="0.3">
      <c r="I17120" s="101"/>
    </row>
    <row r="17121" spans="9:9" x14ac:dyDescent="0.3">
      <c r="I17121" s="101"/>
    </row>
    <row r="17122" spans="9:9" x14ac:dyDescent="0.3">
      <c r="I17122" s="101"/>
    </row>
    <row r="17123" spans="9:9" x14ac:dyDescent="0.3">
      <c r="I17123" s="101"/>
    </row>
    <row r="17124" spans="9:9" x14ac:dyDescent="0.3">
      <c r="I17124" s="101"/>
    </row>
    <row r="17125" spans="9:9" x14ac:dyDescent="0.3">
      <c r="I17125" s="101"/>
    </row>
    <row r="17126" spans="9:9" x14ac:dyDescent="0.3">
      <c r="I17126" s="101"/>
    </row>
    <row r="17127" spans="9:9" x14ac:dyDescent="0.3">
      <c r="I17127" s="101"/>
    </row>
    <row r="17128" spans="9:9" x14ac:dyDescent="0.3">
      <c r="I17128" s="101"/>
    </row>
    <row r="17129" spans="9:9" x14ac:dyDescent="0.3">
      <c r="I17129" s="101"/>
    </row>
    <row r="17130" spans="9:9" x14ac:dyDescent="0.3">
      <c r="I17130" s="101"/>
    </row>
    <row r="17131" spans="9:9" x14ac:dyDescent="0.3">
      <c r="I17131" s="101"/>
    </row>
    <row r="17132" spans="9:9" x14ac:dyDescent="0.3">
      <c r="I17132" s="101"/>
    </row>
    <row r="17133" spans="9:9" x14ac:dyDescent="0.3">
      <c r="I17133" s="101"/>
    </row>
    <row r="17134" spans="9:9" x14ac:dyDescent="0.3">
      <c r="I17134" s="101"/>
    </row>
    <row r="17135" spans="9:9" x14ac:dyDescent="0.3">
      <c r="I17135" s="101"/>
    </row>
    <row r="17136" spans="9:9" x14ac:dyDescent="0.3">
      <c r="I17136" s="101"/>
    </row>
    <row r="17137" spans="9:9" x14ac:dyDescent="0.3">
      <c r="I17137" s="101"/>
    </row>
    <row r="17138" spans="9:9" x14ac:dyDescent="0.3">
      <c r="I17138" s="101"/>
    </row>
    <row r="17139" spans="9:9" x14ac:dyDescent="0.3">
      <c r="I17139" s="101"/>
    </row>
    <row r="17140" spans="9:9" x14ac:dyDescent="0.3">
      <c r="I17140" s="101"/>
    </row>
    <row r="17141" spans="9:9" x14ac:dyDescent="0.3">
      <c r="I17141" s="101"/>
    </row>
    <row r="17142" spans="9:9" x14ac:dyDescent="0.3">
      <c r="I17142" s="101"/>
    </row>
    <row r="17143" spans="9:9" x14ac:dyDescent="0.3">
      <c r="I17143" s="101"/>
    </row>
    <row r="17144" spans="9:9" x14ac:dyDescent="0.3">
      <c r="I17144" s="101"/>
    </row>
    <row r="17145" spans="9:9" x14ac:dyDescent="0.3">
      <c r="I17145" s="101"/>
    </row>
    <row r="17146" spans="9:9" x14ac:dyDescent="0.3">
      <c r="I17146" s="101"/>
    </row>
    <row r="17147" spans="9:9" x14ac:dyDescent="0.3">
      <c r="I17147" s="101"/>
    </row>
    <row r="17148" spans="9:9" x14ac:dyDescent="0.3">
      <c r="I17148" s="101"/>
    </row>
    <row r="17149" spans="9:9" x14ac:dyDescent="0.3">
      <c r="I17149" s="101"/>
    </row>
    <row r="17150" spans="9:9" x14ac:dyDescent="0.3">
      <c r="I17150" s="101"/>
    </row>
    <row r="17151" spans="9:9" x14ac:dyDescent="0.3">
      <c r="I17151" s="101"/>
    </row>
    <row r="17152" spans="9:9" x14ac:dyDescent="0.3">
      <c r="I17152" s="101"/>
    </row>
    <row r="17153" spans="9:9" x14ac:dyDescent="0.3">
      <c r="I17153" s="101"/>
    </row>
    <row r="17154" spans="9:9" x14ac:dyDescent="0.3">
      <c r="I17154" s="101"/>
    </row>
    <row r="17155" spans="9:9" x14ac:dyDescent="0.3">
      <c r="I17155" s="101"/>
    </row>
    <row r="17156" spans="9:9" x14ac:dyDescent="0.3">
      <c r="I17156" s="101"/>
    </row>
    <row r="17157" spans="9:9" x14ac:dyDescent="0.3">
      <c r="I17157" s="101"/>
    </row>
    <row r="17158" spans="9:9" x14ac:dyDescent="0.3">
      <c r="I17158" s="101"/>
    </row>
    <row r="17159" spans="9:9" x14ac:dyDescent="0.3">
      <c r="I17159" s="101"/>
    </row>
    <row r="17160" spans="9:9" x14ac:dyDescent="0.3">
      <c r="I17160" s="101"/>
    </row>
    <row r="17161" spans="9:9" x14ac:dyDescent="0.3">
      <c r="I17161" s="101"/>
    </row>
    <row r="17162" spans="9:9" x14ac:dyDescent="0.3">
      <c r="I17162" s="101"/>
    </row>
    <row r="17163" spans="9:9" x14ac:dyDescent="0.3">
      <c r="I17163" s="101"/>
    </row>
    <row r="17164" spans="9:9" x14ac:dyDescent="0.3">
      <c r="I17164" s="101"/>
    </row>
    <row r="17165" spans="9:9" x14ac:dyDescent="0.3">
      <c r="I17165" s="101"/>
    </row>
    <row r="17166" spans="9:9" x14ac:dyDescent="0.3">
      <c r="I17166" s="101"/>
    </row>
    <row r="17167" spans="9:9" x14ac:dyDescent="0.3">
      <c r="I17167" s="101"/>
    </row>
    <row r="17168" spans="9:9" x14ac:dyDescent="0.3">
      <c r="I17168" s="101"/>
    </row>
    <row r="17169" spans="9:9" x14ac:dyDescent="0.3">
      <c r="I17169" s="101"/>
    </row>
    <row r="17170" spans="9:9" x14ac:dyDescent="0.3">
      <c r="I17170" s="101"/>
    </row>
    <row r="17171" spans="9:9" x14ac:dyDescent="0.3">
      <c r="I17171" s="101"/>
    </row>
    <row r="17172" spans="9:9" x14ac:dyDescent="0.3">
      <c r="I17172" s="101"/>
    </row>
    <row r="17173" spans="9:9" x14ac:dyDescent="0.3">
      <c r="I17173" s="101"/>
    </row>
    <row r="17174" spans="9:9" x14ac:dyDescent="0.3">
      <c r="I17174" s="101"/>
    </row>
    <row r="17175" spans="9:9" x14ac:dyDescent="0.3">
      <c r="I17175" s="101"/>
    </row>
    <row r="17176" spans="9:9" x14ac:dyDescent="0.3">
      <c r="I17176" s="101"/>
    </row>
    <row r="17177" spans="9:9" x14ac:dyDescent="0.3">
      <c r="I17177" s="101"/>
    </row>
    <row r="17178" spans="9:9" x14ac:dyDescent="0.3">
      <c r="I17178" s="101"/>
    </row>
    <row r="17179" spans="9:9" x14ac:dyDescent="0.3">
      <c r="I17179" s="101"/>
    </row>
    <row r="17180" spans="9:9" x14ac:dyDescent="0.3">
      <c r="I17180" s="101"/>
    </row>
    <row r="17181" spans="9:9" x14ac:dyDescent="0.3">
      <c r="I17181" s="101"/>
    </row>
    <row r="17182" spans="9:9" x14ac:dyDescent="0.3">
      <c r="I17182" s="101"/>
    </row>
    <row r="17183" spans="9:9" x14ac:dyDescent="0.3">
      <c r="I17183" s="101"/>
    </row>
    <row r="17184" spans="9:9" x14ac:dyDescent="0.3">
      <c r="I17184" s="101"/>
    </row>
    <row r="17185" spans="9:9" x14ac:dyDescent="0.3">
      <c r="I17185" s="101"/>
    </row>
    <row r="17186" spans="9:9" x14ac:dyDescent="0.3">
      <c r="I17186" s="101"/>
    </row>
    <row r="17187" spans="9:9" x14ac:dyDescent="0.3">
      <c r="I17187" s="101"/>
    </row>
    <row r="17188" spans="9:9" x14ac:dyDescent="0.3">
      <c r="I17188" s="101"/>
    </row>
    <row r="17189" spans="9:9" x14ac:dyDescent="0.3">
      <c r="I17189" s="101"/>
    </row>
    <row r="17190" spans="9:9" x14ac:dyDescent="0.3">
      <c r="I17190" s="101"/>
    </row>
    <row r="17191" spans="9:9" x14ac:dyDescent="0.3">
      <c r="I17191" s="101"/>
    </row>
    <row r="17192" spans="9:9" x14ac:dyDescent="0.3">
      <c r="I17192" s="101"/>
    </row>
    <row r="17193" spans="9:9" x14ac:dyDescent="0.3">
      <c r="I17193" s="101"/>
    </row>
    <row r="17194" spans="9:9" x14ac:dyDescent="0.3">
      <c r="I17194" s="101"/>
    </row>
    <row r="17195" spans="9:9" x14ac:dyDescent="0.3">
      <c r="I17195" s="101"/>
    </row>
    <row r="17196" spans="9:9" x14ac:dyDescent="0.3">
      <c r="I17196" s="101"/>
    </row>
    <row r="17197" spans="9:9" x14ac:dyDescent="0.3">
      <c r="I17197" s="101"/>
    </row>
    <row r="17198" spans="9:9" x14ac:dyDescent="0.3">
      <c r="I17198" s="101"/>
    </row>
    <row r="17199" spans="9:9" x14ac:dyDescent="0.3">
      <c r="I17199" s="101"/>
    </row>
    <row r="17200" spans="9:9" x14ac:dyDescent="0.3">
      <c r="I17200" s="101"/>
    </row>
    <row r="17201" spans="9:9" x14ac:dyDescent="0.3">
      <c r="I17201" s="101"/>
    </row>
    <row r="17202" spans="9:9" x14ac:dyDescent="0.3">
      <c r="I17202" s="101"/>
    </row>
    <row r="17203" spans="9:9" x14ac:dyDescent="0.3">
      <c r="I17203" s="101"/>
    </row>
    <row r="17204" spans="9:9" x14ac:dyDescent="0.3">
      <c r="I17204" s="101"/>
    </row>
    <row r="17205" spans="9:9" x14ac:dyDescent="0.3">
      <c r="I17205" s="101"/>
    </row>
    <row r="17206" spans="9:9" x14ac:dyDescent="0.3">
      <c r="I17206" s="101"/>
    </row>
    <row r="17207" spans="9:9" x14ac:dyDescent="0.3">
      <c r="I17207" s="101"/>
    </row>
    <row r="17208" spans="9:9" x14ac:dyDescent="0.3">
      <c r="I17208" s="101"/>
    </row>
    <row r="17209" spans="9:9" x14ac:dyDescent="0.3">
      <c r="I17209" s="101"/>
    </row>
    <row r="17210" spans="9:9" x14ac:dyDescent="0.3">
      <c r="I17210" s="101"/>
    </row>
    <row r="17211" spans="9:9" x14ac:dyDescent="0.3">
      <c r="I17211" s="101"/>
    </row>
    <row r="17212" spans="9:9" x14ac:dyDescent="0.3">
      <c r="I17212" s="101"/>
    </row>
    <row r="17213" spans="9:9" x14ac:dyDescent="0.3">
      <c r="I17213" s="101"/>
    </row>
    <row r="17214" spans="9:9" x14ac:dyDescent="0.3">
      <c r="I17214" s="101"/>
    </row>
    <row r="17215" spans="9:9" x14ac:dyDescent="0.3">
      <c r="I17215" s="101"/>
    </row>
    <row r="17216" spans="9:9" x14ac:dyDescent="0.3">
      <c r="I17216" s="101"/>
    </row>
    <row r="17217" spans="9:9" x14ac:dyDescent="0.3">
      <c r="I17217" s="101"/>
    </row>
    <row r="17218" spans="9:9" x14ac:dyDescent="0.3">
      <c r="I17218" s="101"/>
    </row>
    <row r="17219" spans="9:9" x14ac:dyDescent="0.3">
      <c r="I17219" s="101"/>
    </row>
    <row r="17220" spans="9:9" x14ac:dyDescent="0.3">
      <c r="I17220" s="101"/>
    </row>
    <row r="17221" spans="9:9" x14ac:dyDescent="0.3">
      <c r="I17221" s="101"/>
    </row>
    <row r="17222" spans="9:9" x14ac:dyDescent="0.3">
      <c r="I17222" s="101"/>
    </row>
    <row r="17223" spans="9:9" x14ac:dyDescent="0.3">
      <c r="I17223" s="101"/>
    </row>
    <row r="17224" spans="9:9" x14ac:dyDescent="0.3">
      <c r="I17224" s="101"/>
    </row>
    <row r="17225" spans="9:9" x14ac:dyDescent="0.3">
      <c r="I17225" s="101"/>
    </row>
    <row r="17226" spans="9:9" x14ac:dyDescent="0.3">
      <c r="I17226" s="101"/>
    </row>
    <row r="17227" spans="9:9" x14ac:dyDescent="0.3">
      <c r="I17227" s="101"/>
    </row>
    <row r="17228" spans="9:9" x14ac:dyDescent="0.3">
      <c r="I17228" s="101"/>
    </row>
    <row r="17229" spans="9:9" x14ac:dyDescent="0.3">
      <c r="I17229" s="101"/>
    </row>
    <row r="17230" spans="9:9" x14ac:dyDescent="0.3">
      <c r="I17230" s="101"/>
    </row>
    <row r="17231" spans="9:9" x14ac:dyDescent="0.3">
      <c r="I17231" s="101"/>
    </row>
    <row r="17232" spans="9:9" x14ac:dyDescent="0.3">
      <c r="I17232" s="101"/>
    </row>
    <row r="17233" spans="9:9" x14ac:dyDescent="0.3">
      <c r="I17233" s="101"/>
    </row>
    <row r="17234" spans="9:9" x14ac:dyDescent="0.3">
      <c r="I17234" s="101"/>
    </row>
    <row r="17235" spans="9:9" x14ac:dyDescent="0.3">
      <c r="I17235" s="101"/>
    </row>
    <row r="17236" spans="9:9" x14ac:dyDescent="0.3">
      <c r="I17236" s="101"/>
    </row>
    <row r="17237" spans="9:9" x14ac:dyDescent="0.3">
      <c r="I17237" s="101"/>
    </row>
    <row r="17238" spans="9:9" x14ac:dyDescent="0.3">
      <c r="I17238" s="101"/>
    </row>
    <row r="17239" spans="9:9" x14ac:dyDescent="0.3">
      <c r="I17239" s="101"/>
    </row>
    <row r="17240" spans="9:9" x14ac:dyDescent="0.3">
      <c r="I17240" s="101"/>
    </row>
    <row r="17241" spans="9:9" x14ac:dyDescent="0.3">
      <c r="I17241" s="101"/>
    </row>
    <row r="17242" spans="9:9" x14ac:dyDescent="0.3">
      <c r="I17242" s="101"/>
    </row>
    <row r="17243" spans="9:9" x14ac:dyDescent="0.3">
      <c r="I17243" s="101"/>
    </row>
    <row r="17244" spans="9:9" x14ac:dyDescent="0.3">
      <c r="I17244" s="101"/>
    </row>
    <row r="17245" spans="9:9" x14ac:dyDescent="0.3">
      <c r="I17245" s="101"/>
    </row>
    <row r="17246" spans="9:9" x14ac:dyDescent="0.3">
      <c r="I17246" s="101"/>
    </row>
    <row r="17247" spans="9:9" x14ac:dyDescent="0.3">
      <c r="I17247" s="101"/>
    </row>
    <row r="17248" spans="9:9" x14ac:dyDescent="0.3">
      <c r="I17248" s="101"/>
    </row>
    <row r="17249" spans="9:9" x14ac:dyDescent="0.3">
      <c r="I17249" s="101"/>
    </row>
    <row r="17250" spans="9:9" x14ac:dyDescent="0.3">
      <c r="I17250" s="101"/>
    </row>
    <row r="17251" spans="9:9" x14ac:dyDescent="0.3">
      <c r="I17251" s="101"/>
    </row>
    <row r="17252" spans="9:9" x14ac:dyDescent="0.3">
      <c r="I17252" s="101"/>
    </row>
    <row r="17253" spans="9:9" x14ac:dyDescent="0.3">
      <c r="I17253" s="101"/>
    </row>
    <row r="17254" spans="9:9" x14ac:dyDescent="0.3">
      <c r="I17254" s="101"/>
    </row>
    <row r="17255" spans="9:9" x14ac:dyDescent="0.3">
      <c r="I17255" s="101"/>
    </row>
    <row r="17256" spans="9:9" x14ac:dyDescent="0.3">
      <c r="I17256" s="101"/>
    </row>
    <row r="17257" spans="9:9" x14ac:dyDescent="0.3">
      <c r="I17257" s="101"/>
    </row>
    <row r="17258" spans="9:9" x14ac:dyDescent="0.3">
      <c r="I17258" s="101"/>
    </row>
    <row r="17259" spans="9:9" x14ac:dyDescent="0.3">
      <c r="I17259" s="101"/>
    </row>
    <row r="17260" spans="9:9" x14ac:dyDescent="0.3">
      <c r="I17260" s="101"/>
    </row>
    <row r="17261" spans="9:9" x14ac:dyDescent="0.3">
      <c r="I17261" s="101"/>
    </row>
    <row r="17262" spans="9:9" x14ac:dyDescent="0.3">
      <c r="I17262" s="101"/>
    </row>
    <row r="17263" spans="9:9" x14ac:dyDescent="0.3">
      <c r="I17263" s="101"/>
    </row>
    <row r="17264" spans="9:9" x14ac:dyDescent="0.3">
      <c r="I17264" s="101"/>
    </row>
    <row r="17265" spans="9:9" x14ac:dyDescent="0.3">
      <c r="I17265" s="101"/>
    </row>
    <row r="17266" spans="9:9" x14ac:dyDescent="0.3">
      <c r="I17266" s="101"/>
    </row>
    <row r="17267" spans="9:9" x14ac:dyDescent="0.3">
      <c r="I17267" s="101"/>
    </row>
    <row r="17268" spans="9:9" x14ac:dyDescent="0.3">
      <c r="I17268" s="101"/>
    </row>
    <row r="17269" spans="9:9" x14ac:dyDescent="0.3">
      <c r="I17269" s="101"/>
    </row>
    <row r="17270" spans="9:9" x14ac:dyDescent="0.3">
      <c r="I17270" s="101"/>
    </row>
    <row r="17271" spans="9:9" x14ac:dyDescent="0.3">
      <c r="I17271" s="101"/>
    </row>
    <row r="17272" spans="9:9" x14ac:dyDescent="0.3">
      <c r="I17272" s="101"/>
    </row>
    <row r="17273" spans="9:9" x14ac:dyDescent="0.3">
      <c r="I17273" s="101"/>
    </row>
    <row r="17274" spans="9:9" x14ac:dyDescent="0.3">
      <c r="I17274" s="101"/>
    </row>
    <row r="17275" spans="9:9" x14ac:dyDescent="0.3">
      <c r="I17275" s="101"/>
    </row>
    <row r="17276" spans="9:9" x14ac:dyDescent="0.3">
      <c r="I17276" s="101"/>
    </row>
    <row r="17277" spans="9:9" x14ac:dyDescent="0.3">
      <c r="I17277" s="101"/>
    </row>
    <row r="17278" spans="9:9" x14ac:dyDescent="0.3">
      <c r="I17278" s="101"/>
    </row>
    <row r="17279" spans="9:9" x14ac:dyDescent="0.3">
      <c r="I17279" s="101"/>
    </row>
    <row r="17280" spans="9:9" x14ac:dyDescent="0.3">
      <c r="I17280" s="101"/>
    </row>
    <row r="17281" spans="9:9" x14ac:dyDescent="0.3">
      <c r="I17281" s="101"/>
    </row>
    <row r="17282" spans="9:9" x14ac:dyDescent="0.3">
      <c r="I17282" s="101"/>
    </row>
    <row r="17283" spans="9:9" x14ac:dyDescent="0.3">
      <c r="I17283" s="101"/>
    </row>
    <row r="17284" spans="9:9" x14ac:dyDescent="0.3">
      <c r="I17284" s="101"/>
    </row>
    <row r="17285" spans="9:9" x14ac:dyDescent="0.3">
      <c r="I17285" s="101"/>
    </row>
    <row r="17286" spans="9:9" x14ac:dyDescent="0.3">
      <c r="I17286" s="101"/>
    </row>
    <row r="17287" spans="9:9" x14ac:dyDescent="0.3">
      <c r="I17287" s="101"/>
    </row>
    <row r="17288" spans="9:9" x14ac:dyDescent="0.3">
      <c r="I17288" s="101"/>
    </row>
    <row r="17289" spans="9:9" x14ac:dyDescent="0.3">
      <c r="I17289" s="101"/>
    </row>
    <row r="17290" spans="9:9" x14ac:dyDescent="0.3">
      <c r="I17290" s="101"/>
    </row>
    <row r="17291" spans="9:9" x14ac:dyDescent="0.3">
      <c r="I17291" s="101"/>
    </row>
    <row r="17292" spans="9:9" x14ac:dyDescent="0.3">
      <c r="I17292" s="101"/>
    </row>
    <row r="17293" spans="9:9" x14ac:dyDescent="0.3">
      <c r="I17293" s="101"/>
    </row>
    <row r="17294" spans="9:9" x14ac:dyDescent="0.3">
      <c r="I17294" s="101"/>
    </row>
    <row r="17295" spans="9:9" x14ac:dyDescent="0.3">
      <c r="I17295" s="101"/>
    </row>
    <row r="17296" spans="9:9" x14ac:dyDescent="0.3">
      <c r="I17296" s="101"/>
    </row>
    <row r="17297" spans="9:9" x14ac:dyDescent="0.3">
      <c r="I17297" s="101"/>
    </row>
    <row r="17298" spans="9:9" x14ac:dyDescent="0.3">
      <c r="I17298" s="101"/>
    </row>
    <row r="17299" spans="9:9" x14ac:dyDescent="0.3">
      <c r="I17299" s="101"/>
    </row>
    <row r="17300" spans="9:9" x14ac:dyDescent="0.3">
      <c r="I17300" s="101"/>
    </row>
    <row r="17301" spans="9:9" x14ac:dyDescent="0.3">
      <c r="I17301" s="101"/>
    </row>
    <row r="17302" spans="9:9" x14ac:dyDescent="0.3">
      <c r="I17302" s="101"/>
    </row>
    <row r="17303" spans="9:9" x14ac:dyDescent="0.3">
      <c r="I17303" s="101"/>
    </row>
    <row r="17304" spans="9:9" x14ac:dyDescent="0.3">
      <c r="I17304" s="101"/>
    </row>
    <row r="17305" spans="9:9" x14ac:dyDescent="0.3">
      <c r="I17305" s="101"/>
    </row>
    <row r="17306" spans="9:9" x14ac:dyDescent="0.3">
      <c r="I17306" s="101"/>
    </row>
    <row r="17307" spans="9:9" x14ac:dyDescent="0.3">
      <c r="I17307" s="101"/>
    </row>
    <row r="17308" spans="9:9" x14ac:dyDescent="0.3">
      <c r="I17308" s="101"/>
    </row>
    <row r="17309" spans="9:9" x14ac:dyDescent="0.3">
      <c r="I17309" s="101"/>
    </row>
    <row r="17310" spans="9:9" x14ac:dyDescent="0.3">
      <c r="I17310" s="101"/>
    </row>
    <row r="17311" spans="9:9" x14ac:dyDescent="0.3">
      <c r="I17311" s="101"/>
    </row>
    <row r="17312" spans="9:9" x14ac:dyDescent="0.3">
      <c r="I17312" s="101"/>
    </row>
    <row r="17313" spans="9:9" x14ac:dyDescent="0.3">
      <c r="I17313" s="101"/>
    </row>
    <row r="17314" spans="9:9" x14ac:dyDescent="0.3">
      <c r="I17314" s="101"/>
    </row>
    <row r="17315" spans="9:9" x14ac:dyDescent="0.3">
      <c r="I17315" s="101"/>
    </row>
    <row r="17316" spans="9:9" x14ac:dyDescent="0.3">
      <c r="I17316" s="101"/>
    </row>
    <row r="17317" spans="9:9" x14ac:dyDescent="0.3">
      <c r="I17317" s="101"/>
    </row>
    <row r="17318" spans="9:9" x14ac:dyDescent="0.3">
      <c r="I17318" s="101"/>
    </row>
    <row r="17319" spans="9:9" x14ac:dyDescent="0.3">
      <c r="I17319" s="101"/>
    </row>
    <row r="17320" spans="9:9" x14ac:dyDescent="0.3">
      <c r="I17320" s="101"/>
    </row>
    <row r="17321" spans="9:9" x14ac:dyDescent="0.3">
      <c r="I17321" s="101"/>
    </row>
    <row r="17322" spans="9:9" x14ac:dyDescent="0.3">
      <c r="I17322" s="101"/>
    </row>
    <row r="17323" spans="9:9" x14ac:dyDescent="0.3">
      <c r="I17323" s="101"/>
    </row>
    <row r="17324" spans="9:9" x14ac:dyDescent="0.3">
      <c r="I17324" s="101"/>
    </row>
    <row r="17325" spans="9:9" x14ac:dyDescent="0.3">
      <c r="I17325" s="101"/>
    </row>
    <row r="17326" spans="9:9" x14ac:dyDescent="0.3">
      <c r="I17326" s="101"/>
    </row>
    <row r="17327" spans="9:9" x14ac:dyDescent="0.3">
      <c r="I17327" s="101"/>
    </row>
    <row r="17328" spans="9:9" x14ac:dyDescent="0.3">
      <c r="I17328" s="101"/>
    </row>
    <row r="17329" spans="9:9" x14ac:dyDescent="0.3">
      <c r="I17329" s="101"/>
    </row>
    <row r="17330" spans="9:9" x14ac:dyDescent="0.3">
      <c r="I17330" s="101"/>
    </row>
    <row r="17331" spans="9:9" x14ac:dyDescent="0.3">
      <c r="I17331" s="101"/>
    </row>
    <row r="17332" spans="9:9" x14ac:dyDescent="0.3">
      <c r="I17332" s="101"/>
    </row>
    <row r="17333" spans="9:9" x14ac:dyDescent="0.3">
      <c r="I17333" s="101"/>
    </row>
    <row r="17334" spans="9:9" x14ac:dyDescent="0.3">
      <c r="I17334" s="101"/>
    </row>
    <row r="17335" spans="9:9" x14ac:dyDescent="0.3">
      <c r="I17335" s="101"/>
    </row>
    <row r="17336" spans="9:9" x14ac:dyDescent="0.3">
      <c r="I17336" s="101"/>
    </row>
    <row r="17337" spans="9:9" x14ac:dyDescent="0.3">
      <c r="I17337" s="101"/>
    </row>
    <row r="17338" spans="9:9" x14ac:dyDescent="0.3">
      <c r="I17338" s="101"/>
    </row>
    <row r="17339" spans="9:9" x14ac:dyDescent="0.3">
      <c r="I17339" s="101"/>
    </row>
    <row r="17340" spans="9:9" x14ac:dyDescent="0.3">
      <c r="I17340" s="101"/>
    </row>
    <row r="17341" spans="9:9" x14ac:dyDescent="0.3">
      <c r="I17341" s="101"/>
    </row>
    <row r="17342" spans="9:9" x14ac:dyDescent="0.3">
      <c r="I17342" s="101"/>
    </row>
    <row r="17343" spans="9:9" x14ac:dyDescent="0.3">
      <c r="I17343" s="101"/>
    </row>
    <row r="17344" spans="9:9" x14ac:dyDescent="0.3">
      <c r="I17344" s="101"/>
    </row>
    <row r="17345" spans="9:9" x14ac:dyDescent="0.3">
      <c r="I17345" s="101"/>
    </row>
    <row r="17346" spans="9:9" x14ac:dyDescent="0.3">
      <c r="I17346" s="101"/>
    </row>
    <row r="17347" spans="9:9" x14ac:dyDescent="0.3">
      <c r="I17347" s="101"/>
    </row>
    <row r="17348" spans="9:9" x14ac:dyDescent="0.3">
      <c r="I17348" s="101"/>
    </row>
    <row r="17349" spans="9:9" x14ac:dyDescent="0.3">
      <c r="I17349" s="101"/>
    </row>
    <row r="17350" spans="9:9" x14ac:dyDescent="0.3">
      <c r="I17350" s="101"/>
    </row>
    <row r="17351" spans="9:9" x14ac:dyDescent="0.3">
      <c r="I17351" s="101"/>
    </row>
    <row r="17352" spans="9:9" x14ac:dyDescent="0.3">
      <c r="I17352" s="101"/>
    </row>
    <row r="17353" spans="9:9" x14ac:dyDescent="0.3">
      <c r="I17353" s="101"/>
    </row>
    <row r="17354" spans="9:9" x14ac:dyDescent="0.3">
      <c r="I17354" s="101"/>
    </row>
    <row r="17355" spans="9:9" x14ac:dyDescent="0.3">
      <c r="I17355" s="101"/>
    </row>
    <row r="17356" spans="9:9" x14ac:dyDescent="0.3">
      <c r="I17356" s="101"/>
    </row>
    <row r="17357" spans="9:9" x14ac:dyDescent="0.3">
      <c r="I17357" s="101"/>
    </row>
    <row r="17358" spans="9:9" x14ac:dyDescent="0.3">
      <c r="I17358" s="101"/>
    </row>
    <row r="17359" spans="9:9" x14ac:dyDescent="0.3">
      <c r="I17359" s="101"/>
    </row>
    <row r="17360" spans="9:9" x14ac:dyDescent="0.3">
      <c r="I17360" s="101"/>
    </row>
    <row r="17361" spans="9:9" x14ac:dyDescent="0.3">
      <c r="I17361" s="101"/>
    </row>
    <row r="17362" spans="9:9" x14ac:dyDescent="0.3">
      <c r="I17362" s="101"/>
    </row>
    <row r="17363" spans="9:9" x14ac:dyDescent="0.3">
      <c r="I17363" s="101"/>
    </row>
    <row r="17364" spans="9:9" x14ac:dyDescent="0.3">
      <c r="I17364" s="101"/>
    </row>
    <row r="17365" spans="9:9" x14ac:dyDescent="0.3">
      <c r="I17365" s="101"/>
    </row>
    <row r="17366" spans="9:9" x14ac:dyDescent="0.3">
      <c r="I17366" s="101"/>
    </row>
    <row r="17367" spans="9:9" x14ac:dyDescent="0.3">
      <c r="I17367" s="101"/>
    </row>
    <row r="17368" spans="9:9" x14ac:dyDescent="0.3">
      <c r="I17368" s="101"/>
    </row>
    <row r="17369" spans="9:9" x14ac:dyDescent="0.3">
      <c r="I17369" s="101"/>
    </row>
    <row r="17370" spans="9:9" x14ac:dyDescent="0.3">
      <c r="I17370" s="101"/>
    </row>
    <row r="17371" spans="9:9" x14ac:dyDescent="0.3">
      <c r="I17371" s="101"/>
    </row>
    <row r="17372" spans="9:9" x14ac:dyDescent="0.3">
      <c r="I17372" s="101"/>
    </row>
    <row r="17373" spans="9:9" x14ac:dyDescent="0.3">
      <c r="I17373" s="101"/>
    </row>
    <row r="17374" spans="9:9" x14ac:dyDescent="0.3">
      <c r="I17374" s="101"/>
    </row>
    <row r="17375" spans="9:9" x14ac:dyDescent="0.3">
      <c r="I17375" s="101"/>
    </row>
    <row r="17376" spans="9:9" x14ac:dyDescent="0.3">
      <c r="I17376" s="101"/>
    </row>
    <row r="17377" spans="9:9" x14ac:dyDescent="0.3">
      <c r="I17377" s="101"/>
    </row>
    <row r="17378" spans="9:9" x14ac:dyDescent="0.3">
      <c r="I17378" s="101"/>
    </row>
    <row r="17379" spans="9:9" x14ac:dyDescent="0.3">
      <c r="I17379" s="101"/>
    </row>
    <row r="17380" spans="9:9" x14ac:dyDescent="0.3">
      <c r="I17380" s="101"/>
    </row>
    <row r="17381" spans="9:9" x14ac:dyDescent="0.3">
      <c r="I17381" s="101"/>
    </row>
    <row r="17382" spans="9:9" x14ac:dyDescent="0.3">
      <c r="I17382" s="101"/>
    </row>
    <row r="17383" spans="9:9" x14ac:dyDescent="0.3">
      <c r="I17383" s="101"/>
    </row>
    <row r="17384" spans="9:9" x14ac:dyDescent="0.3">
      <c r="I17384" s="101"/>
    </row>
    <row r="17385" spans="9:9" x14ac:dyDescent="0.3">
      <c r="I17385" s="101"/>
    </row>
    <row r="17386" spans="9:9" x14ac:dyDescent="0.3">
      <c r="I17386" s="101"/>
    </row>
    <row r="17387" spans="9:9" x14ac:dyDescent="0.3">
      <c r="I17387" s="101"/>
    </row>
    <row r="17388" spans="9:9" x14ac:dyDescent="0.3">
      <c r="I17388" s="101"/>
    </row>
    <row r="17389" spans="9:9" x14ac:dyDescent="0.3">
      <c r="I17389" s="101"/>
    </row>
    <row r="17390" spans="9:9" x14ac:dyDescent="0.3">
      <c r="I17390" s="101"/>
    </row>
    <row r="17391" spans="9:9" x14ac:dyDescent="0.3">
      <c r="I17391" s="101"/>
    </row>
    <row r="17392" spans="9:9" x14ac:dyDescent="0.3">
      <c r="I17392" s="101"/>
    </row>
    <row r="17393" spans="9:9" x14ac:dyDescent="0.3">
      <c r="I17393" s="101"/>
    </row>
    <row r="17394" spans="9:9" x14ac:dyDescent="0.3">
      <c r="I17394" s="101"/>
    </row>
    <row r="17395" spans="9:9" x14ac:dyDescent="0.3">
      <c r="I17395" s="101"/>
    </row>
    <row r="17396" spans="9:9" x14ac:dyDescent="0.3">
      <c r="I17396" s="101"/>
    </row>
    <row r="17397" spans="9:9" x14ac:dyDescent="0.3">
      <c r="I17397" s="101"/>
    </row>
    <row r="17398" spans="9:9" x14ac:dyDescent="0.3">
      <c r="I17398" s="101"/>
    </row>
    <row r="17399" spans="9:9" x14ac:dyDescent="0.3">
      <c r="I17399" s="101"/>
    </row>
    <row r="17400" spans="9:9" x14ac:dyDescent="0.3">
      <c r="I17400" s="101"/>
    </row>
    <row r="17401" spans="9:9" x14ac:dyDescent="0.3">
      <c r="I17401" s="101"/>
    </row>
    <row r="17402" spans="9:9" x14ac:dyDescent="0.3">
      <c r="I17402" s="101"/>
    </row>
    <row r="17403" spans="9:9" x14ac:dyDescent="0.3">
      <c r="I17403" s="101"/>
    </row>
    <row r="17404" spans="9:9" x14ac:dyDescent="0.3">
      <c r="I17404" s="101"/>
    </row>
    <row r="17405" spans="9:9" x14ac:dyDescent="0.3">
      <c r="I17405" s="101"/>
    </row>
    <row r="17406" spans="9:9" x14ac:dyDescent="0.3">
      <c r="I17406" s="101"/>
    </row>
    <row r="17407" spans="9:9" x14ac:dyDescent="0.3">
      <c r="I17407" s="101"/>
    </row>
    <row r="17408" spans="9:9" x14ac:dyDescent="0.3">
      <c r="I17408" s="101"/>
    </row>
    <row r="17409" spans="9:9" x14ac:dyDescent="0.3">
      <c r="I17409" s="101"/>
    </row>
    <row r="17410" spans="9:9" x14ac:dyDescent="0.3">
      <c r="I17410" s="101"/>
    </row>
    <row r="17411" spans="9:9" x14ac:dyDescent="0.3">
      <c r="I17411" s="101"/>
    </row>
    <row r="17412" spans="9:9" x14ac:dyDescent="0.3">
      <c r="I17412" s="101"/>
    </row>
    <row r="17413" spans="9:9" x14ac:dyDescent="0.3">
      <c r="I17413" s="101"/>
    </row>
    <row r="17414" spans="9:9" x14ac:dyDescent="0.3">
      <c r="I17414" s="101"/>
    </row>
    <row r="17415" spans="9:9" x14ac:dyDescent="0.3">
      <c r="I17415" s="101"/>
    </row>
    <row r="17416" spans="9:9" x14ac:dyDescent="0.3">
      <c r="I17416" s="101"/>
    </row>
    <row r="17417" spans="9:9" x14ac:dyDescent="0.3">
      <c r="I17417" s="101"/>
    </row>
    <row r="17418" spans="9:9" x14ac:dyDescent="0.3">
      <c r="I17418" s="101"/>
    </row>
    <row r="17419" spans="9:9" x14ac:dyDescent="0.3">
      <c r="I17419" s="101"/>
    </row>
    <row r="17420" spans="9:9" x14ac:dyDescent="0.3">
      <c r="I17420" s="101"/>
    </row>
    <row r="17421" spans="9:9" x14ac:dyDescent="0.3">
      <c r="I17421" s="101"/>
    </row>
    <row r="17422" spans="9:9" x14ac:dyDescent="0.3">
      <c r="I17422" s="101"/>
    </row>
    <row r="17423" spans="9:9" x14ac:dyDescent="0.3">
      <c r="I17423" s="101"/>
    </row>
    <row r="17424" spans="9:9" x14ac:dyDescent="0.3">
      <c r="I17424" s="101"/>
    </row>
    <row r="17425" spans="9:9" x14ac:dyDescent="0.3">
      <c r="I17425" s="101"/>
    </row>
    <row r="17426" spans="9:9" x14ac:dyDescent="0.3">
      <c r="I17426" s="101"/>
    </row>
    <row r="17427" spans="9:9" x14ac:dyDescent="0.3">
      <c r="I17427" s="101"/>
    </row>
    <row r="17428" spans="9:9" x14ac:dyDescent="0.3">
      <c r="I17428" s="101"/>
    </row>
    <row r="17429" spans="9:9" x14ac:dyDescent="0.3">
      <c r="I17429" s="101"/>
    </row>
    <row r="17430" spans="9:9" x14ac:dyDescent="0.3">
      <c r="I17430" s="101"/>
    </row>
    <row r="17431" spans="9:9" x14ac:dyDescent="0.3">
      <c r="I17431" s="101"/>
    </row>
    <row r="17432" spans="9:9" x14ac:dyDescent="0.3">
      <c r="I17432" s="101"/>
    </row>
    <row r="17433" spans="9:9" x14ac:dyDescent="0.3">
      <c r="I17433" s="101"/>
    </row>
    <row r="17434" spans="9:9" x14ac:dyDescent="0.3">
      <c r="I17434" s="101"/>
    </row>
    <row r="17435" spans="9:9" x14ac:dyDescent="0.3">
      <c r="I17435" s="101"/>
    </row>
    <row r="17436" spans="9:9" x14ac:dyDescent="0.3">
      <c r="I17436" s="101"/>
    </row>
    <row r="17437" spans="9:9" x14ac:dyDescent="0.3">
      <c r="I17437" s="101"/>
    </row>
    <row r="17438" spans="9:9" x14ac:dyDescent="0.3">
      <c r="I17438" s="101"/>
    </row>
    <row r="17439" spans="9:9" x14ac:dyDescent="0.3">
      <c r="I17439" s="101"/>
    </row>
    <row r="17440" spans="9:9" x14ac:dyDescent="0.3">
      <c r="I17440" s="101"/>
    </row>
    <row r="17441" spans="9:9" x14ac:dyDescent="0.3">
      <c r="I17441" s="101"/>
    </row>
    <row r="17442" spans="9:9" x14ac:dyDescent="0.3">
      <c r="I17442" s="101"/>
    </row>
    <row r="17443" spans="9:9" x14ac:dyDescent="0.3">
      <c r="I17443" s="101"/>
    </row>
    <row r="17444" spans="9:9" x14ac:dyDescent="0.3">
      <c r="I17444" s="101"/>
    </row>
    <row r="17445" spans="9:9" x14ac:dyDescent="0.3">
      <c r="I17445" s="101"/>
    </row>
    <row r="17446" spans="9:9" x14ac:dyDescent="0.3">
      <c r="I17446" s="101"/>
    </row>
    <row r="17447" spans="9:9" x14ac:dyDescent="0.3">
      <c r="I17447" s="101"/>
    </row>
    <row r="17448" spans="9:9" x14ac:dyDescent="0.3">
      <c r="I17448" s="101"/>
    </row>
    <row r="17449" spans="9:9" x14ac:dyDescent="0.3">
      <c r="I17449" s="101"/>
    </row>
    <row r="17450" spans="9:9" x14ac:dyDescent="0.3">
      <c r="I17450" s="101"/>
    </row>
    <row r="17451" spans="9:9" x14ac:dyDescent="0.3">
      <c r="I17451" s="101"/>
    </row>
    <row r="17452" spans="9:9" x14ac:dyDescent="0.3">
      <c r="I17452" s="101"/>
    </row>
    <row r="17453" spans="9:9" x14ac:dyDescent="0.3">
      <c r="I17453" s="101"/>
    </row>
    <row r="17454" spans="9:9" x14ac:dyDescent="0.3">
      <c r="I17454" s="101"/>
    </row>
    <row r="17455" spans="9:9" x14ac:dyDescent="0.3">
      <c r="I17455" s="101"/>
    </row>
    <row r="17456" spans="9:9" x14ac:dyDescent="0.3">
      <c r="I17456" s="101"/>
    </row>
    <row r="17457" spans="9:9" x14ac:dyDescent="0.3">
      <c r="I17457" s="101"/>
    </row>
    <row r="17458" spans="9:9" x14ac:dyDescent="0.3">
      <c r="I17458" s="101"/>
    </row>
    <row r="17459" spans="9:9" x14ac:dyDescent="0.3">
      <c r="I17459" s="101"/>
    </row>
    <row r="17460" spans="9:9" x14ac:dyDescent="0.3">
      <c r="I17460" s="101"/>
    </row>
    <row r="17461" spans="9:9" x14ac:dyDescent="0.3">
      <c r="I17461" s="101"/>
    </row>
    <row r="17462" spans="9:9" x14ac:dyDescent="0.3">
      <c r="I17462" s="101"/>
    </row>
    <row r="17463" spans="9:9" x14ac:dyDescent="0.3">
      <c r="I17463" s="101"/>
    </row>
    <row r="17464" spans="9:9" x14ac:dyDescent="0.3">
      <c r="I17464" s="101"/>
    </row>
    <row r="17465" spans="9:9" x14ac:dyDescent="0.3">
      <c r="I17465" s="101"/>
    </row>
    <row r="17466" spans="9:9" x14ac:dyDescent="0.3">
      <c r="I17466" s="101"/>
    </row>
    <row r="17467" spans="9:9" x14ac:dyDescent="0.3">
      <c r="I17467" s="101"/>
    </row>
    <row r="17468" spans="9:9" x14ac:dyDescent="0.3">
      <c r="I17468" s="101"/>
    </row>
    <row r="17469" spans="9:9" x14ac:dyDescent="0.3">
      <c r="I17469" s="101"/>
    </row>
    <row r="17470" spans="9:9" x14ac:dyDescent="0.3">
      <c r="I17470" s="101"/>
    </row>
    <row r="17471" spans="9:9" x14ac:dyDescent="0.3">
      <c r="I17471" s="101"/>
    </row>
    <row r="17472" spans="9:9" x14ac:dyDescent="0.3">
      <c r="I17472" s="101"/>
    </row>
    <row r="17473" spans="9:9" x14ac:dyDescent="0.3">
      <c r="I17473" s="101"/>
    </row>
    <row r="17474" spans="9:9" x14ac:dyDescent="0.3">
      <c r="I17474" s="101"/>
    </row>
    <row r="17475" spans="9:9" x14ac:dyDescent="0.3">
      <c r="I17475" s="101"/>
    </row>
    <row r="17476" spans="9:9" x14ac:dyDescent="0.3">
      <c r="I17476" s="101"/>
    </row>
    <row r="17477" spans="9:9" x14ac:dyDescent="0.3">
      <c r="I17477" s="101"/>
    </row>
    <row r="17478" spans="9:9" x14ac:dyDescent="0.3">
      <c r="I17478" s="101"/>
    </row>
    <row r="17479" spans="9:9" x14ac:dyDescent="0.3">
      <c r="I17479" s="101"/>
    </row>
    <row r="17480" spans="9:9" x14ac:dyDescent="0.3">
      <c r="I17480" s="101"/>
    </row>
    <row r="17481" spans="9:9" x14ac:dyDescent="0.3">
      <c r="I17481" s="101"/>
    </row>
    <row r="17482" spans="9:9" x14ac:dyDescent="0.3">
      <c r="I17482" s="101"/>
    </row>
    <row r="17483" spans="9:9" x14ac:dyDescent="0.3">
      <c r="I17483" s="101"/>
    </row>
    <row r="17484" spans="9:9" x14ac:dyDescent="0.3">
      <c r="I17484" s="101"/>
    </row>
    <row r="17485" spans="9:9" x14ac:dyDescent="0.3">
      <c r="I17485" s="101"/>
    </row>
    <row r="17486" spans="9:9" x14ac:dyDescent="0.3">
      <c r="I17486" s="101"/>
    </row>
    <row r="17487" spans="9:9" x14ac:dyDescent="0.3">
      <c r="I17487" s="101"/>
    </row>
    <row r="17488" spans="9:9" x14ac:dyDescent="0.3">
      <c r="I17488" s="101"/>
    </row>
    <row r="17489" spans="9:9" x14ac:dyDescent="0.3">
      <c r="I17489" s="101"/>
    </row>
    <row r="17490" spans="9:9" x14ac:dyDescent="0.3">
      <c r="I17490" s="101"/>
    </row>
    <row r="17491" spans="9:9" x14ac:dyDescent="0.3">
      <c r="I17491" s="101"/>
    </row>
    <row r="17492" spans="9:9" x14ac:dyDescent="0.3">
      <c r="I17492" s="101"/>
    </row>
    <row r="17493" spans="9:9" x14ac:dyDescent="0.3">
      <c r="I17493" s="101"/>
    </row>
    <row r="17494" spans="9:9" x14ac:dyDescent="0.3">
      <c r="I17494" s="101"/>
    </row>
    <row r="17495" spans="9:9" x14ac:dyDescent="0.3">
      <c r="I17495" s="101"/>
    </row>
    <row r="17496" spans="9:9" x14ac:dyDescent="0.3">
      <c r="I17496" s="101"/>
    </row>
    <row r="17497" spans="9:9" x14ac:dyDescent="0.3">
      <c r="I17497" s="101"/>
    </row>
    <row r="17498" spans="9:9" x14ac:dyDescent="0.3">
      <c r="I17498" s="101"/>
    </row>
    <row r="17499" spans="9:9" x14ac:dyDescent="0.3">
      <c r="I17499" s="101"/>
    </row>
    <row r="17500" spans="9:9" x14ac:dyDescent="0.3">
      <c r="I17500" s="101"/>
    </row>
    <row r="17501" spans="9:9" x14ac:dyDescent="0.3">
      <c r="I17501" s="101"/>
    </row>
    <row r="17502" spans="9:9" x14ac:dyDescent="0.3">
      <c r="I17502" s="101"/>
    </row>
    <row r="17503" spans="9:9" x14ac:dyDescent="0.3">
      <c r="I17503" s="101"/>
    </row>
    <row r="17504" spans="9:9" x14ac:dyDescent="0.3">
      <c r="I17504" s="101"/>
    </row>
    <row r="17505" spans="9:9" x14ac:dyDescent="0.3">
      <c r="I17505" s="101"/>
    </row>
    <row r="17506" spans="9:9" x14ac:dyDescent="0.3">
      <c r="I17506" s="101"/>
    </row>
    <row r="17507" spans="9:9" x14ac:dyDescent="0.3">
      <c r="I17507" s="101"/>
    </row>
    <row r="17508" spans="9:9" x14ac:dyDescent="0.3">
      <c r="I17508" s="101"/>
    </row>
    <row r="17509" spans="9:9" x14ac:dyDescent="0.3">
      <c r="I17509" s="101"/>
    </row>
    <row r="17510" spans="9:9" x14ac:dyDescent="0.3">
      <c r="I17510" s="101"/>
    </row>
    <row r="17511" spans="9:9" x14ac:dyDescent="0.3">
      <c r="I17511" s="101"/>
    </row>
    <row r="17512" spans="9:9" x14ac:dyDescent="0.3">
      <c r="I17512" s="101"/>
    </row>
    <row r="17513" spans="9:9" x14ac:dyDescent="0.3">
      <c r="I17513" s="101"/>
    </row>
    <row r="17514" spans="9:9" x14ac:dyDescent="0.3">
      <c r="I17514" s="101"/>
    </row>
    <row r="17515" spans="9:9" x14ac:dyDescent="0.3">
      <c r="I17515" s="101"/>
    </row>
    <row r="17516" spans="9:9" x14ac:dyDescent="0.3">
      <c r="I17516" s="101"/>
    </row>
    <row r="17517" spans="9:9" x14ac:dyDescent="0.3">
      <c r="I17517" s="101"/>
    </row>
    <row r="17518" spans="9:9" x14ac:dyDescent="0.3">
      <c r="I17518" s="101"/>
    </row>
    <row r="17519" spans="9:9" x14ac:dyDescent="0.3">
      <c r="I17519" s="101"/>
    </row>
    <row r="17520" spans="9:9" x14ac:dyDescent="0.3">
      <c r="I17520" s="101"/>
    </row>
    <row r="17521" spans="9:9" x14ac:dyDescent="0.3">
      <c r="I17521" s="101"/>
    </row>
    <row r="17522" spans="9:9" x14ac:dyDescent="0.3">
      <c r="I17522" s="101"/>
    </row>
    <row r="17523" spans="9:9" x14ac:dyDescent="0.3">
      <c r="I17523" s="101"/>
    </row>
    <row r="17524" spans="9:9" x14ac:dyDescent="0.3">
      <c r="I17524" s="101"/>
    </row>
    <row r="17525" spans="9:9" x14ac:dyDescent="0.3">
      <c r="I17525" s="101"/>
    </row>
    <row r="17526" spans="9:9" x14ac:dyDescent="0.3">
      <c r="I17526" s="101"/>
    </row>
    <row r="17527" spans="9:9" x14ac:dyDescent="0.3">
      <c r="I17527" s="101"/>
    </row>
    <row r="17528" spans="9:9" x14ac:dyDescent="0.3">
      <c r="I17528" s="101"/>
    </row>
    <row r="17529" spans="9:9" x14ac:dyDescent="0.3">
      <c r="I17529" s="101"/>
    </row>
    <row r="17530" spans="9:9" x14ac:dyDescent="0.3">
      <c r="I17530" s="101"/>
    </row>
    <row r="17531" spans="9:9" x14ac:dyDescent="0.3">
      <c r="I17531" s="101"/>
    </row>
    <row r="17532" spans="9:9" x14ac:dyDescent="0.3">
      <c r="I17532" s="101"/>
    </row>
    <row r="17533" spans="9:9" x14ac:dyDescent="0.3">
      <c r="I17533" s="101"/>
    </row>
    <row r="17534" spans="9:9" x14ac:dyDescent="0.3">
      <c r="I17534" s="101"/>
    </row>
    <row r="17535" spans="9:9" x14ac:dyDescent="0.3">
      <c r="I17535" s="101"/>
    </row>
    <row r="17536" spans="9:9" x14ac:dyDescent="0.3">
      <c r="I17536" s="101"/>
    </row>
    <row r="17537" spans="9:9" x14ac:dyDescent="0.3">
      <c r="I17537" s="101"/>
    </row>
    <row r="17538" spans="9:9" x14ac:dyDescent="0.3">
      <c r="I17538" s="101"/>
    </row>
    <row r="17539" spans="9:9" x14ac:dyDescent="0.3">
      <c r="I17539" s="101"/>
    </row>
    <row r="17540" spans="9:9" x14ac:dyDescent="0.3">
      <c r="I17540" s="101"/>
    </row>
    <row r="17541" spans="9:9" x14ac:dyDescent="0.3">
      <c r="I17541" s="101"/>
    </row>
    <row r="17542" spans="9:9" x14ac:dyDescent="0.3">
      <c r="I17542" s="101"/>
    </row>
    <row r="17543" spans="9:9" x14ac:dyDescent="0.3">
      <c r="I17543" s="101"/>
    </row>
    <row r="17544" spans="9:9" x14ac:dyDescent="0.3">
      <c r="I17544" s="101"/>
    </row>
    <row r="17545" spans="9:9" x14ac:dyDescent="0.3">
      <c r="I17545" s="101"/>
    </row>
    <row r="17546" spans="9:9" x14ac:dyDescent="0.3">
      <c r="I17546" s="101"/>
    </row>
    <row r="17547" spans="9:9" x14ac:dyDescent="0.3">
      <c r="I17547" s="101"/>
    </row>
    <row r="17548" spans="9:9" x14ac:dyDescent="0.3">
      <c r="I17548" s="101"/>
    </row>
    <row r="17549" spans="9:9" x14ac:dyDescent="0.3">
      <c r="I17549" s="101"/>
    </row>
    <row r="17550" spans="9:9" x14ac:dyDescent="0.3">
      <c r="I17550" s="101"/>
    </row>
    <row r="17551" spans="9:9" x14ac:dyDescent="0.3">
      <c r="I17551" s="101"/>
    </row>
    <row r="17552" spans="9:9" x14ac:dyDescent="0.3">
      <c r="I17552" s="101"/>
    </row>
    <row r="17553" spans="9:9" x14ac:dyDescent="0.3">
      <c r="I17553" s="101"/>
    </row>
    <row r="17554" spans="9:9" x14ac:dyDescent="0.3">
      <c r="I17554" s="101"/>
    </row>
    <row r="17555" spans="9:9" x14ac:dyDescent="0.3">
      <c r="I17555" s="101"/>
    </row>
    <row r="17556" spans="9:9" x14ac:dyDescent="0.3">
      <c r="I17556" s="101"/>
    </row>
    <row r="17557" spans="9:9" x14ac:dyDescent="0.3">
      <c r="I17557" s="101"/>
    </row>
    <row r="17558" spans="9:9" x14ac:dyDescent="0.3">
      <c r="I17558" s="101"/>
    </row>
    <row r="17559" spans="9:9" x14ac:dyDescent="0.3">
      <c r="I17559" s="101"/>
    </row>
    <row r="17560" spans="9:9" x14ac:dyDescent="0.3">
      <c r="I17560" s="101"/>
    </row>
    <row r="17561" spans="9:9" x14ac:dyDescent="0.3">
      <c r="I17561" s="101"/>
    </row>
    <row r="17562" spans="9:9" x14ac:dyDescent="0.3">
      <c r="I17562" s="101"/>
    </row>
    <row r="17563" spans="9:9" x14ac:dyDescent="0.3">
      <c r="I17563" s="101"/>
    </row>
    <row r="17564" spans="9:9" x14ac:dyDescent="0.3">
      <c r="I17564" s="101"/>
    </row>
    <row r="17565" spans="9:9" x14ac:dyDescent="0.3">
      <c r="I17565" s="101"/>
    </row>
    <row r="17566" spans="9:9" x14ac:dyDescent="0.3">
      <c r="I17566" s="101"/>
    </row>
    <row r="17567" spans="9:9" x14ac:dyDescent="0.3">
      <c r="I17567" s="101"/>
    </row>
    <row r="17568" spans="9:9" x14ac:dyDescent="0.3">
      <c r="I17568" s="101"/>
    </row>
    <row r="17569" spans="9:9" x14ac:dyDescent="0.3">
      <c r="I17569" s="101"/>
    </row>
    <row r="17570" spans="9:9" x14ac:dyDescent="0.3">
      <c r="I17570" s="101"/>
    </row>
    <row r="17571" spans="9:9" x14ac:dyDescent="0.3">
      <c r="I17571" s="101"/>
    </row>
    <row r="17572" spans="9:9" x14ac:dyDescent="0.3">
      <c r="I17572" s="101"/>
    </row>
    <row r="17573" spans="9:9" x14ac:dyDescent="0.3">
      <c r="I17573" s="101"/>
    </row>
    <row r="17574" spans="9:9" x14ac:dyDescent="0.3">
      <c r="I17574" s="101"/>
    </row>
    <row r="17575" spans="9:9" x14ac:dyDescent="0.3">
      <c r="I17575" s="101"/>
    </row>
    <row r="17576" spans="9:9" x14ac:dyDescent="0.3">
      <c r="I17576" s="101"/>
    </row>
    <row r="17577" spans="9:9" x14ac:dyDescent="0.3">
      <c r="I17577" s="101"/>
    </row>
    <row r="17578" spans="9:9" x14ac:dyDescent="0.3">
      <c r="I17578" s="101"/>
    </row>
    <row r="17579" spans="9:9" x14ac:dyDescent="0.3">
      <c r="I17579" s="101"/>
    </row>
    <row r="17580" spans="9:9" x14ac:dyDescent="0.3">
      <c r="I17580" s="101"/>
    </row>
    <row r="17581" spans="9:9" x14ac:dyDescent="0.3">
      <c r="I17581" s="101"/>
    </row>
    <row r="17582" spans="9:9" x14ac:dyDescent="0.3">
      <c r="I17582" s="101"/>
    </row>
    <row r="17583" spans="9:9" x14ac:dyDescent="0.3">
      <c r="I17583" s="101"/>
    </row>
    <row r="17584" spans="9:9" x14ac:dyDescent="0.3">
      <c r="I17584" s="101"/>
    </row>
    <row r="17585" spans="9:9" x14ac:dyDescent="0.3">
      <c r="I17585" s="101"/>
    </row>
    <row r="17586" spans="9:9" x14ac:dyDescent="0.3">
      <c r="I17586" s="101"/>
    </row>
    <row r="17587" spans="9:9" x14ac:dyDescent="0.3">
      <c r="I17587" s="101"/>
    </row>
    <row r="17588" spans="9:9" x14ac:dyDescent="0.3">
      <c r="I17588" s="101"/>
    </row>
    <row r="17589" spans="9:9" x14ac:dyDescent="0.3">
      <c r="I17589" s="101"/>
    </row>
    <row r="17590" spans="9:9" x14ac:dyDescent="0.3">
      <c r="I17590" s="101"/>
    </row>
    <row r="17591" spans="9:9" x14ac:dyDescent="0.3">
      <c r="I17591" s="101"/>
    </row>
    <row r="17592" spans="9:9" x14ac:dyDescent="0.3">
      <c r="I17592" s="101"/>
    </row>
    <row r="17593" spans="9:9" x14ac:dyDescent="0.3">
      <c r="I17593" s="101"/>
    </row>
    <row r="17594" spans="9:9" x14ac:dyDescent="0.3">
      <c r="I17594" s="101"/>
    </row>
    <row r="17595" spans="9:9" x14ac:dyDescent="0.3">
      <c r="I17595" s="101"/>
    </row>
    <row r="17596" spans="9:9" x14ac:dyDescent="0.3">
      <c r="I17596" s="101"/>
    </row>
    <row r="17597" spans="9:9" x14ac:dyDescent="0.3">
      <c r="I17597" s="101"/>
    </row>
    <row r="17598" spans="9:9" x14ac:dyDescent="0.3">
      <c r="I17598" s="101"/>
    </row>
    <row r="17599" spans="9:9" x14ac:dyDescent="0.3">
      <c r="I17599" s="101"/>
    </row>
    <row r="17600" spans="9:9" x14ac:dyDescent="0.3">
      <c r="I17600" s="101"/>
    </row>
    <row r="17601" spans="9:9" x14ac:dyDescent="0.3">
      <c r="I17601" s="101"/>
    </row>
    <row r="17602" spans="9:9" x14ac:dyDescent="0.3">
      <c r="I17602" s="101"/>
    </row>
    <row r="17603" spans="9:9" x14ac:dyDescent="0.3">
      <c r="I17603" s="101"/>
    </row>
    <row r="17604" spans="9:9" x14ac:dyDescent="0.3">
      <c r="I17604" s="101"/>
    </row>
    <row r="17605" spans="9:9" x14ac:dyDescent="0.3">
      <c r="I17605" s="101"/>
    </row>
    <row r="17606" spans="9:9" x14ac:dyDescent="0.3">
      <c r="I17606" s="101"/>
    </row>
    <row r="17607" spans="9:9" x14ac:dyDescent="0.3">
      <c r="I17607" s="101"/>
    </row>
    <row r="17608" spans="9:9" x14ac:dyDescent="0.3">
      <c r="I17608" s="101"/>
    </row>
    <row r="17609" spans="9:9" x14ac:dyDescent="0.3">
      <c r="I17609" s="101"/>
    </row>
    <row r="17610" spans="9:9" x14ac:dyDescent="0.3">
      <c r="I17610" s="101"/>
    </row>
    <row r="17611" spans="9:9" x14ac:dyDescent="0.3">
      <c r="I17611" s="101"/>
    </row>
    <row r="17612" spans="9:9" x14ac:dyDescent="0.3">
      <c r="I17612" s="101"/>
    </row>
    <row r="17613" spans="9:9" x14ac:dyDescent="0.3">
      <c r="I17613" s="101"/>
    </row>
    <row r="17614" spans="9:9" x14ac:dyDescent="0.3">
      <c r="I17614" s="101"/>
    </row>
    <row r="17615" spans="9:9" x14ac:dyDescent="0.3">
      <c r="I17615" s="101"/>
    </row>
    <row r="17616" spans="9:9" x14ac:dyDescent="0.3">
      <c r="I17616" s="101"/>
    </row>
    <row r="17617" spans="9:9" x14ac:dyDescent="0.3">
      <c r="I17617" s="101"/>
    </row>
    <row r="17618" spans="9:9" x14ac:dyDescent="0.3">
      <c r="I17618" s="101"/>
    </row>
    <row r="17619" spans="9:9" x14ac:dyDescent="0.3">
      <c r="I17619" s="101"/>
    </row>
    <row r="17620" spans="9:9" x14ac:dyDescent="0.3">
      <c r="I17620" s="101"/>
    </row>
    <row r="17621" spans="9:9" x14ac:dyDescent="0.3">
      <c r="I17621" s="101"/>
    </row>
    <row r="17622" spans="9:9" x14ac:dyDescent="0.3">
      <c r="I17622" s="101"/>
    </row>
    <row r="17623" spans="9:9" x14ac:dyDescent="0.3">
      <c r="I17623" s="101"/>
    </row>
    <row r="17624" spans="9:9" x14ac:dyDescent="0.3">
      <c r="I17624" s="101"/>
    </row>
    <row r="17625" spans="9:9" x14ac:dyDescent="0.3">
      <c r="I17625" s="101"/>
    </row>
    <row r="17626" spans="9:9" x14ac:dyDescent="0.3">
      <c r="I17626" s="101"/>
    </row>
    <row r="17627" spans="9:9" x14ac:dyDescent="0.3">
      <c r="I17627" s="101"/>
    </row>
    <row r="17628" spans="9:9" x14ac:dyDescent="0.3">
      <c r="I17628" s="101"/>
    </row>
    <row r="17629" spans="9:9" x14ac:dyDescent="0.3">
      <c r="I17629" s="101"/>
    </row>
    <row r="17630" spans="9:9" x14ac:dyDescent="0.3">
      <c r="I17630" s="101"/>
    </row>
    <row r="17631" spans="9:9" x14ac:dyDescent="0.3">
      <c r="I17631" s="101"/>
    </row>
    <row r="17632" spans="9:9" x14ac:dyDescent="0.3">
      <c r="I17632" s="101"/>
    </row>
    <row r="17633" spans="9:9" x14ac:dyDescent="0.3">
      <c r="I17633" s="101"/>
    </row>
    <row r="17634" spans="9:9" x14ac:dyDescent="0.3">
      <c r="I17634" s="101"/>
    </row>
    <row r="17635" spans="9:9" x14ac:dyDescent="0.3">
      <c r="I17635" s="101"/>
    </row>
    <row r="17636" spans="9:9" x14ac:dyDescent="0.3">
      <c r="I17636" s="101"/>
    </row>
    <row r="17637" spans="9:9" x14ac:dyDescent="0.3">
      <c r="I17637" s="101"/>
    </row>
    <row r="17638" spans="9:9" x14ac:dyDescent="0.3">
      <c r="I17638" s="101"/>
    </row>
    <row r="17639" spans="9:9" x14ac:dyDescent="0.3">
      <c r="I17639" s="101"/>
    </row>
    <row r="17640" spans="9:9" x14ac:dyDescent="0.3">
      <c r="I17640" s="101"/>
    </row>
    <row r="17641" spans="9:9" x14ac:dyDescent="0.3">
      <c r="I17641" s="101"/>
    </row>
    <row r="17642" spans="9:9" x14ac:dyDescent="0.3">
      <c r="I17642" s="101"/>
    </row>
    <row r="17643" spans="9:9" x14ac:dyDescent="0.3">
      <c r="I17643" s="101"/>
    </row>
    <row r="17644" spans="9:9" x14ac:dyDescent="0.3">
      <c r="I17644" s="101"/>
    </row>
    <row r="17645" spans="9:9" x14ac:dyDescent="0.3">
      <c r="I17645" s="101"/>
    </row>
    <row r="17646" spans="9:9" x14ac:dyDescent="0.3">
      <c r="I17646" s="101"/>
    </row>
    <row r="17647" spans="9:9" x14ac:dyDescent="0.3">
      <c r="I17647" s="101"/>
    </row>
    <row r="17648" spans="9:9" x14ac:dyDescent="0.3">
      <c r="I17648" s="101"/>
    </row>
    <row r="17649" spans="9:9" x14ac:dyDescent="0.3">
      <c r="I17649" s="101"/>
    </row>
    <row r="17650" spans="9:9" x14ac:dyDescent="0.3">
      <c r="I17650" s="101"/>
    </row>
    <row r="17651" spans="9:9" x14ac:dyDescent="0.3">
      <c r="I17651" s="101"/>
    </row>
    <row r="17652" spans="9:9" x14ac:dyDescent="0.3">
      <c r="I17652" s="101"/>
    </row>
    <row r="17653" spans="9:9" x14ac:dyDescent="0.3">
      <c r="I17653" s="101"/>
    </row>
    <row r="17654" spans="9:9" x14ac:dyDescent="0.3">
      <c r="I17654" s="101"/>
    </row>
    <row r="17655" spans="9:9" x14ac:dyDescent="0.3">
      <c r="I17655" s="101"/>
    </row>
    <row r="17656" spans="9:9" x14ac:dyDescent="0.3">
      <c r="I17656" s="101"/>
    </row>
    <row r="17657" spans="9:9" x14ac:dyDescent="0.3">
      <c r="I17657" s="101"/>
    </row>
    <row r="17658" spans="9:9" x14ac:dyDescent="0.3">
      <c r="I17658" s="101"/>
    </row>
    <row r="17659" spans="9:9" x14ac:dyDescent="0.3">
      <c r="I17659" s="101"/>
    </row>
    <row r="17660" spans="9:9" x14ac:dyDescent="0.3">
      <c r="I17660" s="101"/>
    </row>
    <row r="17661" spans="9:9" x14ac:dyDescent="0.3">
      <c r="I17661" s="101"/>
    </row>
    <row r="17662" spans="9:9" x14ac:dyDescent="0.3">
      <c r="I17662" s="101"/>
    </row>
    <row r="17663" spans="9:9" x14ac:dyDescent="0.3">
      <c r="I17663" s="101"/>
    </row>
    <row r="17664" spans="9:9" x14ac:dyDescent="0.3">
      <c r="I17664" s="101"/>
    </row>
    <row r="17665" spans="9:9" x14ac:dyDescent="0.3">
      <c r="I17665" s="101"/>
    </row>
    <row r="17666" spans="9:9" x14ac:dyDescent="0.3">
      <c r="I17666" s="101"/>
    </row>
    <row r="17667" spans="9:9" x14ac:dyDescent="0.3">
      <c r="I17667" s="101"/>
    </row>
    <row r="17668" spans="9:9" x14ac:dyDescent="0.3">
      <c r="I17668" s="101"/>
    </row>
    <row r="17669" spans="9:9" x14ac:dyDescent="0.3">
      <c r="I17669" s="101"/>
    </row>
    <row r="17670" spans="9:9" x14ac:dyDescent="0.3">
      <c r="I17670" s="101"/>
    </row>
    <row r="17671" spans="9:9" x14ac:dyDescent="0.3">
      <c r="I17671" s="101"/>
    </row>
    <row r="17672" spans="9:9" x14ac:dyDescent="0.3">
      <c r="I17672" s="101"/>
    </row>
    <row r="17673" spans="9:9" x14ac:dyDescent="0.3">
      <c r="I17673" s="101"/>
    </row>
    <row r="17674" spans="9:9" x14ac:dyDescent="0.3">
      <c r="I17674" s="101"/>
    </row>
    <row r="17675" spans="9:9" x14ac:dyDescent="0.3">
      <c r="I17675" s="101"/>
    </row>
    <row r="17676" spans="9:9" x14ac:dyDescent="0.3">
      <c r="I17676" s="101"/>
    </row>
    <row r="17677" spans="9:9" x14ac:dyDescent="0.3">
      <c r="I17677" s="101"/>
    </row>
    <row r="17678" spans="9:9" x14ac:dyDescent="0.3">
      <c r="I17678" s="101"/>
    </row>
    <row r="17679" spans="9:9" x14ac:dyDescent="0.3">
      <c r="I17679" s="101"/>
    </row>
    <row r="17680" spans="9:9" x14ac:dyDescent="0.3">
      <c r="I17680" s="101"/>
    </row>
    <row r="17681" spans="9:9" x14ac:dyDescent="0.3">
      <c r="I17681" s="101"/>
    </row>
    <row r="17682" spans="9:9" x14ac:dyDescent="0.3">
      <c r="I17682" s="101"/>
    </row>
    <row r="17683" spans="9:9" x14ac:dyDescent="0.3">
      <c r="I17683" s="101"/>
    </row>
    <row r="17684" spans="9:9" x14ac:dyDescent="0.3">
      <c r="I17684" s="101"/>
    </row>
    <row r="17685" spans="9:9" x14ac:dyDescent="0.3">
      <c r="I17685" s="101"/>
    </row>
    <row r="17686" spans="9:9" x14ac:dyDescent="0.3">
      <c r="I17686" s="101"/>
    </row>
    <row r="17687" spans="9:9" x14ac:dyDescent="0.3">
      <c r="I17687" s="101"/>
    </row>
    <row r="17688" spans="9:9" x14ac:dyDescent="0.3">
      <c r="I17688" s="101"/>
    </row>
    <row r="17689" spans="9:9" x14ac:dyDescent="0.3">
      <c r="I17689" s="101"/>
    </row>
    <row r="17690" spans="9:9" x14ac:dyDescent="0.3">
      <c r="I17690" s="101"/>
    </row>
    <row r="17691" spans="9:9" x14ac:dyDescent="0.3">
      <c r="I17691" s="101"/>
    </row>
    <row r="17692" spans="9:9" x14ac:dyDescent="0.3">
      <c r="I17692" s="101"/>
    </row>
    <row r="17693" spans="9:9" x14ac:dyDescent="0.3">
      <c r="I17693" s="101"/>
    </row>
    <row r="17694" spans="9:9" x14ac:dyDescent="0.3">
      <c r="I17694" s="101"/>
    </row>
    <row r="17695" spans="9:9" x14ac:dyDescent="0.3">
      <c r="I17695" s="101"/>
    </row>
    <row r="17696" spans="9:9" x14ac:dyDescent="0.3">
      <c r="I17696" s="101"/>
    </row>
    <row r="17697" spans="9:9" x14ac:dyDescent="0.3">
      <c r="I17697" s="101"/>
    </row>
    <row r="17698" spans="9:9" x14ac:dyDescent="0.3">
      <c r="I17698" s="101"/>
    </row>
    <row r="17699" spans="9:9" x14ac:dyDescent="0.3">
      <c r="I17699" s="101"/>
    </row>
    <row r="17700" spans="9:9" x14ac:dyDescent="0.3">
      <c r="I17700" s="101"/>
    </row>
    <row r="17701" spans="9:9" x14ac:dyDescent="0.3">
      <c r="I17701" s="101"/>
    </row>
    <row r="17702" spans="9:9" x14ac:dyDescent="0.3">
      <c r="I17702" s="101"/>
    </row>
    <row r="17703" spans="9:9" x14ac:dyDescent="0.3">
      <c r="I17703" s="101"/>
    </row>
    <row r="17704" spans="9:9" x14ac:dyDescent="0.3">
      <c r="I17704" s="101"/>
    </row>
    <row r="17705" spans="9:9" x14ac:dyDescent="0.3">
      <c r="I17705" s="101"/>
    </row>
    <row r="17706" spans="9:9" x14ac:dyDescent="0.3">
      <c r="I17706" s="101"/>
    </row>
    <row r="17707" spans="9:9" x14ac:dyDescent="0.3">
      <c r="I17707" s="101"/>
    </row>
    <row r="17708" spans="9:9" x14ac:dyDescent="0.3">
      <c r="I17708" s="101"/>
    </row>
    <row r="17709" spans="9:9" x14ac:dyDescent="0.3">
      <c r="I17709" s="101"/>
    </row>
    <row r="17710" spans="9:9" x14ac:dyDescent="0.3">
      <c r="I17710" s="101"/>
    </row>
    <row r="17711" spans="9:9" x14ac:dyDescent="0.3">
      <c r="I17711" s="101"/>
    </row>
    <row r="17712" spans="9:9" x14ac:dyDescent="0.3">
      <c r="I17712" s="101"/>
    </row>
    <row r="17713" spans="9:9" x14ac:dyDescent="0.3">
      <c r="I17713" s="101"/>
    </row>
    <row r="17714" spans="9:9" x14ac:dyDescent="0.3">
      <c r="I17714" s="101"/>
    </row>
    <row r="17715" spans="9:9" x14ac:dyDescent="0.3">
      <c r="I17715" s="101"/>
    </row>
    <row r="17716" spans="9:9" x14ac:dyDescent="0.3">
      <c r="I17716" s="101"/>
    </row>
    <row r="17717" spans="9:9" x14ac:dyDescent="0.3">
      <c r="I17717" s="101"/>
    </row>
    <row r="17718" spans="9:9" x14ac:dyDescent="0.3">
      <c r="I17718" s="101"/>
    </row>
    <row r="17719" spans="9:9" x14ac:dyDescent="0.3">
      <c r="I17719" s="101"/>
    </row>
    <row r="17720" spans="9:9" x14ac:dyDescent="0.3">
      <c r="I17720" s="101"/>
    </row>
    <row r="17721" spans="9:9" x14ac:dyDescent="0.3">
      <c r="I17721" s="101"/>
    </row>
    <row r="17722" spans="9:9" x14ac:dyDescent="0.3">
      <c r="I17722" s="101"/>
    </row>
    <row r="17723" spans="9:9" x14ac:dyDescent="0.3">
      <c r="I17723" s="101"/>
    </row>
    <row r="17724" spans="9:9" x14ac:dyDescent="0.3">
      <c r="I17724" s="101"/>
    </row>
    <row r="17725" spans="9:9" x14ac:dyDescent="0.3">
      <c r="I17725" s="101"/>
    </row>
    <row r="17726" spans="9:9" x14ac:dyDescent="0.3">
      <c r="I17726" s="101"/>
    </row>
    <row r="17727" spans="9:9" x14ac:dyDescent="0.3">
      <c r="I17727" s="101"/>
    </row>
    <row r="17728" spans="9:9" x14ac:dyDescent="0.3">
      <c r="I17728" s="101"/>
    </row>
    <row r="17729" spans="9:9" x14ac:dyDescent="0.3">
      <c r="I17729" s="101"/>
    </row>
    <row r="17730" spans="9:9" x14ac:dyDescent="0.3">
      <c r="I17730" s="101"/>
    </row>
    <row r="17731" spans="9:9" x14ac:dyDescent="0.3">
      <c r="I17731" s="101"/>
    </row>
    <row r="17732" spans="9:9" x14ac:dyDescent="0.3">
      <c r="I17732" s="101"/>
    </row>
    <row r="17733" spans="9:9" x14ac:dyDescent="0.3">
      <c r="I17733" s="101"/>
    </row>
    <row r="17734" spans="9:9" x14ac:dyDescent="0.3">
      <c r="I17734" s="101"/>
    </row>
    <row r="17735" spans="9:9" x14ac:dyDescent="0.3">
      <c r="I17735" s="101"/>
    </row>
    <row r="17736" spans="9:9" x14ac:dyDescent="0.3">
      <c r="I17736" s="101"/>
    </row>
    <row r="17737" spans="9:9" x14ac:dyDescent="0.3">
      <c r="I17737" s="101"/>
    </row>
    <row r="17738" spans="9:9" x14ac:dyDescent="0.3">
      <c r="I17738" s="101"/>
    </row>
    <row r="17739" spans="9:9" x14ac:dyDescent="0.3">
      <c r="I17739" s="101"/>
    </row>
    <row r="17740" spans="9:9" x14ac:dyDescent="0.3">
      <c r="I17740" s="101"/>
    </row>
    <row r="17741" spans="9:9" x14ac:dyDescent="0.3">
      <c r="I17741" s="101"/>
    </row>
    <row r="17742" spans="9:9" x14ac:dyDescent="0.3">
      <c r="I17742" s="101"/>
    </row>
    <row r="17743" spans="9:9" x14ac:dyDescent="0.3">
      <c r="I17743" s="101"/>
    </row>
    <row r="17744" spans="9:9" x14ac:dyDescent="0.3">
      <c r="I17744" s="101"/>
    </row>
    <row r="17745" spans="9:9" x14ac:dyDescent="0.3">
      <c r="I17745" s="101"/>
    </row>
    <row r="17746" spans="9:9" x14ac:dyDescent="0.3">
      <c r="I17746" s="101"/>
    </row>
    <row r="17747" spans="9:9" x14ac:dyDescent="0.3">
      <c r="I17747" s="101"/>
    </row>
    <row r="17748" spans="9:9" x14ac:dyDescent="0.3">
      <c r="I17748" s="101"/>
    </row>
    <row r="17749" spans="9:9" x14ac:dyDescent="0.3">
      <c r="I17749" s="101"/>
    </row>
    <row r="17750" spans="9:9" x14ac:dyDescent="0.3">
      <c r="I17750" s="101"/>
    </row>
    <row r="17751" spans="9:9" x14ac:dyDescent="0.3">
      <c r="I17751" s="101"/>
    </row>
    <row r="17752" spans="9:9" x14ac:dyDescent="0.3">
      <c r="I17752" s="101"/>
    </row>
    <row r="17753" spans="9:9" x14ac:dyDescent="0.3">
      <c r="I17753" s="101"/>
    </row>
    <row r="17754" spans="9:9" x14ac:dyDescent="0.3">
      <c r="I17754" s="101"/>
    </row>
    <row r="17755" spans="9:9" x14ac:dyDescent="0.3">
      <c r="I17755" s="101"/>
    </row>
    <row r="17756" spans="9:9" x14ac:dyDescent="0.3">
      <c r="I17756" s="101"/>
    </row>
    <row r="17757" spans="9:9" x14ac:dyDescent="0.3">
      <c r="I17757" s="101"/>
    </row>
    <row r="17758" spans="9:9" x14ac:dyDescent="0.3">
      <c r="I17758" s="101"/>
    </row>
    <row r="17759" spans="9:9" x14ac:dyDescent="0.3">
      <c r="I17759" s="101"/>
    </row>
    <row r="17760" spans="9:9" x14ac:dyDescent="0.3">
      <c r="I17760" s="101"/>
    </row>
    <row r="17761" spans="9:9" x14ac:dyDescent="0.3">
      <c r="I17761" s="101"/>
    </row>
    <row r="17762" spans="9:9" x14ac:dyDescent="0.3">
      <c r="I17762" s="101"/>
    </row>
    <row r="17763" spans="9:9" x14ac:dyDescent="0.3">
      <c r="I17763" s="101"/>
    </row>
    <row r="17764" spans="9:9" x14ac:dyDescent="0.3">
      <c r="I17764" s="101"/>
    </row>
    <row r="17765" spans="9:9" x14ac:dyDescent="0.3">
      <c r="I17765" s="101"/>
    </row>
    <row r="17766" spans="9:9" x14ac:dyDescent="0.3">
      <c r="I17766" s="101"/>
    </row>
    <row r="17767" spans="9:9" x14ac:dyDescent="0.3">
      <c r="I17767" s="101"/>
    </row>
    <row r="17768" spans="9:9" x14ac:dyDescent="0.3">
      <c r="I17768" s="101"/>
    </row>
    <row r="17769" spans="9:9" x14ac:dyDescent="0.3">
      <c r="I17769" s="101"/>
    </row>
    <row r="17770" spans="9:9" x14ac:dyDescent="0.3">
      <c r="I17770" s="101"/>
    </row>
    <row r="17771" spans="9:9" x14ac:dyDescent="0.3">
      <c r="I17771" s="101"/>
    </row>
    <row r="17772" spans="9:9" x14ac:dyDescent="0.3">
      <c r="I17772" s="101"/>
    </row>
    <row r="17773" spans="9:9" x14ac:dyDescent="0.3">
      <c r="I17773" s="101"/>
    </row>
    <row r="17774" spans="9:9" x14ac:dyDescent="0.3">
      <c r="I17774" s="101"/>
    </row>
    <row r="17775" spans="9:9" x14ac:dyDescent="0.3">
      <c r="I17775" s="101"/>
    </row>
    <row r="17776" spans="9:9" x14ac:dyDescent="0.3">
      <c r="I17776" s="101"/>
    </row>
    <row r="17777" spans="9:9" x14ac:dyDescent="0.3">
      <c r="I17777" s="101"/>
    </row>
    <row r="17778" spans="9:9" x14ac:dyDescent="0.3">
      <c r="I17778" s="101"/>
    </row>
    <row r="17779" spans="9:9" x14ac:dyDescent="0.3">
      <c r="I17779" s="101"/>
    </row>
    <row r="17780" spans="9:9" x14ac:dyDescent="0.3">
      <c r="I17780" s="101"/>
    </row>
    <row r="17781" spans="9:9" x14ac:dyDescent="0.3">
      <c r="I17781" s="101"/>
    </row>
    <row r="17782" spans="9:9" x14ac:dyDescent="0.3">
      <c r="I17782" s="101"/>
    </row>
    <row r="17783" spans="9:9" x14ac:dyDescent="0.3">
      <c r="I17783" s="101"/>
    </row>
    <row r="17784" spans="9:9" x14ac:dyDescent="0.3">
      <c r="I17784" s="101"/>
    </row>
    <row r="17785" spans="9:9" x14ac:dyDescent="0.3">
      <c r="I17785" s="101"/>
    </row>
    <row r="17786" spans="9:9" x14ac:dyDescent="0.3">
      <c r="I17786" s="101"/>
    </row>
    <row r="17787" spans="9:9" x14ac:dyDescent="0.3">
      <c r="I17787" s="101"/>
    </row>
    <row r="17788" spans="9:9" x14ac:dyDescent="0.3">
      <c r="I17788" s="101"/>
    </row>
    <row r="17789" spans="9:9" x14ac:dyDescent="0.3">
      <c r="I17789" s="101"/>
    </row>
    <row r="17790" spans="9:9" x14ac:dyDescent="0.3">
      <c r="I17790" s="101"/>
    </row>
    <row r="17791" spans="9:9" x14ac:dyDescent="0.3">
      <c r="I17791" s="101"/>
    </row>
    <row r="17792" spans="9:9" x14ac:dyDescent="0.3">
      <c r="I17792" s="101"/>
    </row>
    <row r="17793" spans="9:9" x14ac:dyDescent="0.3">
      <c r="I17793" s="101"/>
    </row>
    <row r="17794" spans="9:9" x14ac:dyDescent="0.3">
      <c r="I17794" s="101"/>
    </row>
    <row r="17795" spans="9:9" x14ac:dyDescent="0.3">
      <c r="I17795" s="101"/>
    </row>
    <row r="17796" spans="9:9" x14ac:dyDescent="0.3">
      <c r="I17796" s="101"/>
    </row>
    <row r="17797" spans="9:9" x14ac:dyDescent="0.3">
      <c r="I17797" s="101"/>
    </row>
    <row r="17798" spans="9:9" x14ac:dyDescent="0.3">
      <c r="I17798" s="101"/>
    </row>
    <row r="17799" spans="9:9" x14ac:dyDescent="0.3">
      <c r="I17799" s="101"/>
    </row>
    <row r="17800" spans="9:9" x14ac:dyDescent="0.3">
      <c r="I17800" s="101"/>
    </row>
    <row r="17801" spans="9:9" x14ac:dyDescent="0.3">
      <c r="I17801" s="101"/>
    </row>
    <row r="17802" spans="9:9" x14ac:dyDescent="0.3">
      <c r="I17802" s="101"/>
    </row>
    <row r="17803" spans="9:9" x14ac:dyDescent="0.3">
      <c r="I17803" s="101"/>
    </row>
    <row r="17804" spans="9:9" x14ac:dyDescent="0.3">
      <c r="I17804" s="101"/>
    </row>
    <row r="17805" spans="9:9" x14ac:dyDescent="0.3">
      <c r="I17805" s="101"/>
    </row>
    <row r="17806" spans="9:9" x14ac:dyDescent="0.3">
      <c r="I17806" s="101"/>
    </row>
    <row r="17807" spans="9:9" x14ac:dyDescent="0.3">
      <c r="I17807" s="101"/>
    </row>
    <row r="17808" spans="9:9" x14ac:dyDescent="0.3">
      <c r="I17808" s="101"/>
    </row>
    <row r="17809" spans="9:9" x14ac:dyDescent="0.3">
      <c r="I17809" s="101"/>
    </row>
    <row r="17810" spans="9:9" x14ac:dyDescent="0.3">
      <c r="I17810" s="101"/>
    </row>
    <row r="17811" spans="9:9" x14ac:dyDescent="0.3">
      <c r="I17811" s="101"/>
    </row>
    <row r="17812" spans="9:9" x14ac:dyDescent="0.3">
      <c r="I17812" s="101"/>
    </row>
    <row r="17813" spans="9:9" x14ac:dyDescent="0.3">
      <c r="I17813" s="101"/>
    </row>
    <row r="17814" spans="9:9" x14ac:dyDescent="0.3">
      <c r="I17814" s="101"/>
    </row>
    <row r="17815" spans="9:9" x14ac:dyDescent="0.3">
      <c r="I17815" s="101"/>
    </row>
    <row r="17816" spans="9:9" x14ac:dyDescent="0.3">
      <c r="I17816" s="101"/>
    </row>
    <row r="17817" spans="9:9" x14ac:dyDescent="0.3">
      <c r="I17817" s="101"/>
    </row>
    <row r="17818" spans="9:9" x14ac:dyDescent="0.3">
      <c r="I17818" s="101"/>
    </row>
    <row r="17819" spans="9:9" x14ac:dyDescent="0.3">
      <c r="I17819" s="101"/>
    </row>
    <row r="17820" spans="9:9" x14ac:dyDescent="0.3">
      <c r="I17820" s="101"/>
    </row>
    <row r="17821" spans="9:9" x14ac:dyDescent="0.3">
      <c r="I17821" s="101"/>
    </row>
    <row r="17822" spans="9:9" x14ac:dyDescent="0.3">
      <c r="I17822" s="101"/>
    </row>
    <row r="17823" spans="9:9" x14ac:dyDescent="0.3">
      <c r="I17823" s="101"/>
    </row>
    <row r="17824" spans="9:9" x14ac:dyDescent="0.3">
      <c r="I17824" s="101"/>
    </row>
    <row r="17825" spans="9:9" x14ac:dyDescent="0.3">
      <c r="I17825" s="101"/>
    </row>
    <row r="17826" spans="9:9" x14ac:dyDescent="0.3">
      <c r="I17826" s="101"/>
    </row>
    <row r="17827" spans="9:9" x14ac:dyDescent="0.3">
      <c r="I17827" s="101"/>
    </row>
    <row r="17828" spans="9:9" x14ac:dyDescent="0.3">
      <c r="I17828" s="101"/>
    </row>
    <row r="17829" spans="9:9" x14ac:dyDescent="0.3">
      <c r="I17829" s="101"/>
    </row>
    <row r="17830" spans="9:9" x14ac:dyDescent="0.3">
      <c r="I17830" s="101"/>
    </row>
    <row r="17831" spans="9:9" x14ac:dyDescent="0.3">
      <c r="I17831" s="101"/>
    </row>
    <row r="17832" spans="9:9" x14ac:dyDescent="0.3">
      <c r="I17832" s="101"/>
    </row>
    <row r="17833" spans="9:9" x14ac:dyDescent="0.3">
      <c r="I17833" s="101"/>
    </row>
    <row r="17834" spans="9:9" x14ac:dyDescent="0.3">
      <c r="I17834" s="101"/>
    </row>
    <row r="17835" spans="9:9" x14ac:dyDescent="0.3">
      <c r="I17835" s="101"/>
    </row>
    <row r="17836" spans="9:9" x14ac:dyDescent="0.3">
      <c r="I17836" s="101"/>
    </row>
    <row r="17837" spans="9:9" x14ac:dyDescent="0.3">
      <c r="I17837" s="101"/>
    </row>
    <row r="17838" spans="9:9" x14ac:dyDescent="0.3">
      <c r="I17838" s="101"/>
    </row>
    <row r="17839" spans="9:9" x14ac:dyDescent="0.3">
      <c r="I17839" s="101"/>
    </row>
    <row r="17840" spans="9:9" x14ac:dyDescent="0.3">
      <c r="I17840" s="101"/>
    </row>
    <row r="17841" spans="9:9" x14ac:dyDescent="0.3">
      <c r="I17841" s="101"/>
    </row>
    <row r="17842" spans="9:9" x14ac:dyDescent="0.3">
      <c r="I17842" s="101"/>
    </row>
    <row r="17843" spans="9:9" x14ac:dyDescent="0.3">
      <c r="I17843" s="101"/>
    </row>
    <row r="17844" spans="9:9" x14ac:dyDescent="0.3">
      <c r="I17844" s="101"/>
    </row>
    <row r="17845" spans="9:9" x14ac:dyDescent="0.3">
      <c r="I17845" s="101"/>
    </row>
    <row r="17846" spans="9:9" x14ac:dyDescent="0.3">
      <c r="I17846" s="101"/>
    </row>
    <row r="17847" spans="9:9" x14ac:dyDescent="0.3">
      <c r="I17847" s="101"/>
    </row>
    <row r="17848" spans="9:9" x14ac:dyDescent="0.3">
      <c r="I17848" s="101"/>
    </row>
    <row r="17849" spans="9:9" x14ac:dyDescent="0.3">
      <c r="I17849" s="101"/>
    </row>
    <row r="17850" spans="9:9" x14ac:dyDescent="0.3">
      <c r="I17850" s="101"/>
    </row>
    <row r="17851" spans="9:9" x14ac:dyDescent="0.3">
      <c r="I17851" s="101"/>
    </row>
    <row r="17852" spans="9:9" x14ac:dyDescent="0.3">
      <c r="I17852" s="101"/>
    </row>
    <row r="17853" spans="9:9" x14ac:dyDescent="0.3">
      <c r="I17853" s="101"/>
    </row>
    <row r="17854" spans="9:9" x14ac:dyDescent="0.3">
      <c r="I17854" s="101"/>
    </row>
    <row r="17855" spans="9:9" x14ac:dyDescent="0.3">
      <c r="I17855" s="101"/>
    </row>
    <row r="17856" spans="9:9" x14ac:dyDescent="0.3">
      <c r="I17856" s="101"/>
    </row>
    <row r="17857" spans="9:9" x14ac:dyDescent="0.3">
      <c r="I17857" s="101"/>
    </row>
    <row r="17858" spans="9:9" x14ac:dyDescent="0.3">
      <c r="I17858" s="101"/>
    </row>
    <row r="17859" spans="9:9" x14ac:dyDescent="0.3">
      <c r="I17859" s="101"/>
    </row>
    <row r="17860" spans="9:9" x14ac:dyDescent="0.3">
      <c r="I17860" s="101"/>
    </row>
    <row r="17861" spans="9:9" x14ac:dyDescent="0.3">
      <c r="I17861" s="101"/>
    </row>
    <row r="17862" spans="9:9" x14ac:dyDescent="0.3">
      <c r="I17862" s="101"/>
    </row>
    <row r="17863" spans="9:9" x14ac:dyDescent="0.3">
      <c r="I17863" s="101"/>
    </row>
    <row r="17864" spans="9:9" x14ac:dyDescent="0.3">
      <c r="I17864" s="101"/>
    </row>
    <row r="17865" spans="9:9" x14ac:dyDescent="0.3">
      <c r="I17865" s="101"/>
    </row>
    <row r="17866" spans="9:9" x14ac:dyDescent="0.3">
      <c r="I17866" s="101"/>
    </row>
    <row r="17867" spans="9:9" x14ac:dyDescent="0.3">
      <c r="I17867" s="101"/>
    </row>
    <row r="17868" spans="9:9" x14ac:dyDescent="0.3">
      <c r="I17868" s="101"/>
    </row>
    <row r="17869" spans="9:9" x14ac:dyDescent="0.3">
      <c r="I17869" s="101"/>
    </row>
    <row r="17870" spans="9:9" x14ac:dyDescent="0.3">
      <c r="I17870" s="101"/>
    </row>
    <row r="17871" spans="9:9" x14ac:dyDescent="0.3">
      <c r="I17871" s="101"/>
    </row>
    <row r="17872" spans="9:9" x14ac:dyDescent="0.3">
      <c r="I17872" s="101"/>
    </row>
    <row r="17873" spans="9:9" x14ac:dyDescent="0.3">
      <c r="I17873" s="101"/>
    </row>
    <row r="17874" spans="9:9" x14ac:dyDescent="0.3">
      <c r="I17874" s="101"/>
    </row>
    <row r="17875" spans="9:9" x14ac:dyDescent="0.3">
      <c r="I17875" s="101"/>
    </row>
    <row r="17876" spans="9:9" x14ac:dyDescent="0.3">
      <c r="I17876" s="101"/>
    </row>
    <row r="17877" spans="9:9" x14ac:dyDescent="0.3">
      <c r="I17877" s="101"/>
    </row>
    <row r="17878" spans="9:9" x14ac:dyDescent="0.3">
      <c r="I17878" s="101"/>
    </row>
    <row r="17879" spans="9:9" x14ac:dyDescent="0.3">
      <c r="I17879" s="101"/>
    </row>
    <row r="17880" spans="9:9" x14ac:dyDescent="0.3">
      <c r="I17880" s="101"/>
    </row>
    <row r="17881" spans="9:9" x14ac:dyDescent="0.3">
      <c r="I17881" s="101"/>
    </row>
    <row r="17882" spans="9:9" x14ac:dyDescent="0.3">
      <c r="I17882" s="101"/>
    </row>
    <row r="17883" spans="9:9" x14ac:dyDescent="0.3">
      <c r="I17883" s="101"/>
    </row>
    <row r="17884" spans="9:9" x14ac:dyDescent="0.3">
      <c r="I17884" s="101"/>
    </row>
    <row r="17885" spans="9:9" x14ac:dyDescent="0.3">
      <c r="I17885" s="101"/>
    </row>
    <row r="17886" spans="9:9" x14ac:dyDescent="0.3">
      <c r="I17886" s="101"/>
    </row>
    <row r="17887" spans="9:9" x14ac:dyDescent="0.3">
      <c r="I17887" s="101"/>
    </row>
    <row r="17888" spans="9:9" x14ac:dyDescent="0.3">
      <c r="I17888" s="101"/>
    </row>
    <row r="17889" spans="9:9" x14ac:dyDescent="0.3">
      <c r="I17889" s="101"/>
    </row>
    <row r="17890" spans="9:9" x14ac:dyDescent="0.3">
      <c r="I17890" s="101"/>
    </row>
    <row r="17891" spans="9:9" x14ac:dyDescent="0.3">
      <c r="I17891" s="101"/>
    </row>
    <row r="17892" spans="9:9" x14ac:dyDescent="0.3">
      <c r="I17892" s="101"/>
    </row>
    <row r="17893" spans="9:9" x14ac:dyDescent="0.3">
      <c r="I17893" s="101"/>
    </row>
    <row r="17894" spans="9:9" x14ac:dyDescent="0.3">
      <c r="I17894" s="101"/>
    </row>
    <row r="17895" spans="9:9" x14ac:dyDescent="0.3">
      <c r="I17895" s="101"/>
    </row>
    <row r="17896" spans="9:9" x14ac:dyDescent="0.3">
      <c r="I17896" s="101"/>
    </row>
    <row r="17897" spans="9:9" x14ac:dyDescent="0.3">
      <c r="I17897" s="101"/>
    </row>
    <row r="17898" spans="9:9" x14ac:dyDescent="0.3">
      <c r="I17898" s="101"/>
    </row>
    <row r="17899" spans="9:9" x14ac:dyDescent="0.3">
      <c r="I17899" s="101"/>
    </row>
    <row r="17900" spans="9:9" x14ac:dyDescent="0.3">
      <c r="I17900" s="101"/>
    </row>
    <row r="17901" spans="9:9" x14ac:dyDescent="0.3">
      <c r="I17901" s="101"/>
    </row>
    <row r="17902" spans="9:9" x14ac:dyDescent="0.3">
      <c r="I17902" s="101"/>
    </row>
    <row r="17903" spans="9:9" x14ac:dyDescent="0.3">
      <c r="I17903" s="101"/>
    </row>
    <row r="17904" spans="9:9" x14ac:dyDescent="0.3">
      <c r="I17904" s="101"/>
    </row>
    <row r="17905" spans="9:9" x14ac:dyDescent="0.3">
      <c r="I17905" s="101"/>
    </row>
    <row r="17906" spans="9:9" x14ac:dyDescent="0.3">
      <c r="I17906" s="101"/>
    </row>
    <row r="17907" spans="9:9" x14ac:dyDescent="0.3">
      <c r="I17907" s="101"/>
    </row>
    <row r="17908" spans="9:9" x14ac:dyDescent="0.3">
      <c r="I17908" s="101"/>
    </row>
    <row r="17909" spans="9:9" x14ac:dyDescent="0.3">
      <c r="I17909" s="101"/>
    </row>
    <row r="17910" spans="9:9" x14ac:dyDescent="0.3">
      <c r="I17910" s="101"/>
    </row>
    <row r="17911" spans="9:9" x14ac:dyDescent="0.3">
      <c r="I17911" s="101"/>
    </row>
    <row r="17912" spans="9:9" x14ac:dyDescent="0.3">
      <c r="I17912" s="101"/>
    </row>
    <row r="17913" spans="9:9" x14ac:dyDescent="0.3">
      <c r="I17913" s="101"/>
    </row>
    <row r="17914" spans="9:9" x14ac:dyDescent="0.3">
      <c r="I17914" s="101"/>
    </row>
    <row r="17915" spans="9:9" x14ac:dyDescent="0.3">
      <c r="I17915" s="101"/>
    </row>
    <row r="17916" spans="9:9" x14ac:dyDescent="0.3">
      <c r="I17916" s="101"/>
    </row>
    <row r="17917" spans="9:9" x14ac:dyDescent="0.3">
      <c r="I17917" s="101"/>
    </row>
    <row r="17918" spans="9:9" x14ac:dyDescent="0.3">
      <c r="I17918" s="101"/>
    </row>
    <row r="17919" spans="9:9" x14ac:dyDescent="0.3">
      <c r="I17919" s="101"/>
    </row>
    <row r="17920" spans="9:9" x14ac:dyDescent="0.3">
      <c r="I17920" s="101"/>
    </row>
    <row r="17921" spans="9:9" x14ac:dyDescent="0.3">
      <c r="I17921" s="101"/>
    </row>
    <row r="17922" spans="9:9" x14ac:dyDescent="0.3">
      <c r="I17922" s="101"/>
    </row>
    <row r="17923" spans="9:9" x14ac:dyDescent="0.3">
      <c r="I17923" s="101"/>
    </row>
    <row r="17924" spans="9:9" x14ac:dyDescent="0.3">
      <c r="I17924" s="101"/>
    </row>
    <row r="17925" spans="9:9" x14ac:dyDescent="0.3">
      <c r="I17925" s="101"/>
    </row>
    <row r="17926" spans="9:9" x14ac:dyDescent="0.3">
      <c r="I17926" s="101"/>
    </row>
    <row r="17927" spans="9:9" x14ac:dyDescent="0.3">
      <c r="I17927" s="101"/>
    </row>
    <row r="17928" spans="9:9" x14ac:dyDescent="0.3">
      <c r="I17928" s="101"/>
    </row>
    <row r="17929" spans="9:9" x14ac:dyDescent="0.3">
      <c r="I17929" s="101"/>
    </row>
    <row r="17930" spans="9:9" x14ac:dyDescent="0.3">
      <c r="I17930" s="101"/>
    </row>
    <row r="17931" spans="9:9" x14ac:dyDescent="0.3">
      <c r="I17931" s="101"/>
    </row>
    <row r="17932" spans="9:9" x14ac:dyDescent="0.3">
      <c r="I17932" s="101"/>
    </row>
    <row r="17933" spans="9:9" x14ac:dyDescent="0.3">
      <c r="I17933" s="101"/>
    </row>
    <row r="17934" spans="9:9" x14ac:dyDescent="0.3">
      <c r="I17934" s="101"/>
    </row>
    <row r="17935" spans="9:9" x14ac:dyDescent="0.3">
      <c r="I17935" s="101"/>
    </row>
    <row r="17936" spans="9:9" x14ac:dyDescent="0.3">
      <c r="I17936" s="101"/>
    </row>
    <row r="17937" spans="9:9" x14ac:dyDescent="0.3">
      <c r="I17937" s="101"/>
    </row>
    <row r="17938" spans="9:9" x14ac:dyDescent="0.3">
      <c r="I17938" s="101"/>
    </row>
    <row r="17939" spans="9:9" x14ac:dyDescent="0.3">
      <c r="I17939" s="101"/>
    </row>
    <row r="17940" spans="9:9" x14ac:dyDescent="0.3">
      <c r="I17940" s="101"/>
    </row>
    <row r="17941" spans="9:9" x14ac:dyDescent="0.3">
      <c r="I17941" s="101"/>
    </row>
    <row r="17942" spans="9:9" x14ac:dyDescent="0.3">
      <c r="I17942" s="101"/>
    </row>
    <row r="17943" spans="9:9" x14ac:dyDescent="0.3">
      <c r="I17943" s="101"/>
    </row>
    <row r="17944" spans="9:9" x14ac:dyDescent="0.3">
      <c r="I17944" s="101"/>
    </row>
    <row r="17945" spans="9:9" x14ac:dyDescent="0.3">
      <c r="I17945" s="101"/>
    </row>
    <row r="17946" spans="9:9" x14ac:dyDescent="0.3">
      <c r="I17946" s="101"/>
    </row>
    <row r="17947" spans="9:9" x14ac:dyDescent="0.3">
      <c r="I17947" s="101"/>
    </row>
    <row r="17948" spans="9:9" x14ac:dyDescent="0.3">
      <c r="I17948" s="101"/>
    </row>
    <row r="17949" spans="9:9" x14ac:dyDescent="0.3">
      <c r="I17949" s="101"/>
    </row>
    <row r="17950" spans="9:9" x14ac:dyDescent="0.3">
      <c r="I17950" s="101"/>
    </row>
    <row r="17951" spans="9:9" x14ac:dyDescent="0.3">
      <c r="I17951" s="101"/>
    </row>
    <row r="17952" spans="9:9" x14ac:dyDescent="0.3">
      <c r="I17952" s="101"/>
    </row>
    <row r="17953" spans="9:9" x14ac:dyDescent="0.3">
      <c r="I17953" s="101"/>
    </row>
    <row r="17954" spans="9:9" x14ac:dyDescent="0.3">
      <c r="I17954" s="101"/>
    </row>
    <row r="17955" spans="9:9" x14ac:dyDescent="0.3">
      <c r="I17955" s="101"/>
    </row>
    <row r="17956" spans="9:9" x14ac:dyDescent="0.3">
      <c r="I17956" s="101"/>
    </row>
    <row r="17957" spans="9:9" x14ac:dyDescent="0.3">
      <c r="I17957" s="101"/>
    </row>
    <row r="17958" spans="9:9" x14ac:dyDescent="0.3">
      <c r="I17958" s="101"/>
    </row>
    <row r="17959" spans="9:9" x14ac:dyDescent="0.3">
      <c r="I17959" s="101"/>
    </row>
    <row r="17960" spans="9:9" x14ac:dyDescent="0.3">
      <c r="I17960" s="101"/>
    </row>
    <row r="17961" spans="9:9" x14ac:dyDescent="0.3">
      <c r="I17961" s="101"/>
    </row>
    <row r="17962" spans="9:9" x14ac:dyDescent="0.3">
      <c r="I17962" s="101"/>
    </row>
    <row r="17963" spans="9:9" x14ac:dyDescent="0.3">
      <c r="I17963" s="101"/>
    </row>
    <row r="17964" spans="9:9" x14ac:dyDescent="0.3">
      <c r="I17964" s="101"/>
    </row>
    <row r="17965" spans="9:9" x14ac:dyDescent="0.3">
      <c r="I17965" s="101"/>
    </row>
    <row r="17966" spans="9:9" x14ac:dyDescent="0.3">
      <c r="I17966" s="101"/>
    </row>
    <row r="17967" spans="9:9" x14ac:dyDescent="0.3">
      <c r="I17967" s="101"/>
    </row>
    <row r="17968" spans="9:9" x14ac:dyDescent="0.3">
      <c r="I17968" s="101"/>
    </row>
    <row r="17969" spans="9:9" x14ac:dyDescent="0.3">
      <c r="I17969" s="101"/>
    </row>
    <row r="17970" spans="9:9" x14ac:dyDescent="0.3">
      <c r="I17970" s="101"/>
    </row>
    <row r="17971" spans="9:9" x14ac:dyDescent="0.3">
      <c r="I17971" s="101"/>
    </row>
    <row r="17972" spans="9:9" x14ac:dyDescent="0.3">
      <c r="I17972" s="101"/>
    </row>
    <row r="17973" spans="9:9" x14ac:dyDescent="0.3">
      <c r="I17973" s="101"/>
    </row>
    <row r="17974" spans="9:9" x14ac:dyDescent="0.3">
      <c r="I17974" s="101"/>
    </row>
    <row r="17975" spans="9:9" x14ac:dyDescent="0.3">
      <c r="I17975" s="101"/>
    </row>
    <row r="17976" spans="9:9" x14ac:dyDescent="0.3">
      <c r="I17976" s="101"/>
    </row>
    <row r="17977" spans="9:9" x14ac:dyDescent="0.3">
      <c r="I17977" s="101"/>
    </row>
    <row r="17978" spans="9:9" x14ac:dyDescent="0.3">
      <c r="I17978" s="101"/>
    </row>
    <row r="17979" spans="9:9" x14ac:dyDescent="0.3">
      <c r="I17979" s="101"/>
    </row>
    <row r="17980" spans="9:9" x14ac:dyDescent="0.3">
      <c r="I17980" s="101"/>
    </row>
    <row r="17981" spans="9:9" x14ac:dyDescent="0.3">
      <c r="I17981" s="101"/>
    </row>
    <row r="17982" spans="9:9" x14ac:dyDescent="0.3">
      <c r="I17982" s="101"/>
    </row>
    <row r="17983" spans="9:9" x14ac:dyDescent="0.3">
      <c r="I17983" s="101"/>
    </row>
    <row r="17984" spans="9:9" x14ac:dyDescent="0.3">
      <c r="I17984" s="101"/>
    </row>
    <row r="17985" spans="9:9" x14ac:dyDescent="0.3">
      <c r="I17985" s="101"/>
    </row>
    <row r="17986" spans="9:9" x14ac:dyDescent="0.3">
      <c r="I17986" s="101"/>
    </row>
    <row r="17987" spans="9:9" x14ac:dyDescent="0.3">
      <c r="I17987" s="101"/>
    </row>
    <row r="17988" spans="9:9" x14ac:dyDescent="0.3">
      <c r="I17988" s="101"/>
    </row>
    <row r="17989" spans="9:9" x14ac:dyDescent="0.3">
      <c r="I17989" s="101"/>
    </row>
    <row r="17990" spans="9:9" x14ac:dyDescent="0.3">
      <c r="I17990" s="101"/>
    </row>
    <row r="17991" spans="9:9" x14ac:dyDescent="0.3">
      <c r="I17991" s="101"/>
    </row>
    <row r="17992" spans="9:9" x14ac:dyDescent="0.3">
      <c r="I17992" s="101"/>
    </row>
    <row r="17993" spans="9:9" x14ac:dyDescent="0.3">
      <c r="I17993" s="101"/>
    </row>
    <row r="17994" spans="9:9" x14ac:dyDescent="0.3">
      <c r="I17994" s="101"/>
    </row>
    <row r="17995" spans="9:9" x14ac:dyDescent="0.3">
      <c r="I17995" s="101"/>
    </row>
    <row r="17996" spans="9:9" x14ac:dyDescent="0.3">
      <c r="I17996" s="101"/>
    </row>
    <row r="17997" spans="9:9" x14ac:dyDescent="0.3">
      <c r="I17997" s="101"/>
    </row>
    <row r="17998" spans="9:9" x14ac:dyDescent="0.3">
      <c r="I17998" s="101"/>
    </row>
    <row r="17999" spans="9:9" x14ac:dyDescent="0.3">
      <c r="I17999" s="101"/>
    </row>
    <row r="18000" spans="9:9" x14ac:dyDescent="0.3">
      <c r="I18000" s="101"/>
    </row>
    <row r="18001" spans="9:9" x14ac:dyDescent="0.3">
      <c r="I18001" s="101"/>
    </row>
    <row r="18002" spans="9:9" x14ac:dyDescent="0.3">
      <c r="I18002" s="101"/>
    </row>
    <row r="18003" spans="9:9" x14ac:dyDescent="0.3">
      <c r="I18003" s="101"/>
    </row>
    <row r="18004" spans="9:9" x14ac:dyDescent="0.3">
      <c r="I18004" s="101"/>
    </row>
    <row r="18005" spans="9:9" x14ac:dyDescent="0.3">
      <c r="I18005" s="101"/>
    </row>
    <row r="18006" spans="9:9" x14ac:dyDescent="0.3">
      <c r="I18006" s="101"/>
    </row>
    <row r="18007" spans="9:9" x14ac:dyDescent="0.3">
      <c r="I18007" s="101"/>
    </row>
    <row r="18008" spans="9:9" x14ac:dyDescent="0.3">
      <c r="I18008" s="101"/>
    </row>
    <row r="18009" spans="9:9" x14ac:dyDescent="0.3">
      <c r="I18009" s="101"/>
    </row>
    <row r="18010" spans="9:9" x14ac:dyDescent="0.3">
      <c r="I18010" s="101"/>
    </row>
    <row r="18011" spans="9:9" x14ac:dyDescent="0.3">
      <c r="I18011" s="101"/>
    </row>
    <row r="18012" spans="9:9" x14ac:dyDescent="0.3">
      <c r="I18012" s="101"/>
    </row>
    <row r="18013" spans="9:9" x14ac:dyDescent="0.3">
      <c r="I18013" s="101"/>
    </row>
    <row r="18014" spans="9:9" x14ac:dyDescent="0.3">
      <c r="I18014" s="101"/>
    </row>
    <row r="18015" spans="9:9" x14ac:dyDescent="0.3">
      <c r="I18015" s="101"/>
    </row>
    <row r="18016" spans="9:9" x14ac:dyDescent="0.3">
      <c r="I18016" s="101"/>
    </row>
    <row r="18017" spans="9:9" x14ac:dyDescent="0.3">
      <c r="I18017" s="101"/>
    </row>
    <row r="18018" spans="9:9" x14ac:dyDescent="0.3">
      <c r="I18018" s="101"/>
    </row>
    <row r="18019" spans="9:9" x14ac:dyDescent="0.3">
      <c r="I18019" s="101"/>
    </row>
    <row r="18020" spans="9:9" x14ac:dyDescent="0.3">
      <c r="I18020" s="101"/>
    </row>
    <row r="18021" spans="9:9" x14ac:dyDescent="0.3">
      <c r="I18021" s="101"/>
    </row>
    <row r="18022" spans="9:9" x14ac:dyDescent="0.3">
      <c r="I18022" s="101"/>
    </row>
    <row r="18023" spans="9:9" x14ac:dyDescent="0.3">
      <c r="I18023" s="101"/>
    </row>
    <row r="18024" spans="9:9" x14ac:dyDescent="0.3">
      <c r="I18024" s="101"/>
    </row>
    <row r="18025" spans="9:9" x14ac:dyDescent="0.3">
      <c r="I18025" s="101"/>
    </row>
    <row r="18026" spans="9:9" x14ac:dyDescent="0.3">
      <c r="I18026" s="101"/>
    </row>
    <row r="18027" spans="9:9" x14ac:dyDescent="0.3">
      <c r="I18027" s="101"/>
    </row>
    <row r="18028" spans="9:9" x14ac:dyDescent="0.3">
      <c r="I18028" s="101"/>
    </row>
    <row r="18029" spans="9:9" x14ac:dyDescent="0.3">
      <c r="I18029" s="101"/>
    </row>
    <row r="18030" spans="9:9" x14ac:dyDescent="0.3">
      <c r="I18030" s="101"/>
    </row>
    <row r="18031" spans="9:9" x14ac:dyDescent="0.3">
      <c r="I18031" s="101"/>
    </row>
    <row r="18032" spans="9:9" x14ac:dyDescent="0.3">
      <c r="I18032" s="101"/>
    </row>
    <row r="18033" spans="9:9" x14ac:dyDescent="0.3">
      <c r="I18033" s="101"/>
    </row>
    <row r="18034" spans="9:9" x14ac:dyDescent="0.3">
      <c r="I18034" s="101"/>
    </row>
    <row r="18035" spans="9:9" x14ac:dyDescent="0.3">
      <c r="I18035" s="101"/>
    </row>
    <row r="18036" spans="9:9" x14ac:dyDescent="0.3">
      <c r="I18036" s="101"/>
    </row>
    <row r="18037" spans="9:9" x14ac:dyDescent="0.3">
      <c r="I18037" s="101"/>
    </row>
    <row r="18038" spans="9:9" x14ac:dyDescent="0.3">
      <c r="I18038" s="101"/>
    </row>
    <row r="18039" spans="9:9" x14ac:dyDescent="0.3">
      <c r="I18039" s="101"/>
    </row>
    <row r="18040" spans="9:9" x14ac:dyDescent="0.3">
      <c r="I18040" s="101"/>
    </row>
    <row r="18041" spans="9:9" x14ac:dyDescent="0.3">
      <c r="I18041" s="101"/>
    </row>
    <row r="18042" spans="9:9" x14ac:dyDescent="0.3">
      <c r="I18042" s="101"/>
    </row>
    <row r="18043" spans="9:9" x14ac:dyDescent="0.3">
      <c r="I18043" s="101"/>
    </row>
    <row r="18044" spans="9:9" x14ac:dyDescent="0.3">
      <c r="I18044" s="101"/>
    </row>
    <row r="18045" spans="9:9" x14ac:dyDescent="0.3">
      <c r="I18045" s="101"/>
    </row>
    <row r="18046" spans="9:9" x14ac:dyDescent="0.3">
      <c r="I18046" s="101"/>
    </row>
    <row r="18047" spans="9:9" x14ac:dyDescent="0.3">
      <c r="I18047" s="101"/>
    </row>
    <row r="18048" spans="9:9" x14ac:dyDescent="0.3">
      <c r="I18048" s="101"/>
    </row>
    <row r="18049" spans="9:9" x14ac:dyDescent="0.3">
      <c r="I18049" s="101"/>
    </row>
    <row r="18050" spans="9:9" x14ac:dyDescent="0.3">
      <c r="I18050" s="101"/>
    </row>
    <row r="18051" spans="9:9" x14ac:dyDescent="0.3">
      <c r="I18051" s="101"/>
    </row>
    <row r="18052" spans="9:9" x14ac:dyDescent="0.3">
      <c r="I18052" s="101"/>
    </row>
    <row r="18053" spans="9:9" x14ac:dyDescent="0.3">
      <c r="I18053" s="101"/>
    </row>
    <row r="18054" spans="9:9" x14ac:dyDescent="0.3">
      <c r="I18054" s="101"/>
    </row>
    <row r="18055" spans="9:9" x14ac:dyDescent="0.3">
      <c r="I18055" s="101"/>
    </row>
    <row r="18056" spans="9:9" x14ac:dyDescent="0.3">
      <c r="I18056" s="101"/>
    </row>
    <row r="18057" spans="9:9" x14ac:dyDescent="0.3">
      <c r="I18057" s="101"/>
    </row>
    <row r="18058" spans="9:9" x14ac:dyDescent="0.3">
      <c r="I18058" s="101"/>
    </row>
    <row r="18059" spans="9:9" x14ac:dyDescent="0.3">
      <c r="I18059" s="101"/>
    </row>
    <row r="18060" spans="9:9" x14ac:dyDescent="0.3">
      <c r="I18060" s="101"/>
    </row>
    <row r="18061" spans="9:9" x14ac:dyDescent="0.3">
      <c r="I18061" s="101"/>
    </row>
    <row r="18062" spans="9:9" x14ac:dyDescent="0.3">
      <c r="I18062" s="101"/>
    </row>
    <row r="18063" spans="9:9" x14ac:dyDescent="0.3">
      <c r="I18063" s="101"/>
    </row>
    <row r="18064" spans="9:9" x14ac:dyDescent="0.3">
      <c r="I18064" s="101"/>
    </row>
    <row r="18065" spans="9:9" x14ac:dyDescent="0.3">
      <c r="I18065" s="101"/>
    </row>
    <row r="18066" spans="9:9" x14ac:dyDescent="0.3">
      <c r="I18066" s="101"/>
    </row>
    <row r="18067" spans="9:9" x14ac:dyDescent="0.3">
      <c r="I18067" s="101"/>
    </row>
    <row r="18068" spans="9:9" x14ac:dyDescent="0.3">
      <c r="I18068" s="101"/>
    </row>
    <row r="18069" spans="9:9" x14ac:dyDescent="0.3">
      <c r="I18069" s="101"/>
    </row>
    <row r="18070" spans="9:9" x14ac:dyDescent="0.3">
      <c r="I18070" s="101"/>
    </row>
    <row r="18071" spans="9:9" x14ac:dyDescent="0.3">
      <c r="I18071" s="101"/>
    </row>
    <row r="18072" spans="9:9" x14ac:dyDescent="0.3">
      <c r="I18072" s="101"/>
    </row>
    <row r="18073" spans="9:9" x14ac:dyDescent="0.3">
      <c r="I18073" s="101"/>
    </row>
    <row r="18074" spans="9:9" x14ac:dyDescent="0.3">
      <c r="I18074" s="101"/>
    </row>
    <row r="18075" spans="9:9" x14ac:dyDescent="0.3">
      <c r="I18075" s="101"/>
    </row>
    <row r="18076" spans="9:9" x14ac:dyDescent="0.3">
      <c r="I18076" s="101"/>
    </row>
    <row r="18077" spans="9:9" x14ac:dyDescent="0.3">
      <c r="I18077" s="101"/>
    </row>
    <row r="18078" spans="9:9" x14ac:dyDescent="0.3">
      <c r="I18078" s="101"/>
    </row>
    <row r="18079" spans="9:9" x14ac:dyDescent="0.3">
      <c r="I18079" s="101"/>
    </row>
    <row r="18080" spans="9:9" x14ac:dyDescent="0.3">
      <c r="I18080" s="101"/>
    </row>
    <row r="18081" spans="9:9" x14ac:dyDescent="0.3">
      <c r="I18081" s="101"/>
    </row>
    <row r="18082" spans="9:9" x14ac:dyDescent="0.3">
      <c r="I18082" s="101"/>
    </row>
    <row r="18083" spans="9:9" x14ac:dyDescent="0.3">
      <c r="I18083" s="101"/>
    </row>
    <row r="18084" spans="9:9" x14ac:dyDescent="0.3">
      <c r="I18084" s="101"/>
    </row>
    <row r="18085" spans="9:9" x14ac:dyDescent="0.3">
      <c r="I18085" s="101"/>
    </row>
    <row r="18086" spans="9:9" x14ac:dyDescent="0.3">
      <c r="I18086" s="101"/>
    </row>
    <row r="18087" spans="9:9" x14ac:dyDescent="0.3">
      <c r="I18087" s="101"/>
    </row>
    <row r="18088" spans="9:9" x14ac:dyDescent="0.3">
      <c r="I18088" s="101"/>
    </row>
    <row r="18089" spans="9:9" x14ac:dyDescent="0.3">
      <c r="I18089" s="101"/>
    </row>
    <row r="18090" spans="9:9" x14ac:dyDescent="0.3">
      <c r="I18090" s="101"/>
    </row>
    <row r="18091" spans="9:9" x14ac:dyDescent="0.3">
      <c r="I18091" s="101"/>
    </row>
    <row r="18092" spans="9:9" x14ac:dyDescent="0.3">
      <c r="I18092" s="101"/>
    </row>
    <row r="18093" spans="9:9" x14ac:dyDescent="0.3">
      <c r="I18093" s="101"/>
    </row>
    <row r="18094" spans="9:9" x14ac:dyDescent="0.3">
      <c r="I18094" s="101"/>
    </row>
    <row r="18095" spans="9:9" x14ac:dyDescent="0.3">
      <c r="I18095" s="101"/>
    </row>
    <row r="18096" spans="9:9" x14ac:dyDescent="0.3">
      <c r="I18096" s="101"/>
    </row>
    <row r="18097" spans="9:9" x14ac:dyDescent="0.3">
      <c r="I18097" s="101"/>
    </row>
    <row r="18098" spans="9:9" x14ac:dyDescent="0.3">
      <c r="I18098" s="101"/>
    </row>
    <row r="18099" spans="9:9" x14ac:dyDescent="0.3">
      <c r="I18099" s="101"/>
    </row>
    <row r="18100" spans="9:9" x14ac:dyDescent="0.3">
      <c r="I18100" s="101"/>
    </row>
    <row r="18101" spans="9:9" x14ac:dyDescent="0.3">
      <c r="I18101" s="101"/>
    </row>
    <row r="18102" spans="9:9" x14ac:dyDescent="0.3">
      <c r="I18102" s="101"/>
    </row>
    <row r="18103" spans="9:9" x14ac:dyDescent="0.3">
      <c r="I18103" s="101"/>
    </row>
    <row r="18104" spans="9:9" x14ac:dyDescent="0.3">
      <c r="I18104" s="101"/>
    </row>
    <row r="18105" spans="9:9" x14ac:dyDescent="0.3">
      <c r="I18105" s="101"/>
    </row>
    <row r="18106" spans="9:9" x14ac:dyDescent="0.3">
      <c r="I18106" s="101"/>
    </row>
    <row r="18107" spans="9:9" x14ac:dyDescent="0.3">
      <c r="I18107" s="101"/>
    </row>
    <row r="18108" spans="9:9" x14ac:dyDescent="0.3">
      <c r="I18108" s="101"/>
    </row>
    <row r="18109" spans="9:9" x14ac:dyDescent="0.3">
      <c r="I18109" s="101"/>
    </row>
    <row r="18110" spans="9:9" x14ac:dyDescent="0.3">
      <c r="I18110" s="101"/>
    </row>
    <row r="18111" spans="9:9" x14ac:dyDescent="0.3">
      <c r="I18111" s="101"/>
    </row>
    <row r="18112" spans="9:9" x14ac:dyDescent="0.3">
      <c r="I18112" s="101"/>
    </row>
    <row r="18113" spans="9:9" x14ac:dyDescent="0.3">
      <c r="I18113" s="101"/>
    </row>
    <row r="18114" spans="9:9" x14ac:dyDescent="0.3">
      <c r="I18114" s="101"/>
    </row>
    <row r="18115" spans="9:9" x14ac:dyDescent="0.3">
      <c r="I18115" s="101"/>
    </row>
    <row r="18116" spans="9:9" x14ac:dyDescent="0.3">
      <c r="I18116" s="101"/>
    </row>
    <row r="18117" spans="9:9" x14ac:dyDescent="0.3">
      <c r="I18117" s="101"/>
    </row>
    <row r="18118" spans="9:9" x14ac:dyDescent="0.3">
      <c r="I18118" s="101"/>
    </row>
    <row r="18119" spans="9:9" x14ac:dyDescent="0.3">
      <c r="I18119" s="101"/>
    </row>
    <row r="18120" spans="9:9" x14ac:dyDescent="0.3">
      <c r="I18120" s="101"/>
    </row>
    <row r="18121" spans="9:9" x14ac:dyDescent="0.3">
      <c r="I18121" s="101"/>
    </row>
    <row r="18122" spans="9:9" x14ac:dyDescent="0.3">
      <c r="I18122" s="101"/>
    </row>
    <row r="18123" spans="9:9" x14ac:dyDescent="0.3">
      <c r="I18123" s="101"/>
    </row>
    <row r="18124" spans="9:9" x14ac:dyDescent="0.3">
      <c r="I18124" s="101"/>
    </row>
    <row r="18125" spans="9:9" x14ac:dyDescent="0.3">
      <c r="I18125" s="101"/>
    </row>
    <row r="18126" spans="9:9" x14ac:dyDescent="0.3">
      <c r="I18126" s="101"/>
    </row>
    <row r="18127" spans="9:9" x14ac:dyDescent="0.3">
      <c r="I18127" s="101"/>
    </row>
    <row r="18128" spans="9:9" x14ac:dyDescent="0.3">
      <c r="I18128" s="101"/>
    </row>
    <row r="18129" spans="9:9" x14ac:dyDescent="0.3">
      <c r="I18129" s="101"/>
    </row>
    <row r="18130" spans="9:9" x14ac:dyDescent="0.3">
      <c r="I18130" s="101"/>
    </row>
    <row r="18131" spans="9:9" x14ac:dyDescent="0.3">
      <c r="I18131" s="101"/>
    </row>
    <row r="18132" spans="9:9" x14ac:dyDescent="0.3">
      <c r="I18132" s="101"/>
    </row>
    <row r="18133" spans="9:9" x14ac:dyDescent="0.3">
      <c r="I18133" s="101"/>
    </row>
    <row r="18134" spans="9:9" x14ac:dyDescent="0.3">
      <c r="I18134" s="101"/>
    </row>
    <row r="18135" spans="9:9" x14ac:dyDescent="0.3">
      <c r="I18135" s="101"/>
    </row>
    <row r="18136" spans="9:9" x14ac:dyDescent="0.3">
      <c r="I18136" s="101"/>
    </row>
    <row r="18137" spans="9:9" x14ac:dyDescent="0.3">
      <c r="I18137" s="101"/>
    </row>
    <row r="18138" spans="9:9" x14ac:dyDescent="0.3">
      <c r="I18138" s="101"/>
    </row>
    <row r="18139" spans="9:9" x14ac:dyDescent="0.3">
      <c r="I18139" s="101"/>
    </row>
    <row r="18140" spans="9:9" x14ac:dyDescent="0.3">
      <c r="I18140" s="101"/>
    </row>
    <row r="18141" spans="9:9" x14ac:dyDescent="0.3">
      <c r="I18141" s="101"/>
    </row>
    <row r="18142" spans="9:9" x14ac:dyDescent="0.3">
      <c r="I18142" s="101"/>
    </row>
    <row r="18143" spans="9:9" x14ac:dyDescent="0.3">
      <c r="I18143" s="101"/>
    </row>
    <row r="18144" spans="9:9" x14ac:dyDescent="0.3">
      <c r="I18144" s="101"/>
    </row>
    <row r="18145" spans="9:9" x14ac:dyDescent="0.3">
      <c r="I18145" s="101"/>
    </row>
    <row r="18146" spans="9:9" x14ac:dyDescent="0.3">
      <c r="I18146" s="101"/>
    </row>
    <row r="18147" spans="9:9" x14ac:dyDescent="0.3">
      <c r="I18147" s="101"/>
    </row>
    <row r="18148" spans="9:9" x14ac:dyDescent="0.3">
      <c r="I18148" s="101"/>
    </row>
    <row r="18149" spans="9:9" x14ac:dyDescent="0.3">
      <c r="I18149" s="101"/>
    </row>
    <row r="18150" spans="9:9" x14ac:dyDescent="0.3">
      <c r="I18150" s="101"/>
    </row>
    <row r="18151" spans="9:9" x14ac:dyDescent="0.3">
      <c r="I18151" s="101"/>
    </row>
    <row r="18152" spans="9:9" x14ac:dyDescent="0.3">
      <c r="I18152" s="101"/>
    </row>
    <row r="18153" spans="9:9" x14ac:dyDescent="0.3">
      <c r="I18153" s="101"/>
    </row>
    <row r="18154" spans="9:9" x14ac:dyDescent="0.3">
      <c r="I18154" s="101"/>
    </row>
    <row r="18155" spans="9:9" x14ac:dyDescent="0.3">
      <c r="I18155" s="101"/>
    </row>
    <row r="18156" spans="9:9" x14ac:dyDescent="0.3">
      <c r="I18156" s="101"/>
    </row>
    <row r="18157" spans="9:9" x14ac:dyDescent="0.3">
      <c r="I18157" s="101"/>
    </row>
    <row r="18158" spans="9:9" x14ac:dyDescent="0.3">
      <c r="I18158" s="101"/>
    </row>
    <row r="18159" spans="9:9" x14ac:dyDescent="0.3">
      <c r="I18159" s="101"/>
    </row>
    <row r="18160" spans="9:9" x14ac:dyDescent="0.3">
      <c r="I18160" s="101"/>
    </row>
    <row r="18161" spans="9:9" x14ac:dyDescent="0.3">
      <c r="I18161" s="101"/>
    </row>
    <row r="18162" spans="9:9" x14ac:dyDescent="0.3">
      <c r="I18162" s="101"/>
    </row>
    <row r="18163" spans="9:9" x14ac:dyDescent="0.3">
      <c r="I18163" s="101"/>
    </row>
    <row r="18164" spans="9:9" x14ac:dyDescent="0.3">
      <c r="I18164" s="101"/>
    </row>
    <row r="18165" spans="9:9" x14ac:dyDescent="0.3">
      <c r="I18165" s="101"/>
    </row>
    <row r="18166" spans="9:9" x14ac:dyDescent="0.3">
      <c r="I18166" s="101"/>
    </row>
    <row r="18167" spans="9:9" x14ac:dyDescent="0.3">
      <c r="I18167" s="101"/>
    </row>
    <row r="18168" spans="9:9" x14ac:dyDescent="0.3">
      <c r="I18168" s="101"/>
    </row>
    <row r="18169" spans="9:9" x14ac:dyDescent="0.3">
      <c r="I18169" s="101"/>
    </row>
    <row r="18170" spans="9:9" x14ac:dyDescent="0.3">
      <c r="I18170" s="101"/>
    </row>
    <row r="18171" spans="9:9" x14ac:dyDescent="0.3">
      <c r="I18171" s="101"/>
    </row>
    <row r="18172" spans="9:9" x14ac:dyDescent="0.3">
      <c r="I18172" s="101"/>
    </row>
    <row r="18173" spans="9:9" x14ac:dyDescent="0.3">
      <c r="I18173" s="101"/>
    </row>
    <row r="18174" spans="9:9" x14ac:dyDescent="0.3">
      <c r="I18174" s="101"/>
    </row>
    <row r="18175" spans="9:9" x14ac:dyDescent="0.3">
      <c r="I18175" s="101"/>
    </row>
    <row r="18176" spans="9:9" x14ac:dyDescent="0.3">
      <c r="I18176" s="101"/>
    </row>
    <row r="18177" spans="9:9" x14ac:dyDescent="0.3">
      <c r="I18177" s="101"/>
    </row>
    <row r="18178" spans="9:9" x14ac:dyDescent="0.3">
      <c r="I18178" s="101"/>
    </row>
    <row r="18179" spans="9:9" x14ac:dyDescent="0.3">
      <c r="I18179" s="101"/>
    </row>
    <row r="18180" spans="9:9" x14ac:dyDescent="0.3">
      <c r="I18180" s="101"/>
    </row>
    <row r="18181" spans="9:9" x14ac:dyDescent="0.3">
      <c r="I18181" s="101"/>
    </row>
    <row r="18182" spans="9:9" x14ac:dyDescent="0.3">
      <c r="I18182" s="101"/>
    </row>
    <row r="18183" spans="9:9" x14ac:dyDescent="0.3">
      <c r="I18183" s="101"/>
    </row>
    <row r="18184" spans="9:9" x14ac:dyDescent="0.3">
      <c r="I18184" s="101"/>
    </row>
    <row r="18185" spans="9:9" x14ac:dyDescent="0.3">
      <c r="I18185" s="101"/>
    </row>
    <row r="18186" spans="9:9" x14ac:dyDescent="0.3">
      <c r="I18186" s="101"/>
    </row>
    <row r="18187" spans="9:9" x14ac:dyDescent="0.3">
      <c r="I18187" s="101"/>
    </row>
    <row r="18188" spans="9:9" x14ac:dyDescent="0.3">
      <c r="I18188" s="101"/>
    </row>
    <row r="18189" spans="9:9" x14ac:dyDescent="0.3">
      <c r="I18189" s="101"/>
    </row>
    <row r="18190" spans="9:9" x14ac:dyDescent="0.3">
      <c r="I18190" s="101"/>
    </row>
    <row r="18191" spans="9:9" x14ac:dyDescent="0.3">
      <c r="I18191" s="101"/>
    </row>
    <row r="18192" spans="9:9" x14ac:dyDescent="0.3">
      <c r="I18192" s="101"/>
    </row>
    <row r="18193" spans="9:9" x14ac:dyDescent="0.3">
      <c r="I18193" s="101"/>
    </row>
    <row r="18194" spans="9:9" x14ac:dyDescent="0.3">
      <c r="I18194" s="101"/>
    </row>
    <row r="18195" spans="9:9" x14ac:dyDescent="0.3">
      <c r="I18195" s="101"/>
    </row>
    <row r="18196" spans="9:9" x14ac:dyDescent="0.3">
      <c r="I18196" s="101"/>
    </row>
    <row r="18197" spans="9:9" x14ac:dyDescent="0.3">
      <c r="I18197" s="101"/>
    </row>
    <row r="18198" spans="9:9" x14ac:dyDescent="0.3">
      <c r="I18198" s="101"/>
    </row>
    <row r="18199" spans="9:9" x14ac:dyDescent="0.3">
      <c r="I18199" s="101"/>
    </row>
    <row r="18200" spans="9:9" x14ac:dyDescent="0.3">
      <c r="I18200" s="101"/>
    </row>
    <row r="18201" spans="9:9" x14ac:dyDescent="0.3">
      <c r="I18201" s="101"/>
    </row>
    <row r="18202" spans="9:9" x14ac:dyDescent="0.3">
      <c r="I18202" s="101"/>
    </row>
    <row r="18203" spans="9:9" x14ac:dyDescent="0.3">
      <c r="I18203" s="101"/>
    </row>
    <row r="18204" spans="9:9" x14ac:dyDescent="0.3">
      <c r="I18204" s="101"/>
    </row>
    <row r="18205" spans="9:9" x14ac:dyDescent="0.3">
      <c r="I18205" s="101"/>
    </row>
    <row r="18206" spans="9:9" x14ac:dyDescent="0.3">
      <c r="I18206" s="101"/>
    </row>
    <row r="18207" spans="9:9" x14ac:dyDescent="0.3">
      <c r="I18207" s="101"/>
    </row>
    <row r="18208" spans="9:9" x14ac:dyDescent="0.3">
      <c r="I18208" s="101"/>
    </row>
    <row r="18209" spans="9:9" x14ac:dyDescent="0.3">
      <c r="I18209" s="101"/>
    </row>
    <row r="18210" spans="9:9" x14ac:dyDescent="0.3">
      <c r="I18210" s="101"/>
    </row>
    <row r="18211" spans="9:9" x14ac:dyDescent="0.3">
      <c r="I18211" s="101"/>
    </row>
    <row r="18212" spans="9:9" x14ac:dyDescent="0.3">
      <c r="I18212" s="101"/>
    </row>
    <row r="18213" spans="9:9" x14ac:dyDescent="0.3">
      <c r="I18213" s="101"/>
    </row>
    <row r="18214" spans="9:9" x14ac:dyDescent="0.3">
      <c r="I18214" s="101"/>
    </row>
    <row r="18215" spans="9:9" x14ac:dyDescent="0.3">
      <c r="I18215" s="101"/>
    </row>
    <row r="18216" spans="9:9" x14ac:dyDescent="0.3">
      <c r="I18216" s="101"/>
    </row>
    <row r="18217" spans="9:9" x14ac:dyDescent="0.3">
      <c r="I18217" s="101"/>
    </row>
    <row r="18218" spans="9:9" x14ac:dyDescent="0.3">
      <c r="I18218" s="101"/>
    </row>
    <row r="18219" spans="9:9" x14ac:dyDescent="0.3">
      <c r="I18219" s="101"/>
    </row>
    <row r="18220" spans="9:9" x14ac:dyDescent="0.3">
      <c r="I18220" s="101"/>
    </row>
    <row r="18221" spans="9:9" x14ac:dyDescent="0.3">
      <c r="I18221" s="101"/>
    </row>
    <row r="18222" spans="9:9" x14ac:dyDescent="0.3">
      <c r="I18222" s="101"/>
    </row>
    <row r="18223" spans="9:9" x14ac:dyDescent="0.3">
      <c r="I18223" s="101"/>
    </row>
    <row r="18224" spans="9:9" x14ac:dyDescent="0.3">
      <c r="I18224" s="101"/>
    </row>
    <row r="18225" spans="9:9" x14ac:dyDescent="0.3">
      <c r="I18225" s="101"/>
    </row>
    <row r="18226" spans="9:9" x14ac:dyDescent="0.3">
      <c r="I18226" s="101"/>
    </row>
    <row r="18227" spans="9:9" x14ac:dyDescent="0.3">
      <c r="I18227" s="101"/>
    </row>
    <row r="18228" spans="9:9" x14ac:dyDescent="0.3">
      <c r="I18228" s="101"/>
    </row>
    <row r="18229" spans="9:9" x14ac:dyDescent="0.3">
      <c r="I18229" s="101"/>
    </row>
    <row r="18230" spans="9:9" x14ac:dyDescent="0.3">
      <c r="I18230" s="101"/>
    </row>
    <row r="18231" spans="9:9" x14ac:dyDescent="0.3">
      <c r="I18231" s="101"/>
    </row>
    <row r="18232" spans="9:9" x14ac:dyDescent="0.3">
      <c r="I18232" s="101"/>
    </row>
    <row r="18233" spans="9:9" x14ac:dyDescent="0.3">
      <c r="I18233" s="101"/>
    </row>
    <row r="18234" spans="9:9" x14ac:dyDescent="0.3">
      <c r="I18234" s="101"/>
    </row>
    <row r="18235" spans="9:9" x14ac:dyDescent="0.3">
      <c r="I18235" s="101"/>
    </row>
    <row r="18236" spans="9:9" x14ac:dyDescent="0.3">
      <c r="I18236" s="101"/>
    </row>
    <row r="18237" spans="9:9" x14ac:dyDescent="0.3">
      <c r="I18237" s="101"/>
    </row>
    <row r="18238" spans="9:9" x14ac:dyDescent="0.3">
      <c r="I18238" s="101"/>
    </row>
    <row r="18239" spans="9:9" x14ac:dyDescent="0.3">
      <c r="I18239" s="101"/>
    </row>
    <row r="18240" spans="9:9" x14ac:dyDescent="0.3">
      <c r="I18240" s="101"/>
    </row>
    <row r="18241" spans="9:9" x14ac:dyDescent="0.3">
      <c r="I18241" s="101"/>
    </row>
    <row r="18242" spans="9:9" x14ac:dyDescent="0.3">
      <c r="I18242" s="101"/>
    </row>
    <row r="18243" spans="9:9" x14ac:dyDescent="0.3">
      <c r="I18243" s="101"/>
    </row>
    <row r="18244" spans="9:9" x14ac:dyDescent="0.3">
      <c r="I18244" s="101"/>
    </row>
    <row r="18245" spans="9:9" x14ac:dyDescent="0.3">
      <c r="I18245" s="101"/>
    </row>
    <row r="18246" spans="9:9" x14ac:dyDescent="0.3">
      <c r="I18246" s="101"/>
    </row>
    <row r="18247" spans="9:9" x14ac:dyDescent="0.3">
      <c r="I18247" s="101"/>
    </row>
    <row r="18248" spans="9:9" x14ac:dyDescent="0.3">
      <c r="I18248" s="101"/>
    </row>
    <row r="18249" spans="9:9" x14ac:dyDescent="0.3">
      <c r="I18249" s="101"/>
    </row>
    <row r="18250" spans="9:9" x14ac:dyDescent="0.3">
      <c r="I18250" s="101"/>
    </row>
    <row r="18251" spans="9:9" x14ac:dyDescent="0.3">
      <c r="I18251" s="101"/>
    </row>
    <row r="18252" spans="9:9" x14ac:dyDescent="0.3">
      <c r="I18252" s="101"/>
    </row>
    <row r="18253" spans="9:9" x14ac:dyDescent="0.3">
      <c r="I18253" s="101"/>
    </row>
    <row r="18254" spans="9:9" x14ac:dyDescent="0.3">
      <c r="I18254" s="101"/>
    </row>
    <row r="18255" spans="9:9" x14ac:dyDescent="0.3">
      <c r="I18255" s="101"/>
    </row>
    <row r="18256" spans="9:9" x14ac:dyDescent="0.3">
      <c r="I18256" s="101"/>
    </row>
    <row r="18257" spans="9:9" x14ac:dyDescent="0.3">
      <c r="I18257" s="101"/>
    </row>
    <row r="18258" spans="9:9" x14ac:dyDescent="0.3">
      <c r="I18258" s="101"/>
    </row>
    <row r="18259" spans="9:9" x14ac:dyDescent="0.3">
      <c r="I18259" s="101"/>
    </row>
    <row r="18260" spans="9:9" x14ac:dyDescent="0.3">
      <c r="I18260" s="101"/>
    </row>
    <row r="18261" spans="9:9" x14ac:dyDescent="0.3">
      <c r="I18261" s="101"/>
    </row>
    <row r="18262" spans="9:9" x14ac:dyDescent="0.3">
      <c r="I18262" s="101"/>
    </row>
    <row r="18263" spans="9:9" x14ac:dyDescent="0.3">
      <c r="I18263" s="101"/>
    </row>
    <row r="18264" spans="9:9" x14ac:dyDescent="0.3">
      <c r="I18264" s="101"/>
    </row>
    <row r="18265" spans="9:9" x14ac:dyDescent="0.3">
      <c r="I18265" s="101"/>
    </row>
    <row r="18266" spans="9:9" x14ac:dyDescent="0.3">
      <c r="I18266" s="101"/>
    </row>
    <row r="18267" spans="9:9" x14ac:dyDescent="0.3">
      <c r="I18267" s="101"/>
    </row>
    <row r="18268" spans="9:9" x14ac:dyDescent="0.3">
      <c r="I18268" s="101"/>
    </row>
    <row r="18269" spans="9:9" x14ac:dyDescent="0.3">
      <c r="I18269" s="101"/>
    </row>
    <row r="18270" spans="9:9" x14ac:dyDescent="0.3">
      <c r="I18270" s="101"/>
    </row>
    <row r="18271" spans="9:9" x14ac:dyDescent="0.3">
      <c r="I18271" s="101"/>
    </row>
    <row r="18272" spans="9:9" x14ac:dyDescent="0.3">
      <c r="I18272" s="101"/>
    </row>
    <row r="18273" spans="9:9" x14ac:dyDescent="0.3">
      <c r="I18273" s="101"/>
    </row>
    <row r="18274" spans="9:9" x14ac:dyDescent="0.3">
      <c r="I18274" s="101"/>
    </row>
    <row r="18275" spans="9:9" x14ac:dyDescent="0.3">
      <c r="I18275" s="101"/>
    </row>
    <row r="18276" spans="9:9" x14ac:dyDescent="0.3">
      <c r="I18276" s="101"/>
    </row>
    <row r="18277" spans="9:9" x14ac:dyDescent="0.3">
      <c r="I18277" s="101"/>
    </row>
    <row r="18278" spans="9:9" x14ac:dyDescent="0.3">
      <c r="I18278" s="101"/>
    </row>
    <row r="18279" spans="9:9" x14ac:dyDescent="0.3">
      <c r="I18279" s="101"/>
    </row>
    <row r="18280" spans="9:9" x14ac:dyDescent="0.3">
      <c r="I18280" s="101"/>
    </row>
    <row r="18281" spans="9:9" x14ac:dyDescent="0.3">
      <c r="I18281" s="101"/>
    </row>
    <row r="18282" spans="9:9" x14ac:dyDescent="0.3">
      <c r="I18282" s="101"/>
    </row>
    <row r="18283" spans="9:9" x14ac:dyDescent="0.3">
      <c r="I18283" s="101"/>
    </row>
    <row r="18284" spans="9:9" x14ac:dyDescent="0.3">
      <c r="I18284" s="101"/>
    </row>
    <row r="18285" spans="9:9" x14ac:dyDescent="0.3">
      <c r="I18285" s="101"/>
    </row>
    <row r="18286" spans="9:9" x14ac:dyDescent="0.3">
      <c r="I18286" s="101"/>
    </row>
    <row r="18287" spans="9:9" x14ac:dyDescent="0.3">
      <c r="I18287" s="101"/>
    </row>
    <row r="18288" spans="9:9" x14ac:dyDescent="0.3">
      <c r="I18288" s="101"/>
    </row>
    <row r="18289" spans="9:9" x14ac:dyDescent="0.3">
      <c r="I18289" s="101"/>
    </row>
    <row r="18290" spans="9:9" x14ac:dyDescent="0.3">
      <c r="I18290" s="101"/>
    </row>
    <row r="18291" spans="9:9" x14ac:dyDescent="0.3">
      <c r="I18291" s="101"/>
    </row>
    <row r="18292" spans="9:9" x14ac:dyDescent="0.3">
      <c r="I18292" s="101"/>
    </row>
    <row r="18293" spans="9:9" x14ac:dyDescent="0.3">
      <c r="I18293" s="101"/>
    </row>
    <row r="18294" spans="9:9" x14ac:dyDescent="0.3">
      <c r="I18294" s="101"/>
    </row>
    <row r="18295" spans="9:9" x14ac:dyDescent="0.3">
      <c r="I18295" s="101"/>
    </row>
    <row r="18296" spans="9:9" x14ac:dyDescent="0.3">
      <c r="I18296" s="101"/>
    </row>
    <row r="18297" spans="9:9" x14ac:dyDescent="0.3">
      <c r="I18297" s="101"/>
    </row>
    <row r="18298" spans="9:9" x14ac:dyDescent="0.3">
      <c r="I18298" s="101"/>
    </row>
    <row r="18299" spans="9:9" x14ac:dyDescent="0.3">
      <c r="I18299" s="101"/>
    </row>
    <row r="18300" spans="9:9" x14ac:dyDescent="0.3">
      <c r="I18300" s="101"/>
    </row>
    <row r="18301" spans="9:9" x14ac:dyDescent="0.3">
      <c r="I18301" s="101"/>
    </row>
    <row r="18302" spans="9:9" x14ac:dyDescent="0.3">
      <c r="I18302" s="101"/>
    </row>
    <row r="18303" spans="9:9" x14ac:dyDescent="0.3">
      <c r="I18303" s="101"/>
    </row>
    <row r="18304" spans="9:9" x14ac:dyDescent="0.3">
      <c r="I18304" s="101"/>
    </row>
    <row r="18305" spans="9:9" x14ac:dyDescent="0.3">
      <c r="I18305" s="101"/>
    </row>
    <row r="18306" spans="9:9" x14ac:dyDescent="0.3">
      <c r="I18306" s="101"/>
    </row>
    <row r="18307" spans="9:9" x14ac:dyDescent="0.3">
      <c r="I18307" s="101"/>
    </row>
    <row r="18308" spans="9:9" x14ac:dyDescent="0.3">
      <c r="I18308" s="101"/>
    </row>
    <row r="18309" spans="9:9" x14ac:dyDescent="0.3">
      <c r="I18309" s="101"/>
    </row>
    <row r="18310" spans="9:9" x14ac:dyDescent="0.3">
      <c r="I18310" s="101"/>
    </row>
    <row r="18311" spans="9:9" x14ac:dyDescent="0.3">
      <c r="I18311" s="101"/>
    </row>
    <row r="18312" spans="9:9" x14ac:dyDescent="0.3">
      <c r="I18312" s="101"/>
    </row>
    <row r="18313" spans="9:9" x14ac:dyDescent="0.3">
      <c r="I18313" s="101"/>
    </row>
    <row r="18314" spans="9:9" x14ac:dyDescent="0.3">
      <c r="I18314" s="101"/>
    </row>
    <row r="18315" spans="9:9" x14ac:dyDescent="0.3">
      <c r="I18315" s="101"/>
    </row>
    <row r="18316" spans="9:9" x14ac:dyDescent="0.3">
      <c r="I18316" s="101"/>
    </row>
    <row r="18317" spans="9:9" x14ac:dyDescent="0.3">
      <c r="I18317" s="101"/>
    </row>
    <row r="18318" spans="9:9" x14ac:dyDescent="0.3">
      <c r="I18318" s="101"/>
    </row>
    <row r="18319" spans="9:9" x14ac:dyDescent="0.3">
      <c r="I18319" s="101"/>
    </row>
    <row r="18320" spans="9:9" x14ac:dyDescent="0.3">
      <c r="I18320" s="101"/>
    </row>
    <row r="18321" spans="9:9" x14ac:dyDescent="0.3">
      <c r="I18321" s="101"/>
    </row>
    <row r="18322" spans="9:9" x14ac:dyDescent="0.3">
      <c r="I18322" s="101"/>
    </row>
    <row r="18323" spans="9:9" x14ac:dyDescent="0.3">
      <c r="I18323" s="101"/>
    </row>
    <row r="18324" spans="9:9" x14ac:dyDescent="0.3">
      <c r="I18324" s="101"/>
    </row>
    <row r="18325" spans="9:9" x14ac:dyDescent="0.3">
      <c r="I18325" s="101"/>
    </row>
    <row r="18326" spans="9:9" x14ac:dyDescent="0.3">
      <c r="I18326" s="101"/>
    </row>
    <row r="18327" spans="9:9" x14ac:dyDescent="0.3">
      <c r="I18327" s="101"/>
    </row>
    <row r="18328" spans="9:9" x14ac:dyDescent="0.3">
      <c r="I18328" s="101"/>
    </row>
    <row r="18329" spans="9:9" x14ac:dyDescent="0.3">
      <c r="I18329" s="101"/>
    </row>
    <row r="18330" spans="9:9" x14ac:dyDescent="0.3">
      <c r="I18330" s="101"/>
    </row>
    <row r="18331" spans="9:9" x14ac:dyDescent="0.3">
      <c r="I18331" s="101"/>
    </row>
    <row r="18332" spans="9:9" x14ac:dyDescent="0.3">
      <c r="I18332" s="101"/>
    </row>
    <row r="18333" spans="9:9" x14ac:dyDescent="0.3">
      <c r="I18333" s="101"/>
    </row>
    <row r="18334" spans="9:9" x14ac:dyDescent="0.3">
      <c r="I18334" s="101"/>
    </row>
    <row r="18335" spans="9:9" x14ac:dyDescent="0.3">
      <c r="I18335" s="101"/>
    </row>
    <row r="18336" spans="9:9" x14ac:dyDescent="0.3">
      <c r="I18336" s="101"/>
    </row>
    <row r="18337" spans="9:9" x14ac:dyDescent="0.3">
      <c r="I18337" s="101"/>
    </row>
    <row r="18338" spans="9:9" x14ac:dyDescent="0.3">
      <c r="I18338" s="101"/>
    </row>
    <row r="18339" spans="9:9" x14ac:dyDescent="0.3">
      <c r="I18339" s="101"/>
    </row>
    <row r="18340" spans="9:9" x14ac:dyDescent="0.3">
      <c r="I18340" s="101"/>
    </row>
    <row r="18341" spans="9:9" x14ac:dyDescent="0.3">
      <c r="I18341" s="101"/>
    </row>
    <row r="18342" spans="9:9" x14ac:dyDescent="0.3">
      <c r="I18342" s="101"/>
    </row>
    <row r="18343" spans="9:9" x14ac:dyDescent="0.3">
      <c r="I18343" s="101"/>
    </row>
    <row r="18344" spans="9:9" x14ac:dyDescent="0.3">
      <c r="I18344" s="101"/>
    </row>
    <row r="18345" spans="9:9" x14ac:dyDescent="0.3">
      <c r="I18345" s="101"/>
    </row>
    <row r="18346" spans="9:9" x14ac:dyDescent="0.3">
      <c r="I18346" s="101"/>
    </row>
    <row r="18347" spans="9:9" x14ac:dyDescent="0.3">
      <c r="I18347" s="101"/>
    </row>
    <row r="18348" spans="9:9" x14ac:dyDescent="0.3">
      <c r="I18348" s="101"/>
    </row>
    <row r="18349" spans="9:9" x14ac:dyDescent="0.3">
      <c r="I18349" s="101"/>
    </row>
    <row r="18350" spans="9:9" x14ac:dyDescent="0.3">
      <c r="I18350" s="101"/>
    </row>
    <row r="18351" spans="9:9" x14ac:dyDescent="0.3">
      <c r="I18351" s="101"/>
    </row>
    <row r="18352" spans="9:9" x14ac:dyDescent="0.3">
      <c r="I18352" s="101"/>
    </row>
    <row r="18353" spans="9:9" x14ac:dyDescent="0.3">
      <c r="I18353" s="101"/>
    </row>
    <row r="18354" spans="9:9" x14ac:dyDescent="0.3">
      <c r="I18354" s="101"/>
    </row>
    <row r="18355" spans="9:9" x14ac:dyDescent="0.3">
      <c r="I18355" s="101"/>
    </row>
    <row r="18356" spans="9:9" x14ac:dyDescent="0.3">
      <c r="I18356" s="101"/>
    </row>
    <row r="18357" spans="9:9" x14ac:dyDescent="0.3">
      <c r="I18357" s="101"/>
    </row>
    <row r="18358" spans="9:9" x14ac:dyDescent="0.3">
      <c r="I18358" s="101"/>
    </row>
    <row r="18359" spans="9:9" x14ac:dyDescent="0.3">
      <c r="I18359" s="101"/>
    </row>
    <row r="18360" spans="9:9" x14ac:dyDescent="0.3">
      <c r="I18360" s="101"/>
    </row>
    <row r="18361" spans="9:9" x14ac:dyDescent="0.3">
      <c r="I18361" s="101"/>
    </row>
    <row r="18362" spans="9:9" x14ac:dyDescent="0.3">
      <c r="I18362" s="101"/>
    </row>
    <row r="18363" spans="9:9" x14ac:dyDescent="0.3">
      <c r="I18363" s="101"/>
    </row>
    <row r="18364" spans="9:9" x14ac:dyDescent="0.3">
      <c r="I18364" s="101"/>
    </row>
    <row r="18365" spans="9:9" x14ac:dyDescent="0.3">
      <c r="I18365" s="101"/>
    </row>
    <row r="18366" spans="9:9" x14ac:dyDescent="0.3">
      <c r="I18366" s="101"/>
    </row>
    <row r="18367" spans="9:9" x14ac:dyDescent="0.3">
      <c r="I18367" s="101"/>
    </row>
    <row r="18368" spans="9:9" x14ac:dyDescent="0.3">
      <c r="I18368" s="101"/>
    </row>
    <row r="18369" spans="9:9" x14ac:dyDescent="0.3">
      <c r="I18369" s="101"/>
    </row>
    <row r="18370" spans="9:9" x14ac:dyDescent="0.3">
      <c r="I18370" s="101"/>
    </row>
    <row r="18371" spans="9:9" x14ac:dyDescent="0.3">
      <c r="I18371" s="101"/>
    </row>
    <row r="18372" spans="9:9" x14ac:dyDescent="0.3">
      <c r="I18372" s="101"/>
    </row>
    <row r="18373" spans="9:9" x14ac:dyDescent="0.3">
      <c r="I18373" s="101"/>
    </row>
    <row r="18374" spans="9:9" x14ac:dyDescent="0.3">
      <c r="I18374" s="101"/>
    </row>
    <row r="18375" spans="9:9" x14ac:dyDescent="0.3">
      <c r="I18375" s="101"/>
    </row>
    <row r="18376" spans="9:9" x14ac:dyDescent="0.3">
      <c r="I18376" s="101"/>
    </row>
    <row r="18377" spans="9:9" x14ac:dyDescent="0.3">
      <c r="I18377" s="101"/>
    </row>
    <row r="18378" spans="9:9" x14ac:dyDescent="0.3">
      <c r="I18378" s="101"/>
    </row>
    <row r="18379" spans="9:9" x14ac:dyDescent="0.3">
      <c r="I18379" s="101"/>
    </row>
    <row r="18380" spans="9:9" x14ac:dyDescent="0.3">
      <c r="I18380" s="101"/>
    </row>
    <row r="18381" spans="9:9" x14ac:dyDescent="0.3">
      <c r="I18381" s="101"/>
    </row>
    <row r="18382" spans="9:9" x14ac:dyDescent="0.3">
      <c r="I18382" s="101"/>
    </row>
    <row r="18383" spans="9:9" x14ac:dyDescent="0.3">
      <c r="I18383" s="101"/>
    </row>
    <row r="18384" spans="9:9" x14ac:dyDescent="0.3">
      <c r="I18384" s="101"/>
    </row>
    <row r="18385" spans="9:9" x14ac:dyDescent="0.3">
      <c r="I18385" s="101"/>
    </row>
    <row r="18386" spans="9:9" x14ac:dyDescent="0.3">
      <c r="I18386" s="101"/>
    </row>
    <row r="18387" spans="9:9" x14ac:dyDescent="0.3">
      <c r="I18387" s="101"/>
    </row>
    <row r="18388" spans="9:9" x14ac:dyDescent="0.3">
      <c r="I18388" s="101"/>
    </row>
    <row r="18389" spans="9:9" x14ac:dyDescent="0.3">
      <c r="I18389" s="101"/>
    </row>
    <row r="18390" spans="9:9" x14ac:dyDescent="0.3">
      <c r="I18390" s="101"/>
    </row>
    <row r="18391" spans="9:9" x14ac:dyDescent="0.3">
      <c r="I18391" s="101"/>
    </row>
    <row r="18392" spans="9:9" x14ac:dyDescent="0.3">
      <c r="I18392" s="101"/>
    </row>
    <row r="18393" spans="9:9" x14ac:dyDescent="0.3">
      <c r="I18393" s="101"/>
    </row>
    <row r="18394" spans="9:9" x14ac:dyDescent="0.3">
      <c r="I18394" s="101"/>
    </row>
    <row r="18395" spans="9:9" x14ac:dyDescent="0.3">
      <c r="I18395" s="101"/>
    </row>
    <row r="18396" spans="9:9" x14ac:dyDescent="0.3">
      <c r="I18396" s="101"/>
    </row>
    <row r="18397" spans="9:9" x14ac:dyDescent="0.3">
      <c r="I18397" s="101"/>
    </row>
    <row r="18398" spans="9:9" x14ac:dyDescent="0.3">
      <c r="I18398" s="101"/>
    </row>
    <row r="18399" spans="9:9" x14ac:dyDescent="0.3">
      <c r="I18399" s="101"/>
    </row>
    <row r="18400" spans="9:9" x14ac:dyDescent="0.3">
      <c r="I18400" s="101"/>
    </row>
    <row r="18401" spans="9:9" x14ac:dyDescent="0.3">
      <c r="I18401" s="101"/>
    </row>
    <row r="18402" spans="9:9" x14ac:dyDescent="0.3">
      <c r="I18402" s="101"/>
    </row>
    <row r="18403" spans="9:9" x14ac:dyDescent="0.3">
      <c r="I18403" s="101"/>
    </row>
    <row r="18404" spans="9:9" x14ac:dyDescent="0.3">
      <c r="I18404" s="101"/>
    </row>
    <row r="18405" spans="9:9" x14ac:dyDescent="0.3">
      <c r="I18405" s="101"/>
    </row>
    <row r="18406" spans="9:9" x14ac:dyDescent="0.3">
      <c r="I18406" s="101"/>
    </row>
    <row r="18407" spans="9:9" x14ac:dyDescent="0.3">
      <c r="I18407" s="101"/>
    </row>
    <row r="18408" spans="9:9" x14ac:dyDescent="0.3">
      <c r="I18408" s="101"/>
    </row>
    <row r="18409" spans="9:9" x14ac:dyDescent="0.3">
      <c r="I18409" s="101"/>
    </row>
    <row r="18410" spans="9:9" x14ac:dyDescent="0.3">
      <c r="I18410" s="101"/>
    </row>
    <row r="18411" spans="9:9" x14ac:dyDescent="0.3">
      <c r="I18411" s="101"/>
    </row>
    <row r="18412" spans="9:9" x14ac:dyDescent="0.3">
      <c r="I18412" s="101"/>
    </row>
    <row r="18413" spans="9:9" x14ac:dyDescent="0.3">
      <c r="I18413" s="101"/>
    </row>
    <row r="18414" spans="9:9" x14ac:dyDescent="0.3">
      <c r="I18414" s="101"/>
    </row>
    <row r="18415" spans="9:9" x14ac:dyDescent="0.3">
      <c r="I18415" s="101"/>
    </row>
    <row r="18416" spans="9:9" x14ac:dyDescent="0.3">
      <c r="I18416" s="101"/>
    </row>
    <row r="18417" spans="9:9" x14ac:dyDescent="0.3">
      <c r="I18417" s="101"/>
    </row>
    <row r="18418" spans="9:9" x14ac:dyDescent="0.3">
      <c r="I18418" s="101"/>
    </row>
    <row r="18419" spans="9:9" x14ac:dyDescent="0.3">
      <c r="I18419" s="101"/>
    </row>
    <row r="18420" spans="9:9" x14ac:dyDescent="0.3">
      <c r="I18420" s="101"/>
    </row>
    <row r="18421" spans="9:9" x14ac:dyDescent="0.3">
      <c r="I18421" s="101"/>
    </row>
    <row r="18422" spans="9:9" x14ac:dyDescent="0.3">
      <c r="I18422" s="101"/>
    </row>
    <row r="18423" spans="9:9" x14ac:dyDescent="0.3">
      <c r="I18423" s="101"/>
    </row>
    <row r="18424" spans="9:9" x14ac:dyDescent="0.3">
      <c r="I18424" s="101"/>
    </row>
    <row r="18425" spans="9:9" x14ac:dyDescent="0.3">
      <c r="I18425" s="101"/>
    </row>
    <row r="18426" spans="9:9" x14ac:dyDescent="0.3">
      <c r="I18426" s="101"/>
    </row>
    <row r="18427" spans="9:9" x14ac:dyDescent="0.3">
      <c r="I18427" s="101"/>
    </row>
    <row r="18428" spans="9:9" x14ac:dyDescent="0.3">
      <c r="I18428" s="101"/>
    </row>
    <row r="18429" spans="9:9" x14ac:dyDescent="0.3">
      <c r="I18429" s="101"/>
    </row>
    <row r="18430" spans="9:9" x14ac:dyDescent="0.3">
      <c r="I18430" s="101"/>
    </row>
    <row r="18431" spans="9:9" x14ac:dyDescent="0.3">
      <c r="I18431" s="101"/>
    </row>
    <row r="18432" spans="9:9" x14ac:dyDescent="0.3">
      <c r="I18432" s="101"/>
    </row>
    <row r="18433" spans="9:9" x14ac:dyDescent="0.3">
      <c r="I18433" s="101"/>
    </row>
    <row r="18434" spans="9:9" x14ac:dyDescent="0.3">
      <c r="I18434" s="101"/>
    </row>
    <row r="18435" spans="9:9" x14ac:dyDescent="0.3">
      <c r="I18435" s="101"/>
    </row>
    <row r="18436" spans="9:9" x14ac:dyDescent="0.3">
      <c r="I18436" s="101"/>
    </row>
    <row r="18437" spans="9:9" x14ac:dyDescent="0.3">
      <c r="I18437" s="101"/>
    </row>
    <row r="18438" spans="9:9" x14ac:dyDescent="0.3">
      <c r="I18438" s="101"/>
    </row>
    <row r="18439" spans="9:9" x14ac:dyDescent="0.3">
      <c r="I18439" s="101"/>
    </row>
    <row r="18440" spans="9:9" x14ac:dyDescent="0.3">
      <c r="I18440" s="101"/>
    </row>
    <row r="18441" spans="9:9" x14ac:dyDescent="0.3">
      <c r="I18441" s="101"/>
    </row>
    <row r="18442" spans="9:9" x14ac:dyDescent="0.3">
      <c r="I18442" s="101"/>
    </row>
    <row r="18443" spans="9:9" x14ac:dyDescent="0.3">
      <c r="I18443" s="101"/>
    </row>
    <row r="18444" spans="9:9" x14ac:dyDescent="0.3">
      <c r="I18444" s="101"/>
    </row>
    <row r="18445" spans="9:9" x14ac:dyDescent="0.3">
      <c r="I18445" s="101"/>
    </row>
    <row r="18446" spans="9:9" x14ac:dyDescent="0.3">
      <c r="I18446" s="101"/>
    </row>
    <row r="18447" spans="9:9" x14ac:dyDescent="0.3">
      <c r="I18447" s="101"/>
    </row>
    <row r="18448" spans="9:9" x14ac:dyDescent="0.3">
      <c r="I18448" s="101"/>
    </row>
    <row r="18449" spans="9:9" x14ac:dyDescent="0.3">
      <c r="I18449" s="101"/>
    </row>
    <row r="18450" spans="9:9" x14ac:dyDescent="0.3">
      <c r="I18450" s="101"/>
    </row>
    <row r="18451" spans="9:9" x14ac:dyDescent="0.3">
      <c r="I18451" s="101"/>
    </row>
    <row r="18452" spans="9:9" x14ac:dyDescent="0.3">
      <c r="I18452" s="101"/>
    </row>
    <row r="18453" spans="9:9" x14ac:dyDescent="0.3">
      <c r="I18453" s="101"/>
    </row>
    <row r="18454" spans="9:9" x14ac:dyDescent="0.3">
      <c r="I18454" s="101"/>
    </row>
    <row r="18455" spans="9:9" x14ac:dyDescent="0.3">
      <c r="I18455" s="101"/>
    </row>
    <row r="18456" spans="9:9" x14ac:dyDescent="0.3">
      <c r="I18456" s="101"/>
    </row>
    <row r="18457" spans="9:9" x14ac:dyDescent="0.3">
      <c r="I18457" s="101"/>
    </row>
    <row r="18458" spans="9:9" x14ac:dyDescent="0.3">
      <c r="I18458" s="101"/>
    </row>
    <row r="18459" spans="9:9" x14ac:dyDescent="0.3">
      <c r="I18459" s="101"/>
    </row>
    <row r="18460" spans="9:9" x14ac:dyDescent="0.3">
      <c r="I18460" s="101"/>
    </row>
    <row r="18461" spans="9:9" x14ac:dyDescent="0.3">
      <c r="I18461" s="101"/>
    </row>
    <row r="18462" spans="9:9" x14ac:dyDescent="0.3">
      <c r="I18462" s="101"/>
    </row>
    <row r="18463" spans="9:9" x14ac:dyDescent="0.3">
      <c r="I18463" s="101"/>
    </row>
    <row r="18464" spans="9:9" x14ac:dyDescent="0.3">
      <c r="I18464" s="101"/>
    </row>
    <row r="18465" spans="9:9" x14ac:dyDescent="0.3">
      <c r="I18465" s="101"/>
    </row>
    <row r="18466" spans="9:9" x14ac:dyDescent="0.3">
      <c r="I18466" s="101"/>
    </row>
    <row r="18467" spans="9:9" x14ac:dyDescent="0.3">
      <c r="I18467" s="101"/>
    </row>
    <row r="18468" spans="9:9" x14ac:dyDescent="0.3">
      <c r="I18468" s="101"/>
    </row>
    <row r="18469" spans="9:9" x14ac:dyDescent="0.3">
      <c r="I18469" s="101"/>
    </row>
    <row r="18470" spans="9:9" x14ac:dyDescent="0.3">
      <c r="I18470" s="101"/>
    </row>
    <row r="18471" spans="9:9" x14ac:dyDescent="0.3">
      <c r="I18471" s="101"/>
    </row>
    <row r="18472" spans="9:9" x14ac:dyDescent="0.3">
      <c r="I18472" s="101"/>
    </row>
    <row r="18473" spans="9:9" x14ac:dyDescent="0.3">
      <c r="I18473" s="101"/>
    </row>
    <row r="18474" spans="9:9" x14ac:dyDescent="0.3">
      <c r="I18474" s="101"/>
    </row>
    <row r="18475" spans="9:9" x14ac:dyDescent="0.3">
      <c r="I18475" s="101"/>
    </row>
    <row r="18476" spans="9:9" x14ac:dyDescent="0.3">
      <c r="I18476" s="101"/>
    </row>
    <row r="18477" spans="9:9" x14ac:dyDescent="0.3">
      <c r="I18477" s="101"/>
    </row>
    <row r="18478" spans="9:9" x14ac:dyDescent="0.3">
      <c r="I18478" s="101"/>
    </row>
    <row r="18479" spans="9:9" x14ac:dyDescent="0.3">
      <c r="I18479" s="101"/>
    </row>
    <row r="18480" spans="9:9" x14ac:dyDescent="0.3">
      <c r="I18480" s="101"/>
    </row>
    <row r="18481" spans="9:9" x14ac:dyDescent="0.3">
      <c r="I18481" s="101"/>
    </row>
    <row r="18482" spans="9:9" x14ac:dyDescent="0.3">
      <c r="I18482" s="101"/>
    </row>
    <row r="18483" spans="9:9" x14ac:dyDescent="0.3">
      <c r="I18483" s="101"/>
    </row>
    <row r="18484" spans="9:9" x14ac:dyDescent="0.3">
      <c r="I18484" s="101"/>
    </row>
    <row r="18485" spans="9:9" x14ac:dyDescent="0.3">
      <c r="I18485" s="101"/>
    </row>
    <row r="18486" spans="9:9" x14ac:dyDescent="0.3">
      <c r="I18486" s="101"/>
    </row>
    <row r="18487" spans="9:9" x14ac:dyDescent="0.3">
      <c r="I18487" s="101"/>
    </row>
    <row r="18488" spans="9:9" x14ac:dyDescent="0.3">
      <c r="I18488" s="101"/>
    </row>
    <row r="18489" spans="9:9" x14ac:dyDescent="0.3">
      <c r="I18489" s="101"/>
    </row>
    <row r="18490" spans="9:9" x14ac:dyDescent="0.3">
      <c r="I18490" s="101"/>
    </row>
    <row r="18491" spans="9:9" x14ac:dyDescent="0.3">
      <c r="I18491" s="101"/>
    </row>
    <row r="18492" spans="9:9" x14ac:dyDescent="0.3">
      <c r="I18492" s="101"/>
    </row>
    <row r="18493" spans="9:9" x14ac:dyDescent="0.3">
      <c r="I18493" s="101"/>
    </row>
    <row r="18494" spans="9:9" x14ac:dyDescent="0.3">
      <c r="I18494" s="101"/>
    </row>
    <row r="18495" spans="9:9" x14ac:dyDescent="0.3">
      <c r="I18495" s="101"/>
    </row>
    <row r="18496" spans="9:9" x14ac:dyDescent="0.3">
      <c r="I18496" s="101"/>
    </row>
    <row r="18497" spans="9:9" x14ac:dyDescent="0.3">
      <c r="I18497" s="101"/>
    </row>
    <row r="18498" spans="9:9" x14ac:dyDescent="0.3">
      <c r="I18498" s="101"/>
    </row>
    <row r="18499" spans="9:9" x14ac:dyDescent="0.3">
      <c r="I18499" s="101"/>
    </row>
    <row r="18500" spans="9:9" x14ac:dyDescent="0.3">
      <c r="I18500" s="101"/>
    </row>
    <row r="18501" spans="9:9" x14ac:dyDescent="0.3">
      <c r="I18501" s="101"/>
    </row>
    <row r="18502" spans="9:9" x14ac:dyDescent="0.3">
      <c r="I18502" s="101"/>
    </row>
    <row r="18503" spans="9:9" x14ac:dyDescent="0.3">
      <c r="I18503" s="101"/>
    </row>
    <row r="18504" spans="9:9" x14ac:dyDescent="0.3">
      <c r="I18504" s="101"/>
    </row>
    <row r="18505" spans="9:9" x14ac:dyDescent="0.3">
      <c r="I18505" s="101"/>
    </row>
    <row r="18506" spans="9:9" x14ac:dyDescent="0.3">
      <c r="I18506" s="101"/>
    </row>
    <row r="18507" spans="9:9" x14ac:dyDescent="0.3">
      <c r="I18507" s="101"/>
    </row>
    <row r="18508" spans="9:9" x14ac:dyDescent="0.3">
      <c r="I18508" s="101"/>
    </row>
    <row r="18509" spans="9:9" x14ac:dyDescent="0.3">
      <c r="I18509" s="101"/>
    </row>
    <row r="18510" spans="9:9" x14ac:dyDescent="0.3">
      <c r="I18510" s="101"/>
    </row>
    <row r="18511" spans="9:9" x14ac:dyDescent="0.3">
      <c r="I18511" s="101"/>
    </row>
    <row r="18512" spans="9:9" x14ac:dyDescent="0.3">
      <c r="I18512" s="101"/>
    </row>
    <row r="18513" spans="9:9" x14ac:dyDescent="0.3">
      <c r="I18513" s="101"/>
    </row>
    <row r="18514" spans="9:9" x14ac:dyDescent="0.3">
      <c r="I18514" s="101"/>
    </row>
    <row r="18515" spans="9:9" x14ac:dyDescent="0.3">
      <c r="I18515" s="101"/>
    </row>
    <row r="18516" spans="9:9" x14ac:dyDescent="0.3">
      <c r="I18516" s="101"/>
    </row>
    <row r="18517" spans="9:9" x14ac:dyDescent="0.3">
      <c r="I18517" s="101"/>
    </row>
    <row r="18518" spans="9:9" x14ac:dyDescent="0.3">
      <c r="I18518" s="101"/>
    </row>
    <row r="18519" spans="9:9" x14ac:dyDescent="0.3">
      <c r="I18519" s="101"/>
    </row>
    <row r="18520" spans="9:9" x14ac:dyDescent="0.3">
      <c r="I18520" s="101"/>
    </row>
    <row r="18521" spans="9:9" x14ac:dyDescent="0.3">
      <c r="I18521" s="101"/>
    </row>
    <row r="18522" spans="9:9" x14ac:dyDescent="0.3">
      <c r="I18522" s="101"/>
    </row>
    <row r="18523" spans="9:9" x14ac:dyDescent="0.3">
      <c r="I18523" s="101"/>
    </row>
    <row r="18524" spans="9:9" x14ac:dyDescent="0.3">
      <c r="I18524" s="101"/>
    </row>
    <row r="18525" spans="9:9" x14ac:dyDescent="0.3">
      <c r="I18525" s="101"/>
    </row>
    <row r="18526" spans="9:9" x14ac:dyDescent="0.3">
      <c r="I18526" s="101"/>
    </row>
    <row r="18527" spans="9:9" x14ac:dyDescent="0.3">
      <c r="I18527" s="101"/>
    </row>
    <row r="18528" spans="9:9" x14ac:dyDescent="0.3">
      <c r="I18528" s="101"/>
    </row>
    <row r="18529" spans="9:9" x14ac:dyDescent="0.3">
      <c r="I18529" s="101"/>
    </row>
    <row r="18530" spans="9:9" x14ac:dyDescent="0.3">
      <c r="I18530" s="101"/>
    </row>
    <row r="18531" spans="9:9" x14ac:dyDescent="0.3">
      <c r="I18531" s="101"/>
    </row>
    <row r="18532" spans="9:9" x14ac:dyDescent="0.3">
      <c r="I18532" s="101"/>
    </row>
    <row r="18533" spans="9:9" x14ac:dyDescent="0.3">
      <c r="I18533" s="101"/>
    </row>
    <row r="18534" spans="9:9" x14ac:dyDescent="0.3">
      <c r="I18534" s="101"/>
    </row>
    <row r="18535" spans="9:9" x14ac:dyDescent="0.3">
      <c r="I18535" s="101"/>
    </row>
    <row r="18536" spans="9:9" x14ac:dyDescent="0.3">
      <c r="I18536" s="101"/>
    </row>
    <row r="18537" spans="9:9" x14ac:dyDescent="0.3">
      <c r="I18537" s="101"/>
    </row>
    <row r="18538" spans="9:9" x14ac:dyDescent="0.3">
      <c r="I18538" s="101"/>
    </row>
    <row r="18539" spans="9:9" x14ac:dyDescent="0.3">
      <c r="I18539" s="101"/>
    </row>
    <row r="18540" spans="9:9" x14ac:dyDescent="0.3">
      <c r="I18540" s="101"/>
    </row>
    <row r="18541" spans="9:9" x14ac:dyDescent="0.3">
      <c r="I18541" s="101"/>
    </row>
    <row r="18542" spans="9:9" x14ac:dyDescent="0.3">
      <c r="I18542" s="101"/>
    </row>
    <row r="18543" spans="9:9" x14ac:dyDescent="0.3">
      <c r="I18543" s="101"/>
    </row>
    <row r="18544" spans="9:9" x14ac:dyDescent="0.3">
      <c r="I18544" s="101"/>
    </row>
    <row r="18545" spans="9:9" x14ac:dyDescent="0.3">
      <c r="I18545" s="101"/>
    </row>
    <row r="18546" spans="9:9" x14ac:dyDescent="0.3">
      <c r="I18546" s="101"/>
    </row>
    <row r="18547" spans="9:9" x14ac:dyDescent="0.3">
      <c r="I18547" s="101"/>
    </row>
    <row r="18548" spans="9:9" x14ac:dyDescent="0.3">
      <c r="I18548" s="101"/>
    </row>
    <row r="18549" spans="9:9" x14ac:dyDescent="0.3">
      <c r="I18549" s="101"/>
    </row>
    <row r="18550" spans="9:9" x14ac:dyDescent="0.3">
      <c r="I18550" s="101"/>
    </row>
    <row r="18551" spans="9:9" x14ac:dyDescent="0.3">
      <c r="I18551" s="101"/>
    </row>
    <row r="18552" spans="9:9" x14ac:dyDescent="0.3">
      <c r="I18552" s="101"/>
    </row>
    <row r="18553" spans="9:9" x14ac:dyDescent="0.3">
      <c r="I18553" s="101"/>
    </row>
    <row r="18554" spans="9:9" x14ac:dyDescent="0.3">
      <c r="I18554" s="101"/>
    </row>
    <row r="18555" spans="9:9" x14ac:dyDescent="0.3">
      <c r="I18555" s="101"/>
    </row>
    <row r="18556" spans="9:9" x14ac:dyDescent="0.3">
      <c r="I18556" s="101"/>
    </row>
    <row r="18557" spans="9:9" x14ac:dyDescent="0.3">
      <c r="I18557" s="101"/>
    </row>
    <row r="18558" spans="9:9" x14ac:dyDescent="0.3">
      <c r="I18558" s="101"/>
    </row>
    <row r="18559" spans="9:9" x14ac:dyDescent="0.3">
      <c r="I18559" s="101"/>
    </row>
    <row r="18560" spans="9:9" x14ac:dyDescent="0.3">
      <c r="I18560" s="101"/>
    </row>
    <row r="18561" spans="9:9" x14ac:dyDescent="0.3">
      <c r="I18561" s="101"/>
    </row>
    <row r="18562" spans="9:9" x14ac:dyDescent="0.3">
      <c r="I18562" s="101"/>
    </row>
    <row r="18563" spans="9:9" x14ac:dyDescent="0.3">
      <c r="I18563" s="101"/>
    </row>
    <row r="18564" spans="9:9" x14ac:dyDescent="0.3">
      <c r="I18564" s="101"/>
    </row>
    <row r="18565" spans="9:9" x14ac:dyDescent="0.3">
      <c r="I18565" s="101"/>
    </row>
    <row r="18566" spans="9:9" x14ac:dyDescent="0.3">
      <c r="I18566" s="101"/>
    </row>
    <row r="18567" spans="9:9" x14ac:dyDescent="0.3">
      <c r="I18567" s="101"/>
    </row>
    <row r="18568" spans="9:9" x14ac:dyDescent="0.3">
      <c r="I18568" s="101"/>
    </row>
    <row r="18569" spans="9:9" x14ac:dyDescent="0.3">
      <c r="I18569" s="101"/>
    </row>
    <row r="18570" spans="9:9" x14ac:dyDescent="0.3">
      <c r="I18570" s="101"/>
    </row>
    <row r="18571" spans="9:9" x14ac:dyDescent="0.3">
      <c r="I18571" s="101"/>
    </row>
    <row r="18572" spans="9:9" x14ac:dyDescent="0.3">
      <c r="I18572" s="101"/>
    </row>
    <row r="18573" spans="9:9" x14ac:dyDescent="0.3">
      <c r="I18573" s="101"/>
    </row>
    <row r="18574" spans="9:9" x14ac:dyDescent="0.3">
      <c r="I18574" s="101"/>
    </row>
    <row r="18575" spans="9:9" x14ac:dyDescent="0.3">
      <c r="I18575" s="101"/>
    </row>
    <row r="18576" spans="9:9" x14ac:dyDescent="0.3">
      <c r="I18576" s="101"/>
    </row>
    <row r="18577" spans="9:9" x14ac:dyDescent="0.3">
      <c r="I18577" s="101"/>
    </row>
    <row r="18578" spans="9:9" x14ac:dyDescent="0.3">
      <c r="I18578" s="101"/>
    </row>
    <row r="18579" spans="9:9" x14ac:dyDescent="0.3">
      <c r="I18579" s="101"/>
    </row>
    <row r="18580" spans="9:9" x14ac:dyDescent="0.3">
      <c r="I18580" s="101"/>
    </row>
    <row r="18581" spans="9:9" x14ac:dyDescent="0.3">
      <c r="I18581" s="101"/>
    </row>
    <row r="18582" spans="9:9" x14ac:dyDescent="0.3">
      <c r="I18582" s="101"/>
    </row>
    <row r="18583" spans="9:9" x14ac:dyDescent="0.3">
      <c r="I18583" s="101"/>
    </row>
    <row r="18584" spans="9:9" x14ac:dyDescent="0.3">
      <c r="I18584" s="101"/>
    </row>
    <row r="18585" spans="9:9" x14ac:dyDescent="0.3">
      <c r="I18585" s="101"/>
    </row>
    <row r="18586" spans="9:9" x14ac:dyDescent="0.3">
      <c r="I18586" s="101"/>
    </row>
    <row r="18587" spans="9:9" x14ac:dyDescent="0.3">
      <c r="I18587" s="101"/>
    </row>
    <row r="18588" spans="9:9" x14ac:dyDescent="0.3">
      <c r="I18588" s="101"/>
    </row>
    <row r="18589" spans="9:9" x14ac:dyDescent="0.3">
      <c r="I18589" s="101"/>
    </row>
    <row r="18590" spans="9:9" x14ac:dyDescent="0.3">
      <c r="I18590" s="101"/>
    </row>
    <row r="18591" spans="9:9" x14ac:dyDescent="0.3">
      <c r="I18591" s="101"/>
    </row>
    <row r="18592" spans="9:9" x14ac:dyDescent="0.3">
      <c r="I18592" s="101"/>
    </row>
    <row r="18593" spans="9:9" x14ac:dyDescent="0.3">
      <c r="I18593" s="101"/>
    </row>
    <row r="18594" spans="9:9" x14ac:dyDescent="0.3">
      <c r="I18594" s="101"/>
    </row>
    <row r="18595" spans="9:9" x14ac:dyDescent="0.3">
      <c r="I18595" s="101"/>
    </row>
    <row r="18596" spans="9:9" x14ac:dyDescent="0.3">
      <c r="I18596" s="101"/>
    </row>
    <row r="18597" spans="9:9" x14ac:dyDescent="0.3">
      <c r="I18597" s="101"/>
    </row>
    <row r="18598" spans="9:9" x14ac:dyDescent="0.3">
      <c r="I18598" s="101"/>
    </row>
    <row r="18599" spans="9:9" x14ac:dyDescent="0.3">
      <c r="I18599" s="101"/>
    </row>
    <row r="18600" spans="9:9" x14ac:dyDescent="0.3">
      <c r="I18600" s="101"/>
    </row>
    <row r="18601" spans="9:9" x14ac:dyDescent="0.3">
      <c r="I18601" s="101"/>
    </row>
    <row r="18602" spans="9:9" x14ac:dyDescent="0.3">
      <c r="I18602" s="101"/>
    </row>
    <row r="18603" spans="9:9" x14ac:dyDescent="0.3">
      <c r="I18603" s="101"/>
    </row>
    <row r="18604" spans="9:9" x14ac:dyDescent="0.3">
      <c r="I18604" s="101"/>
    </row>
    <row r="18605" spans="9:9" x14ac:dyDescent="0.3">
      <c r="I18605" s="101"/>
    </row>
    <row r="18606" spans="9:9" x14ac:dyDescent="0.3">
      <c r="I18606" s="101"/>
    </row>
    <row r="18607" spans="9:9" x14ac:dyDescent="0.3">
      <c r="I18607" s="101"/>
    </row>
    <row r="18608" spans="9:9" x14ac:dyDescent="0.3">
      <c r="I18608" s="101"/>
    </row>
    <row r="18609" spans="9:9" x14ac:dyDescent="0.3">
      <c r="I18609" s="101"/>
    </row>
    <row r="18610" spans="9:9" x14ac:dyDescent="0.3">
      <c r="I18610" s="101"/>
    </row>
    <row r="18611" spans="9:9" x14ac:dyDescent="0.3">
      <c r="I18611" s="101"/>
    </row>
    <row r="18612" spans="9:9" x14ac:dyDescent="0.3">
      <c r="I18612" s="101"/>
    </row>
    <row r="18613" spans="9:9" x14ac:dyDescent="0.3">
      <c r="I18613" s="101"/>
    </row>
    <row r="18614" spans="9:9" x14ac:dyDescent="0.3">
      <c r="I18614" s="101"/>
    </row>
    <row r="18615" spans="9:9" x14ac:dyDescent="0.3">
      <c r="I18615" s="101"/>
    </row>
    <row r="18616" spans="9:9" x14ac:dyDescent="0.3">
      <c r="I18616" s="101"/>
    </row>
    <row r="18617" spans="9:9" x14ac:dyDescent="0.3">
      <c r="I18617" s="101"/>
    </row>
    <row r="18618" spans="9:9" x14ac:dyDescent="0.3">
      <c r="I18618" s="101"/>
    </row>
    <row r="18619" spans="9:9" x14ac:dyDescent="0.3">
      <c r="I18619" s="101"/>
    </row>
    <row r="18620" spans="9:9" x14ac:dyDescent="0.3">
      <c r="I18620" s="101"/>
    </row>
    <row r="18621" spans="9:9" x14ac:dyDescent="0.3">
      <c r="I18621" s="101"/>
    </row>
    <row r="18622" spans="9:9" x14ac:dyDescent="0.3">
      <c r="I18622" s="101"/>
    </row>
    <row r="18623" spans="9:9" x14ac:dyDescent="0.3">
      <c r="I18623" s="101"/>
    </row>
    <row r="18624" spans="9:9" x14ac:dyDescent="0.3">
      <c r="I18624" s="101"/>
    </row>
    <row r="18625" spans="9:9" x14ac:dyDescent="0.3">
      <c r="I18625" s="101"/>
    </row>
    <row r="18626" spans="9:9" x14ac:dyDescent="0.3">
      <c r="I18626" s="101"/>
    </row>
    <row r="18627" spans="9:9" x14ac:dyDescent="0.3">
      <c r="I18627" s="101"/>
    </row>
    <row r="18628" spans="9:9" x14ac:dyDescent="0.3">
      <c r="I18628" s="101"/>
    </row>
    <row r="18629" spans="9:9" x14ac:dyDescent="0.3">
      <c r="I18629" s="101"/>
    </row>
    <row r="18630" spans="9:9" x14ac:dyDescent="0.3">
      <c r="I18630" s="101"/>
    </row>
    <row r="18631" spans="9:9" x14ac:dyDescent="0.3">
      <c r="I18631" s="101"/>
    </row>
    <row r="18632" spans="9:9" x14ac:dyDescent="0.3">
      <c r="I18632" s="101"/>
    </row>
    <row r="18633" spans="9:9" x14ac:dyDescent="0.3">
      <c r="I18633" s="101"/>
    </row>
    <row r="18634" spans="9:9" x14ac:dyDescent="0.3">
      <c r="I18634" s="101"/>
    </row>
    <row r="18635" spans="9:9" x14ac:dyDescent="0.3">
      <c r="I18635" s="101"/>
    </row>
    <row r="18636" spans="9:9" x14ac:dyDescent="0.3">
      <c r="I18636" s="101"/>
    </row>
    <row r="18637" spans="9:9" x14ac:dyDescent="0.3">
      <c r="I18637" s="101"/>
    </row>
    <row r="18638" spans="9:9" x14ac:dyDescent="0.3">
      <c r="I18638" s="101"/>
    </row>
    <row r="18639" spans="9:9" x14ac:dyDescent="0.3">
      <c r="I18639" s="101"/>
    </row>
    <row r="18640" spans="9:9" x14ac:dyDescent="0.3">
      <c r="I18640" s="101"/>
    </row>
    <row r="18641" spans="9:9" x14ac:dyDescent="0.3">
      <c r="I18641" s="101"/>
    </row>
    <row r="18642" spans="9:9" x14ac:dyDescent="0.3">
      <c r="I18642" s="101"/>
    </row>
    <row r="18643" spans="9:9" x14ac:dyDescent="0.3">
      <c r="I18643" s="101"/>
    </row>
    <row r="18644" spans="9:9" x14ac:dyDescent="0.3">
      <c r="I18644" s="101"/>
    </row>
    <row r="18645" spans="9:9" x14ac:dyDescent="0.3">
      <c r="I18645" s="101"/>
    </row>
    <row r="18646" spans="9:9" x14ac:dyDescent="0.3">
      <c r="I18646" s="101"/>
    </row>
    <row r="18647" spans="9:9" x14ac:dyDescent="0.3">
      <c r="I18647" s="101"/>
    </row>
    <row r="18648" spans="9:9" x14ac:dyDescent="0.3">
      <c r="I18648" s="101"/>
    </row>
    <row r="18649" spans="9:9" x14ac:dyDescent="0.3">
      <c r="I18649" s="101"/>
    </row>
    <row r="18650" spans="9:9" x14ac:dyDescent="0.3">
      <c r="I18650" s="101"/>
    </row>
    <row r="18651" spans="9:9" x14ac:dyDescent="0.3">
      <c r="I18651" s="101"/>
    </row>
    <row r="18652" spans="9:9" x14ac:dyDescent="0.3">
      <c r="I18652" s="101"/>
    </row>
    <row r="18653" spans="9:9" x14ac:dyDescent="0.3">
      <c r="I18653" s="101"/>
    </row>
    <row r="18654" spans="9:9" x14ac:dyDescent="0.3">
      <c r="I18654" s="101"/>
    </row>
    <row r="18655" spans="9:9" x14ac:dyDescent="0.3">
      <c r="I18655" s="101"/>
    </row>
    <row r="18656" spans="9:9" x14ac:dyDescent="0.3">
      <c r="I18656" s="101"/>
    </row>
    <row r="18657" spans="9:9" x14ac:dyDescent="0.3">
      <c r="I18657" s="101"/>
    </row>
    <row r="18658" spans="9:9" x14ac:dyDescent="0.3">
      <c r="I18658" s="101"/>
    </row>
    <row r="18659" spans="9:9" x14ac:dyDescent="0.3">
      <c r="I18659" s="101"/>
    </row>
    <row r="18660" spans="9:9" x14ac:dyDescent="0.3">
      <c r="I18660" s="101"/>
    </row>
    <row r="18661" spans="9:9" x14ac:dyDescent="0.3">
      <c r="I18661" s="101"/>
    </row>
    <row r="18662" spans="9:9" x14ac:dyDescent="0.3">
      <c r="I18662" s="101"/>
    </row>
    <row r="18663" spans="9:9" x14ac:dyDescent="0.3">
      <c r="I18663" s="101"/>
    </row>
    <row r="18664" spans="9:9" x14ac:dyDescent="0.3">
      <c r="I18664" s="101"/>
    </row>
    <row r="18665" spans="9:9" x14ac:dyDescent="0.3">
      <c r="I18665" s="101"/>
    </row>
    <row r="18666" spans="9:9" x14ac:dyDescent="0.3">
      <c r="I18666" s="101"/>
    </row>
    <row r="18667" spans="9:9" x14ac:dyDescent="0.3">
      <c r="I18667" s="101"/>
    </row>
    <row r="18668" spans="9:9" x14ac:dyDescent="0.3">
      <c r="I18668" s="101"/>
    </row>
    <row r="18669" spans="9:9" x14ac:dyDescent="0.3">
      <c r="I18669" s="101"/>
    </row>
    <row r="18670" spans="9:9" x14ac:dyDescent="0.3">
      <c r="I18670" s="101"/>
    </row>
    <row r="18671" spans="9:9" x14ac:dyDescent="0.3">
      <c r="I18671" s="101"/>
    </row>
    <row r="18672" spans="9:9" x14ac:dyDescent="0.3">
      <c r="I18672" s="101"/>
    </row>
    <row r="18673" spans="9:9" x14ac:dyDescent="0.3">
      <c r="I18673" s="101"/>
    </row>
    <row r="18674" spans="9:9" x14ac:dyDescent="0.3">
      <c r="I18674" s="101"/>
    </row>
    <row r="18675" spans="9:9" x14ac:dyDescent="0.3">
      <c r="I18675" s="101"/>
    </row>
    <row r="18676" spans="9:9" x14ac:dyDescent="0.3">
      <c r="I18676" s="101"/>
    </row>
    <row r="18677" spans="9:9" x14ac:dyDescent="0.3">
      <c r="I18677" s="101"/>
    </row>
    <row r="18678" spans="9:9" x14ac:dyDescent="0.3">
      <c r="I18678" s="101"/>
    </row>
    <row r="18679" spans="9:9" x14ac:dyDescent="0.3">
      <c r="I18679" s="101"/>
    </row>
    <row r="18680" spans="9:9" x14ac:dyDescent="0.3">
      <c r="I18680" s="101"/>
    </row>
    <row r="18681" spans="9:9" x14ac:dyDescent="0.3">
      <c r="I18681" s="101"/>
    </row>
    <row r="18682" spans="9:9" x14ac:dyDescent="0.3">
      <c r="I18682" s="101"/>
    </row>
    <row r="18683" spans="9:9" x14ac:dyDescent="0.3">
      <c r="I18683" s="101"/>
    </row>
    <row r="18684" spans="9:9" x14ac:dyDescent="0.3">
      <c r="I18684" s="101"/>
    </row>
    <row r="18685" spans="9:9" x14ac:dyDescent="0.3">
      <c r="I18685" s="101"/>
    </row>
    <row r="18686" spans="9:9" x14ac:dyDescent="0.3">
      <c r="I18686" s="101"/>
    </row>
    <row r="18687" spans="9:9" x14ac:dyDescent="0.3">
      <c r="I18687" s="101"/>
    </row>
    <row r="18688" spans="9:9" x14ac:dyDescent="0.3">
      <c r="I18688" s="101"/>
    </row>
    <row r="18689" spans="9:9" x14ac:dyDescent="0.3">
      <c r="I18689" s="101"/>
    </row>
    <row r="18690" spans="9:9" x14ac:dyDescent="0.3">
      <c r="I18690" s="101"/>
    </row>
    <row r="18691" spans="9:9" x14ac:dyDescent="0.3">
      <c r="I18691" s="101"/>
    </row>
    <row r="18692" spans="9:9" x14ac:dyDescent="0.3">
      <c r="I18692" s="101"/>
    </row>
    <row r="18693" spans="9:9" x14ac:dyDescent="0.3">
      <c r="I18693" s="101"/>
    </row>
    <row r="18694" spans="9:9" x14ac:dyDescent="0.3">
      <c r="I18694" s="101"/>
    </row>
    <row r="18695" spans="9:9" x14ac:dyDescent="0.3">
      <c r="I18695" s="101"/>
    </row>
    <row r="18696" spans="9:9" x14ac:dyDescent="0.3">
      <c r="I18696" s="101"/>
    </row>
    <row r="18697" spans="9:9" x14ac:dyDescent="0.3">
      <c r="I18697" s="101"/>
    </row>
    <row r="18698" spans="9:9" x14ac:dyDescent="0.3">
      <c r="I18698" s="101"/>
    </row>
    <row r="18699" spans="9:9" x14ac:dyDescent="0.3">
      <c r="I18699" s="101"/>
    </row>
    <row r="18700" spans="9:9" x14ac:dyDescent="0.3">
      <c r="I18700" s="101"/>
    </row>
    <row r="18701" spans="9:9" x14ac:dyDescent="0.3">
      <c r="I18701" s="101"/>
    </row>
    <row r="18702" spans="9:9" x14ac:dyDescent="0.3">
      <c r="I18702" s="101"/>
    </row>
    <row r="18703" spans="9:9" x14ac:dyDescent="0.3">
      <c r="I18703" s="101"/>
    </row>
    <row r="18704" spans="9:9" x14ac:dyDescent="0.3">
      <c r="I18704" s="101"/>
    </row>
    <row r="18705" spans="9:9" x14ac:dyDescent="0.3">
      <c r="I18705" s="101"/>
    </row>
    <row r="18706" spans="9:9" x14ac:dyDescent="0.3">
      <c r="I18706" s="101"/>
    </row>
    <row r="18707" spans="9:9" x14ac:dyDescent="0.3">
      <c r="I18707" s="101"/>
    </row>
    <row r="18708" spans="9:9" x14ac:dyDescent="0.3">
      <c r="I18708" s="101"/>
    </row>
    <row r="18709" spans="9:9" x14ac:dyDescent="0.3">
      <c r="I18709" s="101"/>
    </row>
    <row r="18710" spans="9:9" x14ac:dyDescent="0.3">
      <c r="I18710" s="101"/>
    </row>
    <row r="18711" spans="9:9" x14ac:dyDescent="0.3">
      <c r="I18711" s="101"/>
    </row>
    <row r="18712" spans="9:9" x14ac:dyDescent="0.3">
      <c r="I18712" s="101"/>
    </row>
    <row r="18713" spans="9:9" x14ac:dyDescent="0.3">
      <c r="I18713" s="101"/>
    </row>
    <row r="18714" spans="9:9" x14ac:dyDescent="0.3">
      <c r="I18714" s="101"/>
    </row>
    <row r="18715" spans="9:9" x14ac:dyDescent="0.3">
      <c r="I18715" s="101"/>
    </row>
    <row r="18716" spans="9:9" x14ac:dyDescent="0.3">
      <c r="I18716" s="101"/>
    </row>
    <row r="18717" spans="9:9" x14ac:dyDescent="0.3">
      <c r="I18717" s="101"/>
    </row>
    <row r="18718" spans="9:9" x14ac:dyDescent="0.3">
      <c r="I18718" s="101"/>
    </row>
    <row r="18719" spans="9:9" x14ac:dyDescent="0.3">
      <c r="I18719" s="101"/>
    </row>
    <row r="18720" spans="9:9" x14ac:dyDescent="0.3">
      <c r="I18720" s="101"/>
    </row>
    <row r="18721" spans="9:9" x14ac:dyDescent="0.3">
      <c r="I18721" s="101"/>
    </row>
    <row r="18722" spans="9:9" x14ac:dyDescent="0.3">
      <c r="I18722" s="101"/>
    </row>
    <row r="18723" spans="9:9" x14ac:dyDescent="0.3">
      <c r="I18723" s="101"/>
    </row>
    <row r="18724" spans="9:9" x14ac:dyDescent="0.3">
      <c r="I18724" s="101"/>
    </row>
    <row r="18725" spans="9:9" x14ac:dyDescent="0.3">
      <c r="I18725" s="101"/>
    </row>
    <row r="18726" spans="9:9" x14ac:dyDescent="0.3">
      <c r="I18726" s="101"/>
    </row>
    <row r="18727" spans="9:9" x14ac:dyDescent="0.3">
      <c r="I18727" s="101"/>
    </row>
    <row r="18728" spans="9:9" x14ac:dyDescent="0.3">
      <c r="I18728" s="101"/>
    </row>
    <row r="18729" spans="9:9" x14ac:dyDescent="0.3">
      <c r="I18729" s="101"/>
    </row>
    <row r="18730" spans="9:9" x14ac:dyDescent="0.3">
      <c r="I18730" s="101"/>
    </row>
    <row r="18731" spans="9:9" x14ac:dyDescent="0.3">
      <c r="I18731" s="101"/>
    </row>
    <row r="18732" spans="9:9" x14ac:dyDescent="0.3">
      <c r="I18732" s="101"/>
    </row>
    <row r="18733" spans="9:9" x14ac:dyDescent="0.3">
      <c r="I18733" s="101"/>
    </row>
    <row r="18734" spans="9:9" x14ac:dyDescent="0.3">
      <c r="I18734" s="101"/>
    </row>
    <row r="18735" spans="9:9" x14ac:dyDescent="0.3">
      <c r="I18735" s="101"/>
    </row>
    <row r="18736" spans="9:9" x14ac:dyDescent="0.3">
      <c r="I18736" s="101"/>
    </row>
    <row r="18737" spans="9:9" x14ac:dyDescent="0.3">
      <c r="I18737" s="101"/>
    </row>
    <row r="18738" spans="9:9" x14ac:dyDescent="0.3">
      <c r="I18738" s="101"/>
    </row>
    <row r="18739" spans="9:9" x14ac:dyDescent="0.3">
      <c r="I18739" s="101"/>
    </row>
    <row r="18740" spans="9:9" x14ac:dyDescent="0.3">
      <c r="I18740" s="101"/>
    </row>
    <row r="18741" spans="9:9" x14ac:dyDescent="0.3">
      <c r="I18741" s="101"/>
    </row>
    <row r="18742" spans="9:9" x14ac:dyDescent="0.3">
      <c r="I18742" s="101"/>
    </row>
    <row r="18743" spans="9:9" x14ac:dyDescent="0.3">
      <c r="I18743" s="101"/>
    </row>
    <row r="18744" spans="9:9" x14ac:dyDescent="0.3">
      <c r="I18744" s="101"/>
    </row>
    <row r="18745" spans="9:9" x14ac:dyDescent="0.3">
      <c r="I18745" s="101"/>
    </row>
    <row r="18746" spans="9:9" x14ac:dyDescent="0.3">
      <c r="I18746" s="101"/>
    </row>
    <row r="18747" spans="9:9" x14ac:dyDescent="0.3">
      <c r="I18747" s="101"/>
    </row>
    <row r="18748" spans="9:9" x14ac:dyDescent="0.3">
      <c r="I18748" s="101"/>
    </row>
    <row r="18749" spans="9:9" x14ac:dyDescent="0.3">
      <c r="I18749" s="101"/>
    </row>
    <row r="18750" spans="9:9" x14ac:dyDescent="0.3">
      <c r="I18750" s="101"/>
    </row>
    <row r="18751" spans="9:9" x14ac:dyDescent="0.3">
      <c r="I18751" s="101"/>
    </row>
    <row r="18752" spans="9:9" x14ac:dyDescent="0.3">
      <c r="I18752" s="101"/>
    </row>
    <row r="18753" spans="9:9" x14ac:dyDescent="0.3">
      <c r="I18753" s="101"/>
    </row>
    <row r="18754" spans="9:9" x14ac:dyDescent="0.3">
      <c r="I18754" s="101"/>
    </row>
    <row r="18755" spans="9:9" x14ac:dyDescent="0.3">
      <c r="I18755" s="101"/>
    </row>
    <row r="18756" spans="9:9" x14ac:dyDescent="0.3">
      <c r="I18756" s="101"/>
    </row>
    <row r="18757" spans="9:9" x14ac:dyDescent="0.3">
      <c r="I18757" s="101"/>
    </row>
    <row r="18758" spans="9:9" x14ac:dyDescent="0.3">
      <c r="I18758" s="101"/>
    </row>
    <row r="18759" spans="9:9" x14ac:dyDescent="0.3">
      <c r="I18759" s="101"/>
    </row>
    <row r="18760" spans="9:9" x14ac:dyDescent="0.3">
      <c r="I18760" s="101"/>
    </row>
    <row r="18761" spans="9:9" x14ac:dyDescent="0.3">
      <c r="I18761" s="101"/>
    </row>
    <row r="18762" spans="9:9" x14ac:dyDescent="0.3">
      <c r="I18762" s="101"/>
    </row>
    <row r="18763" spans="9:9" x14ac:dyDescent="0.3">
      <c r="I18763" s="101"/>
    </row>
    <row r="18764" spans="9:9" x14ac:dyDescent="0.3">
      <c r="I18764" s="101"/>
    </row>
    <row r="18765" spans="9:9" x14ac:dyDescent="0.3">
      <c r="I18765" s="101"/>
    </row>
    <row r="18766" spans="9:9" x14ac:dyDescent="0.3">
      <c r="I18766" s="101"/>
    </row>
    <row r="18767" spans="9:9" x14ac:dyDescent="0.3">
      <c r="I18767" s="101"/>
    </row>
    <row r="18768" spans="9:9" x14ac:dyDescent="0.3">
      <c r="I18768" s="101"/>
    </row>
    <row r="18769" spans="9:9" x14ac:dyDescent="0.3">
      <c r="I18769" s="101"/>
    </row>
    <row r="18770" spans="9:9" x14ac:dyDescent="0.3">
      <c r="I18770" s="101"/>
    </row>
    <row r="18771" spans="9:9" x14ac:dyDescent="0.3">
      <c r="I18771" s="101"/>
    </row>
    <row r="18772" spans="9:9" x14ac:dyDescent="0.3">
      <c r="I18772" s="101"/>
    </row>
    <row r="18773" spans="9:9" x14ac:dyDescent="0.3">
      <c r="I18773" s="101"/>
    </row>
    <row r="18774" spans="9:9" x14ac:dyDescent="0.3">
      <c r="I18774" s="101"/>
    </row>
    <row r="18775" spans="9:9" x14ac:dyDescent="0.3">
      <c r="I18775" s="101"/>
    </row>
    <row r="18776" spans="9:9" x14ac:dyDescent="0.3">
      <c r="I18776" s="101"/>
    </row>
    <row r="18777" spans="9:9" x14ac:dyDescent="0.3">
      <c r="I18777" s="101"/>
    </row>
    <row r="18778" spans="9:9" x14ac:dyDescent="0.3">
      <c r="I18778" s="101"/>
    </row>
    <row r="18779" spans="9:9" x14ac:dyDescent="0.3">
      <c r="I18779" s="101"/>
    </row>
    <row r="18780" spans="9:9" x14ac:dyDescent="0.3">
      <c r="I18780" s="101"/>
    </row>
    <row r="18781" spans="9:9" x14ac:dyDescent="0.3">
      <c r="I18781" s="101"/>
    </row>
    <row r="18782" spans="9:9" x14ac:dyDescent="0.3">
      <c r="I18782" s="101"/>
    </row>
    <row r="18783" spans="9:9" x14ac:dyDescent="0.3">
      <c r="I18783" s="101"/>
    </row>
    <row r="18784" spans="9:9" x14ac:dyDescent="0.3">
      <c r="I18784" s="101"/>
    </row>
    <row r="18785" spans="9:9" x14ac:dyDescent="0.3">
      <c r="I18785" s="101"/>
    </row>
    <row r="18786" spans="9:9" x14ac:dyDescent="0.3">
      <c r="I18786" s="101"/>
    </row>
    <row r="18787" spans="9:9" x14ac:dyDescent="0.3">
      <c r="I18787" s="101"/>
    </row>
    <row r="18788" spans="9:9" x14ac:dyDescent="0.3">
      <c r="I18788" s="101"/>
    </row>
    <row r="18789" spans="9:9" x14ac:dyDescent="0.3">
      <c r="I18789" s="101"/>
    </row>
    <row r="18790" spans="9:9" x14ac:dyDescent="0.3">
      <c r="I18790" s="101"/>
    </row>
    <row r="18791" spans="9:9" x14ac:dyDescent="0.3">
      <c r="I18791" s="101"/>
    </row>
    <row r="18792" spans="9:9" x14ac:dyDescent="0.3">
      <c r="I18792" s="101"/>
    </row>
    <row r="18793" spans="9:9" x14ac:dyDescent="0.3">
      <c r="I18793" s="101"/>
    </row>
    <row r="18794" spans="9:9" x14ac:dyDescent="0.3">
      <c r="I18794" s="101"/>
    </row>
    <row r="18795" spans="9:9" x14ac:dyDescent="0.3">
      <c r="I18795" s="101"/>
    </row>
    <row r="18796" spans="9:9" x14ac:dyDescent="0.3">
      <c r="I18796" s="101"/>
    </row>
    <row r="18797" spans="9:9" x14ac:dyDescent="0.3">
      <c r="I18797" s="101"/>
    </row>
    <row r="18798" spans="9:9" x14ac:dyDescent="0.3">
      <c r="I18798" s="101"/>
    </row>
    <row r="18799" spans="9:9" x14ac:dyDescent="0.3">
      <c r="I18799" s="101"/>
    </row>
    <row r="18800" spans="9:9" x14ac:dyDescent="0.3">
      <c r="I18800" s="101"/>
    </row>
    <row r="18801" spans="9:9" x14ac:dyDescent="0.3">
      <c r="I18801" s="101"/>
    </row>
    <row r="18802" spans="9:9" x14ac:dyDescent="0.3">
      <c r="I18802" s="101"/>
    </row>
    <row r="18803" spans="9:9" x14ac:dyDescent="0.3">
      <c r="I18803" s="101"/>
    </row>
    <row r="18804" spans="9:9" x14ac:dyDescent="0.3">
      <c r="I18804" s="101"/>
    </row>
    <row r="18805" spans="9:9" x14ac:dyDescent="0.3">
      <c r="I18805" s="101"/>
    </row>
    <row r="18806" spans="9:9" x14ac:dyDescent="0.3">
      <c r="I18806" s="101"/>
    </row>
    <row r="18807" spans="9:9" x14ac:dyDescent="0.3">
      <c r="I18807" s="101"/>
    </row>
    <row r="18808" spans="9:9" x14ac:dyDescent="0.3">
      <c r="I18808" s="101"/>
    </row>
    <row r="18809" spans="9:9" x14ac:dyDescent="0.3">
      <c r="I18809" s="101"/>
    </row>
    <row r="18810" spans="9:9" x14ac:dyDescent="0.3">
      <c r="I18810" s="101"/>
    </row>
    <row r="18811" spans="9:9" x14ac:dyDescent="0.3">
      <c r="I18811" s="101"/>
    </row>
    <row r="18812" spans="9:9" x14ac:dyDescent="0.3">
      <c r="I18812" s="101"/>
    </row>
    <row r="18813" spans="9:9" x14ac:dyDescent="0.3">
      <c r="I18813" s="101"/>
    </row>
    <row r="18814" spans="9:9" x14ac:dyDescent="0.3">
      <c r="I18814" s="101"/>
    </row>
    <row r="18815" spans="9:9" x14ac:dyDescent="0.3">
      <c r="I18815" s="101"/>
    </row>
    <row r="18816" spans="9:9" x14ac:dyDescent="0.3">
      <c r="I18816" s="101"/>
    </row>
    <row r="18817" spans="9:9" x14ac:dyDescent="0.3">
      <c r="I18817" s="101"/>
    </row>
    <row r="18818" spans="9:9" x14ac:dyDescent="0.3">
      <c r="I18818" s="101"/>
    </row>
    <row r="18819" spans="9:9" x14ac:dyDescent="0.3">
      <c r="I18819" s="101"/>
    </row>
    <row r="18820" spans="9:9" x14ac:dyDescent="0.3">
      <c r="I18820" s="101"/>
    </row>
    <row r="18821" spans="9:9" x14ac:dyDescent="0.3">
      <c r="I18821" s="101"/>
    </row>
    <row r="18822" spans="9:9" x14ac:dyDescent="0.3">
      <c r="I18822" s="101"/>
    </row>
    <row r="18823" spans="9:9" x14ac:dyDescent="0.3">
      <c r="I18823" s="101"/>
    </row>
    <row r="18824" spans="9:9" x14ac:dyDescent="0.3">
      <c r="I18824" s="101"/>
    </row>
    <row r="18825" spans="9:9" x14ac:dyDescent="0.3">
      <c r="I18825" s="101"/>
    </row>
    <row r="18826" spans="9:9" x14ac:dyDescent="0.3">
      <c r="I18826" s="101"/>
    </row>
    <row r="18827" spans="9:9" x14ac:dyDescent="0.3">
      <c r="I18827" s="101"/>
    </row>
    <row r="18828" spans="9:9" x14ac:dyDescent="0.3">
      <c r="I18828" s="101"/>
    </row>
    <row r="18829" spans="9:9" x14ac:dyDescent="0.3">
      <c r="I18829" s="101"/>
    </row>
    <row r="18830" spans="9:9" x14ac:dyDescent="0.3">
      <c r="I18830" s="101"/>
    </row>
    <row r="18831" spans="9:9" x14ac:dyDescent="0.3">
      <c r="I18831" s="101"/>
    </row>
    <row r="18832" spans="9:9" x14ac:dyDescent="0.3">
      <c r="I18832" s="101"/>
    </row>
    <row r="18833" spans="9:9" x14ac:dyDescent="0.3">
      <c r="I18833" s="101"/>
    </row>
    <row r="18834" spans="9:9" x14ac:dyDescent="0.3">
      <c r="I18834" s="101"/>
    </row>
    <row r="18835" spans="9:9" x14ac:dyDescent="0.3">
      <c r="I18835" s="101"/>
    </row>
    <row r="18836" spans="9:9" x14ac:dyDescent="0.3">
      <c r="I18836" s="101"/>
    </row>
    <row r="18837" spans="9:9" x14ac:dyDescent="0.3">
      <c r="I18837" s="101"/>
    </row>
    <row r="18838" spans="9:9" x14ac:dyDescent="0.3">
      <c r="I18838" s="101"/>
    </row>
    <row r="18839" spans="9:9" x14ac:dyDescent="0.3">
      <c r="I18839" s="101"/>
    </row>
    <row r="18840" spans="9:9" x14ac:dyDescent="0.3">
      <c r="I18840" s="101"/>
    </row>
    <row r="18841" spans="9:9" x14ac:dyDescent="0.3">
      <c r="I18841" s="101"/>
    </row>
    <row r="18842" spans="9:9" x14ac:dyDescent="0.3">
      <c r="I18842" s="101"/>
    </row>
    <row r="18843" spans="9:9" x14ac:dyDescent="0.3">
      <c r="I18843" s="101"/>
    </row>
    <row r="18844" spans="9:9" x14ac:dyDescent="0.3">
      <c r="I18844" s="101"/>
    </row>
    <row r="18845" spans="9:9" x14ac:dyDescent="0.3">
      <c r="I18845" s="101"/>
    </row>
    <row r="18846" spans="9:9" x14ac:dyDescent="0.3">
      <c r="I18846" s="101"/>
    </row>
    <row r="18847" spans="9:9" x14ac:dyDescent="0.3">
      <c r="I18847" s="101"/>
    </row>
    <row r="18848" spans="9:9" x14ac:dyDescent="0.3">
      <c r="I18848" s="101"/>
    </row>
    <row r="18849" spans="9:9" x14ac:dyDescent="0.3">
      <c r="I18849" s="101"/>
    </row>
    <row r="18850" spans="9:9" x14ac:dyDescent="0.3">
      <c r="I18850" s="101"/>
    </row>
    <row r="18851" spans="9:9" x14ac:dyDescent="0.3">
      <c r="I18851" s="101"/>
    </row>
    <row r="18852" spans="9:9" x14ac:dyDescent="0.3">
      <c r="I18852" s="101"/>
    </row>
    <row r="18853" spans="9:9" x14ac:dyDescent="0.3">
      <c r="I18853" s="101"/>
    </row>
    <row r="18854" spans="9:9" x14ac:dyDescent="0.3">
      <c r="I18854" s="101"/>
    </row>
    <row r="18855" spans="9:9" x14ac:dyDescent="0.3">
      <c r="I18855" s="101"/>
    </row>
    <row r="18856" spans="9:9" x14ac:dyDescent="0.3">
      <c r="I18856" s="101"/>
    </row>
    <row r="18857" spans="9:9" x14ac:dyDescent="0.3">
      <c r="I18857" s="101"/>
    </row>
    <row r="18858" spans="9:9" x14ac:dyDescent="0.3">
      <c r="I18858" s="101"/>
    </row>
    <row r="18859" spans="9:9" x14ac:dyDescent="0.3">
      <c r="I18859" s="101"/>
    </row>
    <row r="18860" spans="9:9" x14ac:dyDescent="0.3">
      <c r="I18860" s="101"/>
    </row>
    <row r="18861" spans="9:9" x14ac:dyDescent="0.3">
      <c r="I18861" s="101"/>
    </row>
    <row r="18862" spans="9:9" x14ac:dyDescent="0.3">
      <c r="I18862" s="101"/>
    </row>
    <row r="18863" spans="9:9" x14ac:dyDescent="0.3">
      <c r="I18863" s="101"/>
    </row>
    <row r="18864" spans="9:9" x14ac:dyDescent="0.3">
      <c r="I18864" s="101"/>
    </row>
    <row r="18865" spans="9:9" x14ac:dyDescent="0.3">
      <c r="I18865" s="101"/>
    </row>
    <row r="18866" spans="9:9" x14ac:dyDescent="0.3">
      <c r="I18866" s="101"/>
    </row>
    <row r="18867" spans="9:9" x14ac:dyDescent="0.3">
      <c r="I18867" s="101"/>
    </row>
    <row r="18868" spans="9:9" x14ac:dyDescent="0.3">
      <c r="I18868" s="101"/>
    </row>
    <row r="18869" spans="9:9" x14ac:dyDescent="0.3">
      <c r="I18869" s="101"/>
    </row>
    <row r="18870" spans="9:9" x14ac:dyDescent="0.3">
      <c r="I18870" s="101"/>
    </row>
    <row r="18871" spans="9:9" x14ac:dyDescent="0.3">
      <c r="I18871" s="101"/>
    </row>
    <row r="18872" spans="9:9" x14ac:dyDescent="0.3">
      <c r="I18872" s="101"/>
    </row>
    <row r="18873" spans="9:9" x14ac:dyDescent="0.3">
      <c r="I18873" s="101"/>
    </row>
    <row r="18874" spans="9:9" x14ac:dyDescent="0.3">
      <c r="I18874" s="101"/>
    </row>
    <row r="18875" spans="9:9" x14ac:dyDescent="0.3">
      <c r="I18875" s="101"/>
    </row>
    <row r="18876" spans="9:9" x14ac:dyDescent="0.3">
      <c r="I18876" s="101"/>
    </row>
    <row r="18877" spans="9:9" x14ac:dyDescent="0.3">
      <c r="I18877" s="101"/>
    </row>
    <row r="18878" spans="9:9" x14ac:dyDescent="0.3">
      <c r="I18878" s="101"/>
    </row>
    <row r="18879" spans="9:9" x14ac:dyDescent="0.3">
      <c r="I18879" s="101"/>
    </row>
    <row r="18880" spans="9:9" x14ac:dyDescent="0.3">
      <c r="I18880" s="101"/>
    </row>
    <row r="18881" spans="9:9" x14ac:dyDescent="0.3">
      <c r="I18881" s="101"/>
    </row>
    <row r="18882" spans="9:9" x14ac:dyDescent="0.3">
      <c r="I18882" s="101"/>
    </row>
    <row r="18883" spans="9:9" x14ac:dyDescent="0.3">
      <c r="I18883" s="101"/>
    </row>
    <row r="18884" spans="9:9" x14ac:dyDescent="0.3">
      <c r="I18884" s="101"/>
    </row>
    <row r="18885" spans="9:9" x14ac:dyDescent="0.3">
      <c r="I18885" s="101"/>
    </row>
    <row r="18886" spans="9:9" x14ac:dyDescent="0.3">
      <c r="I18886" s="101"/>
    </row>
    <row r="18887" spans="9:9" x14ac:dyDescent="0.3">
      <c r="I18887" s="101"/>
    </row>
    <row r="18888" spans="9:9" x14ac:dyDescent="0.3">
      <c r="I18888" s="101"/>
    </row>
    <row r="18889" spans="9:9" x14ac:dyDescent="0.3">
      <c r="I18889" s="101"/>
    </row>
    <row r="18890" spans="9:9" x14ac:dyDescent="0.3">
      <c r="I18890" s="101"/>
    </row>
    <row r="18891" spans="9:9" x14ac:dyDescent="0.3">
      <c r="I18891" s="101"/>
    </row>
    <row r="18892" spans="9:9" x14ac:dyDescent="0.3">
      <c r="I18892" s="101"/>
    </row>
    <row r="18893" spans="9:9" x14ac:dyDescent="0.3">
      <c r="I18893" s="101"/>
    </row>
    <row r="18894" spans="9:9" x14ac:dyDescent="0.3">
      <c r="I18894" s="101"/>
    </row>
    <row r="18895" spans="9:9" x14ac:dyDescent="0.3">
      <c r="I18895" s="101"/>
    </row>
    <row r="18896" spans="9:9" x14ac:dyDescent="0.3">
      <c r="I18896" s="101"/>
    </row>
    <row r="18897" spans="9:9" x14ac:dyDescent="0.3">
      <c r="I18897" s="101"/>
    </row>
    <row r="18898" spans="9:9" x14ac:dyDescent="0.3">
      <c r="I18898" s="101"/>
    </row>
    <row r="18899" spans="9:9" x14ac:dyDescent="0.3">
      <c r="I18899" s="101"/>
    </row>
    <row r="18900" spans="9:9" x14ac:dyDescent="0.3">
      <c r="I18900" s="101"/>
    </row>
    <row r="18901" spans="9:9" x14ac:dyDescent="0.3">
      <c r="I18901" s="101"/>
    </row>
    <row r="18902" spans="9:9" x14ac:dyDescent="0.3">
      <c r="I18902" s="101"/>
    </row>
    <row r="18903" spans="9:9" x14ac:dyDescent="0.3">
      <c r="I18903" s="101"/>
    </row>
    <row r="18904" spans="9:9" x14ac:dyDescent="0.3">
      <c r="I18904" s="101"/>
    </row>
    <row r="18905" spans="9:9" x14ac:dyDescent="0.3">
      <c r="I18905" s="101"/>
    </row>
    <row r="18906" spans="9:9" x14ac:dyDescent="0.3">
      <c r="I18906" s="101"/>
    </row>
    <row r="18907" spans="9:9" x14ac:dyDescent="0.3">
      <c r="I18907" s="101"/>
    </row>
    <row r="18908" spans="9:9" x14ac:dyDescent="0.3">
      <c r="I18908" s="101"/>
    </row>
    <row r="18909" spans="9:9" x14ac:dyDescent="0.3">
      <c r="I18909" s="101"/>
    </row>
    <row r="18910" spans="9:9" x14ac:dyDescent="0.3">
      <c r="I18910" s="101"/>
    </row>
    <row r="18911" spans="9:9" x14ac:dyDescent="0.3">
      <c r="I18911" s="101"/>
    </row>
    <row r="18912" spans="9:9" x14ac:dyDescent="0.3">
      <c r="I18912" s="101"/>
    </row>
    <row r="18913" spans="9:9" x14ac:dyDescent="0.3">
      <c r="I18913" s="101"/>
    </row>
    <row r="18914" spans="9:9" x14ac:dyDescent="0.3">
      <c r="I18914" s="101"/>
    </row>
    <row r="18915" spans="9:9" x14ac:dyDescent="0.3">
      <c r="I18915" s="101"/>
    </row>
    <row r="18916" spans="9:9" x14ac:dyDescent="0.3">
      <c r="I18916" s="101"/>
    </row>
    <row r="18917" spans="9:9" x14ac:dyDescent="0.3">
      <c r="I18917" s="101"/>
    </row>
    <row r="18918" spans="9:9" x14ac:dyDescent="0.3">
      <c r="I18918" s="101"/>
    </row>
    <row r="18919" spans="9:9" x14ac:dyDescent="0.3">
      <c r="I18919" s="101"/>
    </row>
    <row r="18920" spans="9:9" x14ac:dyDescent="0.3">
      <c r="I18920" s="101"/>
    </row>
    <row r="18921" spans="9:9" x14ac:dyDescent="0.3">
      <c r="I18921" s="101"/>
    </row>
    <row r="18922" spans="9:9" x14ac:dyDescent="0.3">
      <c r="I18922" s="101"/>
    </row>
    <row r="18923" spans="9:9" x14ac:dyDescent="0.3">
      <c r="I18923" s="101"/>
    </row>
    <row r="18924" spans="9:9" x14ac:dyDescent="0.3">
      <c r="I18924" s="101"/>
    </row>
    <row r="18925" spans="9:9" x14ac:dyDescent="0.3">
      <c r="I18925" s="101"/>
    </row>
    <row r="18926" spans="9:9" x14ac:dyDescent="0.3">
      <c r="I18926" s="101"/>
    </row>
    <row r="18927" spans="9:9" x14ac:dyDescent="0.3">
      <c r="I18927" s="101"/>
    </row>
    <row r="18928" spans="9:9" x14ac:dyDescent="0.3">
      <c r="I18928" s="101"/>
    </row>
    <row r="18929" spans="9:9" x14ac:dyDescent="0.3">
      <c r="I18929" s="101"/>
    </row>
    <row r="18930" spans="9:9" x14ac:dyDescent="0.3">
      <c r="I18930" s="101"/>
    </row>
    <row r="18931" spans="9:9" x14ac:dyDescent="0.3">
      <c r="I18931" s="101"/>
    </row>
    <row r="18932" spans="9:9" x14ac:dyDescent="0.3">
      <c r="I18932" s="101"/>
    </row>
    <row r="18933" spans="9:9" x14ac:dyDescent="0.3">
      <c r="I18933" s="101"/>
    </row>
    <row r="18934" spans="9:9" x14ac:dyDescent="0.3">
      <c r="I18934" s="101"/>
    </row>
    <row r="18935" spans="9:9" x14ac:dyDescent="0.3">
      <c r="I18935" s="101"/>
    </row>
    <row r="18936" spans="9:9" x14ac:dyDescent="0.3">
      <c r="I18936" s="101"/>
    </row>
    <row r="18937" spans="9:9" x14ac:dyDescent="0.3">
      <c r="I18937" s="101"/>
    </row>
    <row r="18938" spans="9:9" x14ac:dyDescent="0.3">
      <c r="I18938" s="101"/>
    </row>
    <row r="18939" spans="9:9" x14ac:dyDescent="0.3">
      <c r="I18939" s="101"/>
    </row>
    <row r="18940" spans="9:9" x14ac:dyDescent="0.3">
      <c r="I18940" s="101"/>
    </row>
    <row r="18941" spans="9:9" x14ac:dyDescent="0.3">
      <c r="I18941" s="101"/>
    </row>
    <row r="18942" spans="9:9" x14ac:dyDescent="0.3">
      <c r="I18942" s="101"/>
    </row>
    <row r="18943" spans="9:9" x14ac:dyDescent="0.3">
      <c r="I18943" s="101"/>
    </row>
    <row r="18944" spans="9:9" x14ac:dyDescent="0.3">
      <c r="I18944" s="101"/>
    </row>
    <row r="18945" spans="9:9" x14ac:dyDescent="0.3">
      <c r="I18945" s="101"/>
    </row>
    <row r="18946" spans="9:9" x14ac:dyDescent="0.3">
      <c r="I18946" s="101"/>
    </row>
    <row r="18947" spans="9:9" x14ac:dyDescent="0.3">
      <c r="I18947" s="101"/>
    </row>
    <row r="18948" spans="9:9" x14ac:dyDescent="0.3">
      <c r="I18948" s="101"/>
    </row>
    <row r="18949" spans="9:9" x14ac:dyDescent="0.3">
      <c r="I18949" s="101"/>
    </row>
    <row r="18950" spans="9:9" x14ac:dyDescent="0.3">
      <c r="I18950" s="101"/>
    </row>
    <row r="18951" spans="9:9" x14ac:dyDescent="0.3">
      <c r="I18951" s="101"/>
    </row>
    <row r="18952" spans="9:9" x14ac:dyDescent="0.3">
      <c r="I18952" s="101"/>
    </row>
    <row r="18953" spans="9:9" x14ac:dyDescent="0.3">
      <c r="I18953" s="101"/>
    </row>
    <row r="18954" spans="9:9" x14ac:dyDescent="0.3">
      <c r="I18954" s="101"/>
    </row>
    <row r="18955" spans="9:9" x14ac:dyDescent="0.3">
      <c r="I18955" s="101"/>
    </row>
    <row r="18956" spans="9:9" x14ac:dyDescent="0.3">
      <c r="I18956" s="101"/>
    </row>
    <row r="18957" spans="9:9" x14ac:dyDescent="0.3">
      <c r="I18957" s="101"/>
    </row>
    <row r="18958" spans="9:9" x14ac:dyDescent="0.3">
      <c r="I18958" s="101"/>
    </row>
    <row r="18959" spans="9:9" x14ac:dyDescent="0.3">
      <c r="I18959" s="101"/>
    </row>
    <row r="18960" spans="9:9" x14ac:dyDescent="0.3">
      <c r="I18960" s="101"/>
    </row>
    <row r="18961" spans="9:9" x14ac:dyDescent="0.3">
      <c r="I18961" s="101"/>
    </row>
    <row r="18962" spans="9:9" x14ac:dyDescent="0.3">
      <c r="I18962" s="101"/>
    </row>
    <row r="18963" spans="9:9" x14ac:dyDescent="0.3">
      <c r="I18963" s="101"/>
    </row>
    <row r="18964" spans="9:9" x14ac:dyDescent="0.3">
      <c r="I18964" s="101"/>
    </row>
    <row r="18965" spans="9:9" x14ac:dyDescent="0.3">
      <c r="I18965" s="101"/>
    </row>
    <row r="18966" spans="9:9" x14ac:dyDescent="0.3">
      <c r="I18966" s="101"/>
    </row>
    <row r="18967" spans="9:9" x14ac:dyDescent="0.3">
      <c r="I18967" s="101"/>
    </row>
    <row r="18968" spans="9:9" x14ac:dyDescent="0.3">
      <c r="I18968" s="101"/>
    </row>
    <row r="18969" spans="9:9" x14ac:dyDescent="0.3">
      <c r="I18969" s="101"/>
    </row>
    <row r="18970" spans="9:9" x14ac:dyDescent="0.3">
      <c r="I18970" s="101"/>
    </row>
    <row r="18971" spans="9:9" x14ac:dyDescent="0.3">
      <c r="I18971" s="101"/>
    </row>
    <row r="18972" spans="9:9" x14ac:dyDescent="0.3">
      <c r="I18972" s="101"/>
    </row>
    <row r="18973" spans="9:9" x14ac:dyDescent="0.3">
      <c r="I18973" s="101"/>
    </row>
    <row r="18974" spans="9:9" x14ac:dyDescent="0.3">
      <c r="I18974" s="101"/>
    </row>
    <row r="18975" spans="9:9" x14ac:dyDescent="0.3">
      <c r="I18975" s="101"/>
    </row>
    <row r="18976" spans="9:9" x14ac:dyDescent="0.3">
      <c r="I18976" s="101"/>
    </row>
    <row r="18977" spans="9:9" x14ac:dyDescent="0.3">
      <c r="I18977" s="101"/>
    </row>
    <row r="18978" spans="9:9" x14ac:dyDescent="0.3">
      <c r="I18978" s="101"/>
    </row>
    <row r="18979" spans="9:9" x14ac:dyDescent="0.3">
      <c r="I18979" s="101"/>
    </row>
    <row r="18980" spans="9:9" x14ac:dyDescent="0.3">
      <c r="I18980" s="101"/>
    </row>
    <row r="18981" spans="9:9" x14ac:dyDescent="0.3">
      <c r="I18981" s="101"/>
    </row>
    <row r="18982" spans="9:9" x14ac:dyDescent="0.3">
      <c r="I18982" s="101"/>
    </row>
    <row r="18983" spans="9:9" x14ac:dyDescent="0.3">
      <c r="I18983" s="101"/>
    </row>
    <row r="18984" spans="9:9" x14ac:dyDescent="0.3">
      <c r="I18984" s="101"/>
    </row>
    <row r="18985" spans="9:9" x14ac:dyDescent="0.3">
      <c r="I18985" s="101"/>
    </row>
    <row r="18986" spans="9:9" x14ac:dyDescent="0.3">
      <c r="I18986" s="101"/>
    </row>
    <row r="18987" spans="9:9" x14ac:dyDescent="0.3">
      <c r="I18987" s="101"/>
    </row>
    <row r="18988" spans="9:9" x14ac:dyDescent="0.3">
      <c r="I18988" s="101"/>
    </row>
    <row r="18989" spans="9:9" x14ac:dyDescent="0.3">
      <c r="I18989" s="101"/>
    </row>
    <row r="18990" spans="9:9" x14ac:dyDescent="0.3">
      <c r="I18990" s="101"/>
    </row>
    <row r="18991" spans="9:9" x14ac:dyDescent="0.3">
      <c r="I18991" s="101"/>
    </row>
    <row r="18992" spans="9:9" x14ac:dyDescent="0.3">
      <c r="I18992" s="101"/>
    </row>
    <row r="18993" spans="9:9" x14ac:dyDescent="0.3">
      <c r="I18993" s="101"/>
    </row>
    <row r="18994" spans="9:9" x14ac:dyDescent="0.3">
      <c r="I18994" s="101"/>
    </row>
    <row r="18995" spans="9:9" x14ac:dyDescent="0.3">
      <c r="I18995" s="101"/>
    </row>
    <row r="18996" spans="9:9" x14ac:dyDescent="0.3">
      <c r="I18996" s="101"/>
    </row>
    <row r="18997" spans="9:9" x14ac:dyDescent="0.3">
      <c r="I18997" s="101"/>
    </row>
    <row r="18998" spans="9:9" x14ac:dyDescent="0.3">
      <c r="I18998" s="101"/>
    </row>
    <row r="18999" spans="9:9" x14ac:dyDescent="0.3">
      <c r="I18999" s="101"/>
    </row>
    <row r="19000" spans="9:9" x14ac:dyDescent="0.3">
      <c r="I19000" s="101"/>
    </row>
    <row r="19001" spans="9:9" x14ac:dyDescent="0.3">
      <c r="I19001" s="101"/>
    </row>
    <row r="19002" spans="9:9" x14ac:dyDescent="0.3">
      <c r="I19002" s="101"/>
    </row>
    <row r="19003" spans="9:9" x14ac:dyDescent="0.3">
      <c r="I19003" s="101"/>
    </row>
    <row r="19004" spans="9:9" x14ac:dyDescent="0.3">
      <c r="I19004" s="101"/>
    </row>
    <row r="19005" spans="9:9" x14ac:dyDescent="0.3">
      <c r="I19005" s="101"/>
    </row>
    <row r="19006" spans="9:9" x14ac:dyDescent="0.3">
      <c r="I19006" s="101"/>
    </row>
    <row r="19007" spans="9:9" x14ac:dyDescent="0.3">
      <c r="I19007" s="101"/>
    </row>
    <row r="19008" spans="9:9" x14ac:dyDescent="0.3">
      <c r="I19008" s="101"/>
    </row>
    <row r="19009" spans="9:9" x14ac:dyDescent="0.3">
      <c r="I19009" s="101"/>
    </row>
    <row r="19010" spans="9:9" x14ac:dyDescent="0.3">
      <c r="I19010" s="101"/>
    </row>
    <row r="19011" spans="9:9" x14ac:dyDescent="0.3">
      <c r="I19011" s="101"/>
    </row>
    <row r="19012" spans="9:9" x14ac:dyDescent="0.3">
      <c r="I19012" s="101"/>
    </row>
    <row r="19013" spans="9:9" x14ac:dyDescent="0.3">
      <c r="I19013" s="101"/>
    </row>
    <row r="19014" spans="9:9" x14ac:dyDescent="0.3">
      <c r="I19014" s="101"/>
    </row>
    <row r="19015" spans="9:9" x14ac:dyDescent="0.3">
      <c r="I19015" s="101"/>
    </row>
    <row r="19016" spans="9:9" x14ac:dyDescent="0.3">
      <c r="I19016" s="101"/>
    </row>
    <row r="19017" spans="9:9" x14ac:dyDescent="0.3">
      <c r="I19017" s="101"/>
    </row>
    <row r="19018" spans="9:9" x14ac:dyDescent="0.3">
      <c r="I19018" s="101"/>
    </row>
    <row r="19019" spans="9:9" x14ac:dyDescent="0.3">
      <c r="I19019" s="101"/>
    </row>
    <row r="19020" spans="9:9" x14ac:dyDescent="0.3">
      <c r="I19020" s="101"/>
    </row>
    <row r="19021" spans="9:9" x14ac:dyDescent="0.3">
      <c r="I19021" s="101"/>
    </row>
    <row r="19022" spans="9:9" x14ac:dyDescent="0.3">
      <c r="I19022" s="101"/>
    </row>
    <row r="19023" spans="9:9" x14ac:dyDescent="0.3">
      <c r="I19023" s="101"/>
    </row>
    <row r="19024" spans="9:9" x14ac:dyDescent="0.3">
      <c r="I19024" s="101"/>
    </row>
    <row r="19025" spans="9:9" x14ac:dyDescent="0.3">
      <c r="I19025" s="101"/>
    </row>
    <row r="19026" spans="9:9" x14ac:dyDescent="0.3">
      <c r="I19026" s="101"/>
    </row>
    <row r="19027" spans="9:9" x14ac:dyDescent="0.3">
      <c r="I19027" s="101"/>
    </row>
    <row r="19028" spans="9:9" x14ac:dyDescent="0.3">
      <c r="I19028" s="101"/>
    </row>
    <row r="19029" spans="9:9" x14ac:dyDescent="0.3">
      <c r="I19029" s="101"/>
    </row>
    <row r="19030" spans="9:9" x14ac:dyDescent="0.3">
      <c r="I19030" s="101"/>
    </row>
    <row r="19031" spans="9:9" x14ac:dyDescent="0.3">
      <c r="I19031" s="101"/>
    </row>
    <row r="19032" spans="9:9" x14ac:dyDescent="0.3">
      <c r="I19032" s="101"/>
    </row>
    <row r="19033" spans="9:9" x14ac:dyDescent="0.3">
      <c r="I19033" s="101"/>
    </row>
    <row r="19034" spans="9:9" x14ac:dyDescent="0.3">
      <c r="I19034" s="101"/>
    </row>
    <row r="19035" spans="9:9" x14ac:dyDescent="0.3">
      <c r="I19035" s="101"/>
    </row>
    <row r="19036" spans="9:9" x14ac:dyDescent="0.3">
      <c r="I19036" s="101"/>
    </row>
    <row r="19037" spans="9:9" x14ac:dyDescent="0.3">
      <c r="I19037" s="101"/>
    </row>
    <row r="19038" spans="9:9" x14ac:dyDescent="0.3">
      <c r="I19038" s="101"/>
    </row>
    <row r="19039" spans="9:9" x14ac:dyDescent="0.3">
      <c r="I19039" s="101"/>
    </row>
    <row r="19040" spans="9:9" x14ac:dyDescent="0.3">
      <c r="I19040" s="101"/>
    </row>
    <row r="19041" spans="9:9" x14ac:dyDescent="0.3">
      <c r="I19041" s="101"/>
    </row>
    <row r="19042" spans="9:9" x14ac:dyDescent="0.3">
      <c r="I19042" s="101"/>
    </row>
    <row r="19043" spans="9:9" x14ac:dyDescent="0.3">
      <c r="I19043" s="101"/>
    </row>
    <row r="19044" spans="9:9" x14ac:dyDescent="0.3">
      <c r="I19044" s="101"/>
    </row>
    <row r="19045" spans="9:9" x14ac:dyDescent="0.3">
      <c r="I19045" s="101"/>
    </row>
    <row r="19046" spans="9:9" x14ac:dyDescent="0.3">
      <c r="I19046" s="101"/>
    </row>
    <row r="19047" spans="9:9" x14ac:dyDescent="0.3">
      <c r="I19047" s="101"/>
    </row>
    <row r="19048" spans="9:9" x14ac:dyDescent="0.3">
      <c r="I19048" s="101"/>
    </row>
    <row r="19049" spans="9:9" x14ac:dyDescent="0.3">
      <c r="I19049" s="101"/>
    </row>
    <row r="19050" spans="9:9" x14ac:dyDescent="0.3">
      <c r="I19050" s="101"/>
    </row>
    <row r="19051" spans="9:9" x14ac:dyDescent="0.3">
      <c r="I19051" s="101"/>
    </row>
    <row r="19052" spans="9:9" x14ac:dyDescent="0.3">
      <c r="I19052" s="101"/>
    </row>
    <row r="19053" spans="9:9" x14ac:dyDescent="0.3">
      <c r="I19053" s="101"/>
    </row>
    <row r="19054" spans="9:9" x14ac:dyDescent="0.3">
      <c r="I19054" s="101"/>
    </row>
    <row r="19055" spans="9:9" x14ac:dyDescent="0.3">
      <c r="I19055" s="101"/>
    </row>
    <row r="19056" spans="9:9" x14ac:dyDescent="0.3">
      <c r="I19056" s="101"/>
    </row>
    <row r="19057" spans="9:9" x14ac:dyDescent="0.3">
      <c r="I19057" s="101"/>
    </row>
    <row r="19058" spans="9:9" x14ac:dyDescent="0.3">
      <c r="I19058" s="101"/>
    </row>
    <row r="19059" spans="9:9" x14ac:dyDescent="0.3">
      <c r="I19059" s="101"/>
    </row>
    <row r="19060" spans="9:9" x14ac:dyDescent="0.3">
      <c r="I19060" s="101"/>
    </row>
    <row r="19061" spans="9:9" x14ac:dyDescent="0.3">
      <c r="I19061" s="101"/>
    </row>
    <row r="19062" spans="9:9" x14ac:dyDescent="0.3">
      <c r="I19062" s="101"/>
    </row>
    <row r="19063" spans="9:9" x14ac:dyDescent="0.3">
      <c r="I19063" s="101"/>
    </row>
    <row r="19064" spans="9:9" x14ac:dyDescent="0.3">
      <c r="I19064" s="101"/>
    </row>
    <row r="19065" spans="9:9" x14ac:dyDescent="0.3">
      <c r="I19065" s="101"/>
    </row>
    <row r="19066" spans="9:9" x14ac:dyDescent="0.3">
      <c r="I19066" s="101"/>
    </row>
    <row r="19067" spans="9:9" x14ac:dyDescent="0.3">
      <c r="I19067" s="101"/>
    </row>
    <row r="19068" spans="9:9" x14ac:dyDescent="0.3">
      <c r="I19068" s="101"/>
    </row>
    <row r="19069" spans="9:9" x14ac:dyDescent="0.3">
      <c r="I19069" s="101"/>
    </row>
    <row r="19070" spans="9:9" x14ac:dyDescent="0.3">
      <c r="I19070" s="101"/>
    </row>
    <row r="19071" spans="9:9" x14ac:dyDescent="0.3">
      <c r="I19071" s="101"/>
    </row>
    <row r="19072" spans="9:9" x14ac:dyDescent="0.3">
      <c r="I19072" s="101"/>
    </row>
    <row r="19073" spans="9:9" x14ac:dyDescent="0.3">
      <c r="I19073" s="101"/>
    </row>
    <row r="19074" spans="9:9" x14ac:dyDescent="0.3">
      <c r="I19074" s="101"/>
    </row>
    <row r="19075" spans="9:9" x14ac:dyDescent="0.3">
      <c r="I19075" s="101"/>
    </row>
    <row r="19076" spans="9:9" x14ac:dyDescent="0.3">
      <c r="I19076" s="101"/>
    </row>
    <row r="19077" spans="9:9" x14ac:dyDescent="0.3">
      <c r="I19077" s="101"/>
    </row>
    <row r="19078" spans="9:9" x14ac:dyDescent="0.3">
      <c r="I19078" s="101"/>
    </row>
    <row r="19079" spans="9:9" x14ac:dyDescent="0.3">
      <c r="I19079" s="101"/>
    </row>
    <row r="19080" spans="9:9" x14ac:dyDescent="0.3">
      <c r="I19080" s="101"/>
    </row>
    <row r="19081" spans="9:9" x14ac:dyDescent="0.3">
      <c r="I19081" s="101"/>
    </row>
    <row r="19082" spans="9:9" x14ac:dyDescent="0.3">
      <c r="I19082" s="101"/>
    </row>
    <row r="19083" spans="9:9" x14ac:dyDescent="0.3">
      <c r="I19083" s="101"/>
    </row>
    <row r="19084" spans="9:9" x14ac:dyDescent="0.3">
      <c r="I19084" s="101"/>
    </row>
    <row r="19085" spans="9:9" x14ac:dyDescent="0.3">
      <c r="I19085" s="101"/>
    </row>
    <row r="19086" spans="9:9" x14ac:dyDescent="0.3">
      <c r="I19086" s="101"/>
    </row>
    <row r="19087" spans="9:9" x14ac:dyDescent="0.3">
      <c r="I19087" s="101"/>
    </row>
    <row r="19088" spans="9:9" x14ac:dyDescent="0.3">
      <c r="I19088" s="101"/>
    </row>
    <row r="19089" spans="9:9" x14ac:dyDescent="0.3">
      <c r="I19089" s="101"/>
    </row>
    <row r="19090" spans="9:9" x14ac:dyDescent="0.3">
      <c r="I19090" s="101"/>
    </row>
    <row r="19091" spans="9:9" x14ac:dyDescent="0.3">
      <c r="I19091" s="101"/>
    </row>
    <row r="19092" spans="9:9" x14ac:dyDescent="0.3">
      <c r="I19092" s="101"/>
    </row>
    <row r="19093" spans="9:9" x14ac:dyDescent="0.3">
      <c r="I19093" s="101"/>
    </row>
    <row r="19094" spans="9:9" x14ac:dyDescent="0.3">
      <c r="I19094" s="101"/>
    </row>
    <row r="19095" spans="9:9" x14ac:dyDescent="0.3">
      <c r="I19095" s="101"/>
    </row>
    <row r="19096" spans="9:9" x14ac:dyDescent="0.3">
      <c r="I19096" s="101"/>
    </row>
    <row r="19097" spans="9:9" x14ac:dyDescent="0.3">
      <c r="I19097" s="101"/>
    </row>
    <row r="19098" spans="9:9" x14ac:dyDescent="0.3">
      <c r="I19098" s="101"/>
    </row>
    <row r="19099" spans="9:9" x14ac:dyDescent="0.3">
      <c r="I19099" s="101"/>
    </row>
    <row r="19100" spans="9:9" x14ac:dyDescent="0.3">
      <c r="I19100" s="101"/>
    </row>
    <row r="19101" spans="9:9" x14ac:dyDescent="0.3">
      <c r="I19101" s="101"/>
    </row>
    <row r="19102" spans="9:9" x14ac:dyDescent="0.3">
      <c r="I19102" s="101"/>
    </row>
    <row r="19103" spans="9:9" x14ac:dyDescent="0.3">
      <c r="I19103" s="101"/>
    </row>
    <row r="19104" spans="9:9" x14ac:dyDescent="0.3">
      <c r="I19104" s="101"/>
    </row>
    <row r="19105" spans="9:9" x14ac:dyDescent="0.3">
      <c r="I19105" s="101"/>
    </row>
    <row r="19106" spans="9:9" x14ac:dyDescent="0.3">
      <c r="I19106" s="101"/>
    </row>
    <row r="19107" spans="9:9" x14ac:dyDescent="0.3">
      <c r="I19107" s="101"/>
    </row>
    <row r="19108" spans="9:9" x14ac:dyDescent="0.3">
      <c r="I19108" s="101"/>
    </row>
    <row r="19109" spans="9:9" x14ac:dyDescent="0.3">
      <c r="I19109" s="101"/>
    </row>
    <row r="19110" spans="9:9" x14ac:dyDescent="0.3">
      <c r="I19110" s="101"/>
    </row>
    <row r="19111" spans="9:9" x14ac:dyDescent="0.3">
      <c r="I19111" s="101"/>
    </row>
    <row r="19112" spans="9:9" x14ac:dyDescent="0.3">
      <c r="I19112" s="101"/>
    </row>
    <row r="19113" spans="9:9" x14ac:dyDescent="0.3">
      <c r="I19113" s="101"/>
    </row>
    <row r="19114" spans="9:9" x14ac:dyDescent="0.3">
      <c r="I19114" s="101"/>
    </row>
    <row r="19115" spans="9:9" x14ac:dyDescent="0.3">
      <c r="I19115" s="101"/>
    </row>
    <row r="19116" spans="9:9" x14ac:dyDescent="0.3">
      <c r="I19116" s="101"/>
    </row>
    <row r="19117" spans="9:9" x14ac:dyDescent="0.3">
      <c r="I19117" s="101"/>
    </row>
    <row r="19118" spans="9:9" x14ac:dyDescent="0.3">
      <c r="I19118" s="101"/>
    </row>
    <row r="19119" spans="9:9" x14ac:dyDescent="0.3">
      <c r="I19119" s="101"/>
    </row>
    <row r="19120" spans="9:9" x14ac:dyDescent="0.3">
      <c r="I19120" s="101"/>
    </row>
    <row r="19121" spans="9:9" x14ac:dyDescent="0.3">
      <c r="I19121" s="101"/>
    </row>
    <row r="19122" spans="9:9" x14ac:dyDescent="0.3">
      <c r="I19122" s="101"/>
    </row>
    <row r="19123" spans="9:9" x14ac:dyDescent="0.3">
      <c r="I19123" s="101"/>
    </row>
    <row r="19124" spans="9:9" x14ac:dyDescent="0.3">
      <c r="I19124" s="101"/>
    </row>
    <row r="19125" spans="9:9" x14ac:dyDescent="0.3">
      <c r="I19125" s="101"/>
    </row>
    <row r="19126" spans="9:9" x14ac:dyDescent="0.3">
      <c r="I19126" s="101"/>
    </row>
    <row r="19127" spans="9:9" x14ac:dyDescent="0.3">
      <c r="I19127" s="101"/>
    </row>
    <row r="19128" spans="9:9" x14ac:dyDescent="0.3">
      <c r="I19128" s="101"/>
    </row>
    <row r="19129" spans="9:9" x14ac:dyDescent="0.3">
      <c r="I19129" s="101"/>
    </row>
    <row r="19130" spans="9:9" x14ac:dyDescent="0.3">
      <c r="I19130" s="101"/>
    </row>
    <row r="19131" spans="9:9" x14ac:dyDescent="0.3">
      <c r="I19131" s="101"/>
    </row>
    <row r="19132" spans="9:9" x14ac:dyDescent="0.3">
      <c r="I19132" s="101"/>
    </row>
    <row r="19133" spans="9:9" x14ac:dyDescent="0.3">
      <c r="I19133" s="101"/>
    </row>
    <row r="19134" spans="9:9" x14ac:dyDescent="0.3">
      <c r="I19134" s="101"/>
    </row>
    <row r="19135" spans="9:9" x14ac:dyDescent="0.3">
      <c r="I19135" s="101"/>
    </row>
    <row r="19136" spans="9:9" x14ac:dyDescent="0.3">
      <c r="I19136" s="101"/>
    </row>
    <row r="19137" spans="9:9" x14ac:dyDescent="0.3">
      <c r="I19137" s="101"/>
    </row>
    <row r="19138" spans="9:9" x14ac:dyDescent="0.3">
      <c r="I19138" s="101"/>
    </row>
    <row r="19139" spans="9:9" x14ac:dyDescent="0.3">
      <c r="I19139" s="101"/>
    </row>
    <row r="19140" spans="9:9" x14ac:dyDescent="0.3">
      <c r="I19140" s="101"/>
    </row>
    <row r="19141" spans="9:9" x14ac:dyDescent="0.3">
      <c r="I19141" s="101"/>
    </row>
    <row r="19142" spans="9:9" x14ac:dyDescent="0.3">
      <c r="I19142" s="101"/>
    </row>
    <row r="19143" spans="9:9" x14ac:dyDescent="0.3">
      <c r="I19143" s="101"/>
    </row>
    <row r="19144" spans="9:9" x14ac:dyDescent="0.3">
      <c r="I19144" s="101"/>
    </row>
    <row r="19145" spans="9:9" x14ac:dyDescent="0.3">
      <c r="I19145" s="101"/>
    </row>
    <row r="19146" spans="9:9" x14ac:dyDescent="0.3">
      <c r="I19146" s="101"/>
    </row>
    <row r="19147" spans="9:9" x14ac:dyDescent="0.3">
      <c r="I19147" s="101"/>
    </row>
    <row r="19148" spans="9:9" x14ac:dyDescent="0.3">
      <c r="I19148" s="101"/>
    </row>
    <row r="19149" spans="9:9" x14ac:dyDescent="0.3">
      <c r="I19149" s="101"/>
    </row>
    <row r="19150" spans="9:9" x14ac:dyDescent="0.3">
      <c r="I19150" s="101"/>
    </row>
    <row r="19151" spans="9:9" x14ac:dyDescent="0.3">
      <c r="I19151" s="101"/>
    </row>
    <row r="19152" spans="9:9" x14ac:dyDescent="0.3">
      <c r="I19152" s="101"/>
    </row>
    <row r="19153" spans="9:9" x14ac:dyDescent="0.3">
      <c r="I19153" s="101"/>
    </row>
    <row r="19154" spans="9:9" x14ac:dyDescent="0.3">
      <c r="I19154" s="101"/>
    </row>
    <row r="19155" spans="9:9" x14ac:dyDescent="0.3">
      <c r="I19155" s="101"/>
    </row>
    <row r="19156" spans="9:9" x14ac:dyDescent="0.3">
      <c r="I19156" s="101"/>
    </row>
    <row r="19157" spans="9:9" x14ac:dyDescent="0.3">
      <c r="I19157" s="101"/>
    </row>
    <row r="19158" spans="9:9" x14ac:dyDescent="0.3">
      <c r="I19158" s="101"/>
    </row>
    <row r="19159" spans="9:9" x14ac:dyDescent="0.3">
      <c r="I19159" s="101"/>
    </row>
    <row r="19160" spans="9:9" x14ac:dyDescent="0.3">
      <c r="I19160" s="101"/>
    </row>
    <row r="19161" spans="9:9" x14ac:dyDescent="0.3">
      <c r="I19161" s="101"/>
    </row>
    <row r="19162" spans="9:9" x14ac:dyDescent="0.3">
      <c r="I19162" s="101"/>
    </row>
    <row r="19163" spans="9:9" x14ac:dyDescent="0.3">
      <c r="I19163" s="101"/>
    </row>
    <row r="19164" spans="9:9" x14ac:dyDescent="0.3">
      <c r="I19164" s="101"/>
    </row>
    <row r="19165" spans="9:9" x14ac:dyDescent="0.3">
      <c r="I19165" s="101"/>
    </row>
    <row r="19166" spans="9:9" x14ac:dyDescent="0.3">
      <c r="I19166" s="101"/>
    </row>
    <row r="19167" spans="9:9" x14ac:dyDescent="0.3">
      <c r="I19167" s="101"/>
    </row>
    <row r="19168" spans="9:9" x14ac:dyDescent="0.3">
      <c r="I19168" s="101"/>
    </row>
    <row r="19169" spans="9:9" x14ac:dyDescent="0.3">
      <c r="I19169" s="101"/>
    </row>
    <row r="19170" spans="9:9" x14ac:dyDescent="0.3">
      <c r="I19170" s="101"/>
    </row>
    <row r="19171" spans="9:9" x14ac:dyDescent="0.3">
      <c r="I19171" s="101"/>
    </row>
    <row r="19172" spans="9:9" x14ac:dyDescent="0.3">
      <c r="I19172" s="101"/>
    </row>
    <row r="19173" spans="9:9" x14ac:dyDescent="0.3">
      <c r="I19173" s="101"/>
    </row>
    <row r="19174" spans="9:9" x14ac:dyDescent="0.3">
      <c r="I19174" s="101"/>
    </row>
    <row r="19175" spans="9:9" x14ac:dyDescent="0.3">
      <c r="I19175" s="101"/>
    </row>
    <row r="19176" spans="9:9" x14ac:dyDescent="0.3">
      <c r="I19176" s="101"/>
    </row>
    <row r="19177" spans="9:9" x14ac:dyDescent="0.3">
      <c r="I19177" s="101"/>
    </row>
    <row r="19178" spans="9:9" x14ac:dyDescent="0.3">
      <c r="I19178" s="101"/>
    </row>
    <row r="19179" spans="9:9" x14ac:dyDescent="0.3">
      <c r="I19179" s="101"/>
    </row>
    <row r="19180" spans="9:9" x14ac:dyDescent="0.3">
      <c r="I19180" s="101"/>
    </row>
    <row r="19181" spans="9:9" x14ac:dyDescent="0.3">
      <c r="I19181" s="101"/>
    </row>
    <row r="19182" spans="9:9" x14ac:dyDescent="0.3">
      <c r="I19182" s="101"/>
    </row>
    <row r="19183" spans="9:9" x14ac:dyDescent="0.3">
      <c r="I19183" s="101"/>
    </row>
    <row r="19184" spans="9:9" x14ac:dyDescent="0.3">
      <c r="I19184" s="101"/>
    </row>
    <row r="19185" spans="9:9" x14ac:dyDescent="0.3">
      <c r="I19185" s="101"/>
    </row>
    <row r="19186" spans="9:9" x14ac:dyDescent="0.3">
      <c r="I19186" s="101"/>
    </row>
    <row r="19187" spans="9:9" x14ac:dyDescent="0.3">
      <c r="I19187" s="101"/>
    </row>
    <row r="19188" spans="9:9" x14ac:dyDescent="0.3">
      <c r="I19188" s="101"/>
    </row>
    <row r="19189" spans="9:9" x14ac:dyDescent="0.3">
      <c r="I19189" s="101"/>
    </row>
    <row r="19190" spans="9:9" x14ac:dyDescent="0.3">
      <c r="I19190" s="101"/>
    </row>
    <row r="19191" spans="9:9" x14ac:dyDescent="0.3">
      <c r="I19191" s="101"/>
    </row>
    <row r="19192" spans="9:9" x14ac:dyDescent="0.3">
      <c r="I19192" s="101"/>
    </row>
    <row r="19193" spans="9:9" x14ac:dyDescent="0.3">
      <c r="I19193" s="101"/>
    </row>
    <row r="19194" spans="9:9" x14ac:dyDescent="0.3">
      <c r="I19194" s="101"/>
    </row>
    <row r="19195" spans="9:9" x14ac:dyDescent="0.3">
      <c r="I19195" s="101"/>
    </row>
    <row r="19196" spans="9:9" x14ac:dyDescent="0.3">
      <c r="I19196" s="101"/>
    </row>
    <row r="19197" spans="9:9" x14ac:dyDescent="0.3">
      <c r="I19197" s="101"/>
    </row>
    <row r="19198" spans="9:9" x14ac:dyDescent="0.3">
      <c r="I19198" s="101"/>
    </row>
    <row r="19199" spans="9:9" x14ac:dyDescent="0.3">
      <c r="I19199" s="101"/>
    </row>
    <row r="19200" spans="9:9" x14ac:dyDescent="0.3">
      <c r="I19200" s="101"/>
    </row>
    <row r="19201" spans="9:9" x14ac:dyDescent="0.3">
      <c r="I19201" s="101"/>
    </row>
    <row r="19202" spans="9:9" x14ac:dyDescent="0.3">
      <c r="I19202" s="101"/>
    </row>
    <row r="19203" spans="9:9" x14ac:dyDescent="0.3">
      <c r="I19203" s="101"/>
    </row>
    <row r="19204" spans="9:9" x14ac:dyDescent="0.3">
      <c r="I19204" s="101"/>
    </row>
    <row r="19205" spans="9:9" x14ac:dyDescent="0.3">
      <c r="I19205" s="101"/>
    </row>
    <row r="19206" spans="9:9" x14ac:dyDescent="0.3">
      <c r="I19206" s="101"/>
    </row>
    <row r="19207" spans="9:9" x14ac:dyDescent="0.3">
      <c r="I19207" s="101"/>
    </row>
    <row r="19208" spans="9:9" x14ac:dyDescent="0.3">
      <c r="I19208" s="101"/>
    </row>
    <row r="19209" spans="9:9" x14ac:dyDescent="0.3">
      <c r="I19209" s="101"/>
    </row>
    <row r="19210" spans="9:9" x14ac:dyDescent="0.3">
      <c r="I19210" s="101"/>
    </row>
    <row r="19211" spans="9:9" x14ac:dyDescent="0.3">
      <c r="I19211" s="101"/>
    </row>
    <row r="19212" spans="9:9" x14ac:dyDescent="0.3">
      <c r="I19212" s="101"/>
    </row>
    <row r="19213" spans="9:9" x14ac:dyDescent="0.3">
      <c r="I19213" s="101"/>
    </row>
    <row r="19214" spans="9:9" x14ac:dyDescent="0.3">
      <c r="I19214" s="101"/>
    </row>
    <row r="19215" spans="9:9" x14ac:dyDescent="0.3">
      <c r="I19215" s="101"/>
    </row>
    <row r="19216" spans="9:9" x14ac:dyDescent="0.3">
      <c r="I19216" s="101"/>
    </row>
    <row r="19217" spans="9:9" x14ac:dyDescent="0.3">
      <c r="I19217" s="101"/>
    </row>
    <row r="19218" spans="9:9" x14ac:dyDescent="0.3">
      <c r="I19218" s="101"/>
    </row>
    <row r="19219" spans="9:9" x14ac:dyDescent="0.3">
      <c r="I19219" s="101"/>
    </row>
    <row r="19220" spans="9:9" x14ac:dyDescent="0.3">
      <c r="I19220" s="101"/>
    </row>
    <row r="19221" spans="9:9" x14ac:dyDescent="0.3">
      <c r="I19221" s="101"/>
    </row>
    <row r="19222" spans="9:9" x14ac:dyDescent="0.3">
      <c r="I19222" s="101"/>
    </row>
    <row r="19223" spans="9:9" x14ac:dyDescent="0.3">
      <c r="I19223" s="101"/>
    </row>
    <row r="19224" spans="9:9" x14ac:dyDescent="0.3">
      <c r="I19224" s="101"/>
    </row>
    <row r="19225" spans="9:9" x14ac:dyDescent="0.3">
      <c r="I19225" s="101"/>
    </row>
    <row r="19226" spans="9:9" x14ac:dyDescent="0.3">
      <c r="I19226" s="101"/>
    </row>
    <row r="19227" spans="9:9" x14ac:dyDescent="0.3">
      <c r="I19227" s="101"/>
    </row>
    <row r="19228" spans="9:9" x14ac:dyDescent="0.3">
      <c r="I19228" s="101"/>
    </row>
    <row r="19229" spans="9:9" x14ac:dyDescent="0.3">
      <c r="I19229" s="101"/>
    </row>
    <row r="19230" spans="9:9" x14ac:dyDescent="0.3">
      <c r="I19230" s="101"/>
    </row>
    <row r="19231" spans="9:9" x14ac:dyDescent="0.3">
      <c r="I19231" s="101"/>
    </row>
    <row r="19232" spans="9:9" x14ac:dyDescent="0.3">
      <c r="I19232" s="101"/>
    </row>
    <row r="19233" spans="9:9" x14ac:dyDescent="0.3">
      <c r="I19233" s="101"/>
    </row>
    <row r="19234" spans="9:9" x14ac:dyDescent="0.3">
      <c r="I19234" s="101"/>
    </row>
    <row r="19235" spans="9:9" x14ac:dyDescent="0.3">
      <c r="I19235" s="101"/>
    </row>
    <row r="19236" spans="9:9" x14ac:dyDescent="0.3">
      <c r="I19236" s="101"/>
    </row>
    <row r="19237" spans="9:9" x14ac:dyDescent="0.3">
      <c r="I19237" s="101"/>
    </row>
    <row r="19238" spans="9:9" x14ac:dyDescent="0.3">
      <c r="I19238" s="101"/>
    </row>
    <row r="19239" spans="9:9" x14ac:dyDescent="0.3">
      <c r="I19239" s="101"/>
    </row>
    <row r="19240" spans="9:9" x14ac:dyDescent="0.3">
      <c r="I19240" s="101"/>
    </row>
    <row r="19241" spans="9:9" x14ac:dyDescent="0.3">
      <c r="I19241" s="101"/>
    </row>
    <row r="19242" spans="9:9" x14ac:dyDescent="0.3">
      <c r="I19242" s="101"/>
    </row>
    <row r="19243" spans="9:9" x14ac:dyDescent="0.3">
      <c r="I19243" s="101"/>
    </row>
    <row r="19244" spans="9:9" x14ac:dyDescent="0.3">
      <c r="I19244" s="101"/>
    </row>
    <row r="19245" spans="9:9" x14ac:dyDescent="0.3">
      <c r="I19245" s="101"/>
    </row>
    <row r="19246" spans="9:9" x14ac:dyDescent="0.3">
      <c r="I19246" s="101"/>
    </row>
    <row r="19247" spans="9:9" x14ac:dyDescent="0.3">
      <c r="I19247" s="101"/>
    </row>
    <row r="19248" spans="9:9" x14ac:dyDescent="0.3">
      <c r="I19248" s="101"/>
    </row>
    <row r="19249" spans="9:9" x14ac:dyDescent="0.3">
      <c r="I19249" s="101"/>
    </row>
    <row r="19250" spans="9:9" x14ac:dyDescent="0.3">
      <c r="I19250" s="101"/>
    </row>
    <row r="19251" spans="9:9" x14ac:dyDescent="0.3">
      <c r="I19251" s="101"/>
    </row>
    <row r="19252" spans="9:9" x14ac:dyDescent="0.3">
      <c r="I19252" s="101"/>
    </row>
    <row r="19253" spans="9:9" x14ac:dyDescent="0.3">
      <c r="I19253" s="101"/>
    </row>
    <row r="19254" spans="9:9" x14ac:dyDescent="0.3">
      <c r="I19254" s="101"/>
    </row>
    <row r="19255" spans="9:9" x14ac:dyDescent="0.3">
      <c r="I19255" s="101"/>
    </row>
    <row r="19256" spans="9:9" x14ac:dyDescent="0.3">
      <c r="I19256" s="101"/>
    </row>
    <row r="19257" spans="9:9" x14ac:dyDescent="0.3">
      <c r="I19257" s="101"/>
    </row>
    <row r="19258" spans="9:9" x14ac:dyDescent="0.3">
      <c r="I19258" s="101"/>
    </row>
    <row r="19259" spans="9:9" x14ac:dyDescent="0.3">
      <c r="I19259" s="101"/>
    </row>
    <row r="19260" spans="9:9" x14ac:dyDescent="0.3">
      <c r="I19260" s="101"/>
    </row>
    <row r="19261" spans="9:9" x14ac:dyDescent="0.3">
      <c r="I19261" s="101"/>
    </row>
    <row r="19262" spans="9:9" x14ac:dyDescent="0.3">
      <c r="I19262" s="101"/>
    </row>
    <row r="19263" spans="9:9" x14ac:dyDescent="0.3">
      <c r="I19263" s="101"/>
    </row>
    <row r="19264" spans="9:9" x14ac:dyDescent="0.3">
      <c r="I19264" s="101"/>
    </row>
    <row r="19265" spans="9:9" x14ac:dyDescent="0.3">
      <c r="I19265" s="101"/>
    </row>
    <row r="19266" spans="9:9" x14ac:dyDescent="0.3">
      <c r="I19266" s="101"/>
    </row>
    <row r="19267" spans="9:9" x14ac:dyDescent="0.3">
      <c r="I19267" s="101"/>
    </row>
    <row r="19268" spans="9:9" x14ac:dyDescent="0.3">
      <c r="I19268" s="101"/>
    </row>
    <row r="19269" spans="9:9" x14ac:dyDescent="0.3">
      <c r="I19269" s="101"/>
    </row>
    <row r="19270" spans="9:9" x14ac:dyDescent="0.3">
      <c r="I19270" s="101"/>
    </row>
    <row r="19271" spans="9:9" x14ac:dyDescent="0.3">
      <c r="I19271" s="101"/>
    </row>
    <row r="19272" spans="9:9" x14ac:dyDescent="0.3">
      <c r="I19272" s="101"/>
    </row>
    <row r="19273" spans="9:9" x14ac:dyDescent="0.3">
      <c r="I19273" s="101"/>
    </row>
    <row r="19274" spans="9:9" x14ac:dyDescent="0.3">
      <c r="I19274" s="101"/>
    </row>
    <row r="19275" spans="9:9" x14ac:dyDescent="0.3">
      <c r="I19275" s="101"/>
    </row>
    <row r="19276" spans="9:9" x14ac:dyDescent="0.3">
      <c r="I19276" s="101"/>
    </row>
    <row r="19277" spans="9:9" x14ac:dyDescent="0.3">
      <c r="I19277" s="101"/>
    </row>
    <row r="19278" spans="9:9" x14ac:dyDescent="0.3">
      <c r="I19278" s="101"/>
    </row>
    <row r="19279" spans="9:9" x14ac:dyDescent="0.3">
      <c r="I19279" s="101"/>
    </row>
    <row r="19280" spans="9:9" x14ac:dyDescent="0.3">
      <c r="I19280" s="101"/>
    </row>
    <row r="19281" spans="9:9" x14ac:dyDescent="0.3">
      <c r="I19281" s="101"/>
    </row>
    <row r="19282" spans="9:9" x14ac:dyDescent="0.3">
      <c r="I19282" s="101"/>
    </row>
    <row r="19283" spans="9:9" x14ac:dyDescent="0.3">
      <c r="I19283" s="101"/>
    </row>
    <row r="19284" spans="9:9" x14ac:dyDescent="0.3">
      <c r="I19284" s="101"/>
    </row>
    <row r="19285" spans="9:9" x14ac:dyDescent="0.3">
      <c r="I19285" s="101"/>
    </row>
    <row r="19286" spans="9:9" x14ac:dyDescent="0.3">
      <c r="I19286" s="101"/>
    </row>
    <row r="19287" spans="9:9" x14ac:dyDescent="0.3">
      <c r="I19287" s="101"/>
    </row>
    <row r="19288" spans="9:9" x14ac:dyDescent="0.3">
      <c r="I19288" s="101"/>
    </row>
    <row r="19289" spans="9:9" x14ac:dyDescent="0.3">
      <c r="I19289" s="101"/>
    </row>
    <row r="19290" spans="9:9" x14ac:dyDescent="0.3">
      <c r="I19290" s="101"/>
    </row>
    <row r="19291" spans="9:9" x14ac:dyDescent="0.3">
      <c r="I19291" s="101"/>
    </row>
    <row r="19292" spans="9:9" x14ac:dyDescent="0.3">
      <c r="I19292" s="101"/>
    </row>
    <row r="19293" spans="9:9" x14ac:dyDescent="0.3">
      <c r="I19293" s="101"/>
    </row>
    <row r="19294" spans="9:9" x14ac:dyDescent="0.3">
      <c r="I19294" s="101"/>
    </row>
    <row r="19295" spans="9:9" x14ac:dyDescent="0.3">
      <c r="I19295" s="101"/>
    </row>
    <row r="19296" spans="9:9" x14ac:dyDescent="0.3">
      <c r="I19296" s="101"/>
    </row>
    <row r="19297" spans="9:9" x14ac:dyDescent="0.3">
      <c r="I19297" s="101"/>
    </row>
    <row r="19298" spans="9:9" x14ac:dyDescent="0.3">
      <c r="I19298" s="101"/>
    </row>
    <row r="19299" spans="9:9" x14ac:dyDescent="0.3">
      <c r="I19299" s="101"/>
    </row>
    <row r="19300" spans="9:9" x14ac:dyDescent="0.3">
      <c r="I19300" s="101"/>
    </row>
    <row r="19301" spans="9:9" x14ac:dyDescent="0.3">
      <c r="I19301" s="101"/>
    </row>
    <row r="19302" spans="9:9" x14ac:dyDescent="0.3">
      <c r="I19302" s="101"/>
    </row>
    <row r="19303" spans="9:9" x14ac:dyDescent="0.3">
      <c r="I19303" s="101"/>
    </row>
    <row r="19304" spans="9:9" x14ac:dyDescent="0.3">
      <c r="I19304" s="101"/>
    </row>
    <row r="19305" spans="9:9" x14ac:dyDescent="0.3">
      <c r="I19305" s="101"/>
    </row>
    <row r="19306" spans="9:9" x14ac:dyDescent="0.3">
      <c r="I19306" s="101"/>
    </row>
    <row r="19307" spans="9:9" x14ac:dyDescent="0.3">
      <c r="I19307" s="101"/>
    </row>
    <row r="19308" spans="9:9" x14ac:dyDescent="0.3">
      <c r="I19308" s="101"/>
    </row>
    <row r="19309" spans="9:9" x14ac:dyDescent="0.3">
      <c r="I19309" s="101"/>
    </row>
    <row r="19310" spans="9:9" x14ac:dyDescent="0.3">
      <c r="I19310" s="101"/>
    </row>
    <row r="19311" spans="9:9" x14ac:dyDescent="0.3">
      <c r="I19311" s="101"/>
    </row>
    <row r="19312" spans="9:9" x14ac:dyDescent="0.3">
      <c r="I19312" s="101"/>
    </row>
    <row r="19313" spans="9:9" x14ac:dyDescent="0.3">
      <c r="I19313" s="101"/>
    </row>
    <row r="19314" spans="9:9" x14ac:dyDescent="0.3">
      <c r="I19314" s="101"/>
    </row>
    <row r="19315" spans="9:9" x14ac:dyDescent="0.3">
      <c r="I19315" s="101"/>
    </row>
    <row r="19316" spans="9:9" x14ac:dyDescent="0.3">
      <c r="I19316" s="101"/>
    </row>
    <row r="19317" spans="9:9" x14ac:dyDescent="0.3">
      <c r="I19317" s="101"/>
    </row>
    <row r="19318" spans="9:9" x14ac:dyDescent="0.3">
      <c r="I19318" s="101"/>
    </row>
    <row r="19319" spans="9:9" x14ac:dyDescent="0.3">
      <c r="I19319" s="101"/>
    </row>
    <row r="19320" spans="9:9" x14ac:dyDescent="0.3">
      <c r="I19320" s="101"/>
    </row>
    <row r="19321" spans="9:9" x14ac:dyDescent="0.3">
      <c r="I19321" s="101"/>
    </row>
    <row r="19322" spans="9:9" x14ac:dyDescent="0.3">
      <c r="I19322" s="101"/>
    </row>
    <row r="19323" spans="9:9" x14ac:dyDescent="0.3">
      <c r="I19323" s="101"/>
    </row>
    <row r="19324" spans="9:9" x14ac:dyDescent="0.3">
      <c r="I19324" s="101"/>
    </row>
    <row r="19325" spans="9:9" x14ac:dyDescent="0.3">
      <c r="I19325" s="101"/>
    </row>
    <row r="19326" spans="9:9" x14ac:dyDescent="0.3">
      <c r="I19326" s="101"/>
    </row>
    <row r="19327" spans="9:9" x14ac:dyDescent="0.3">
      <c r="I19327" s="101"/>
    </row>
    <row r="19328" spans="9:9" x14ac:dyDescent="0.3">
      <c r="I19328" s="101"/>
    </row>
    <row r="19329" spans="9:9" x14ac:dyDescent="0.3">
      <c r="I19329" s="101"/>
    </row>
    <row r="19330" spans="9:9" x14ac:dyDescent="0.3">
      <c r="I19330" s="101"/>
    </row>
    <row r="19331" spans="9:9" x14ac:dyDescent="0.3">
      <c r="I19331" s="101"/>
    </row>
    <row r="19332" spans="9:9" x14ac:dyDescent="0.3">
      <c r="I19332" s="101"/>
    </row>
    <row r="19333" spans="9:9" x14ac:dyDescent="0.3">
      <c r="I19333" s="101"/>
    </row>
    <row r="19334" spans="9:9" x14ac:dyDescent="0.3">
      <c r="I19334" s="101"/>
    </row>
    <row r="19335" spans="9:9" x14ac:dyDescent="0.3">
      <c r="I19335" s="101"/>
    </row>
    <row r="19336" spans="9:9" x14ac:dyDescent="0.3">
      <c r="I19336" s="101"/>
    </row>
    <row r="19337" spans="9:9" x14ac:dyDescent="0.3">
      <c r="I19337" s="101"/>
    </row>
    <row r="19338" spans="9:9" x14ac:dyDescent="0.3">
      <c r="I19338" s="101"/>
    </row>
    <row r="19339" spans="9:9" x14ac:dyDescent="0.3">
      <c r="I19339" s="101"/>
    </row>
    <row r="19340" spans="9:9" x14ac:dyDescent="0.3">
      <c r="I19340" s="101"/>
    </row>
    <row r="19341" spans="9:9" x14ac:dyDescent="0.3">
      <c r="I19341" s="101"/>
    </row>
    <row r="19342" spans="9:9" x14ac:dyDescent="0.3">
      <c r="I19342" s="101"/>
    </row>
    <row r="19343" spans="9:9" x14ac:dyDescent="0.3">
      <c r="I19343" s="101"/>
    </row>
    <row r="19344" spans="9:9" x14ac:dyDescent="0.3">
      <c r="I19344" s="101"/>
    </row>
    <row r="19345" spans="9:9" x14ac:dyDescent="0.3">
      <c r="I19345" s="101"/>
    </row>
    <row r="19346" spans="9:9" x14ac:dyDescent="0.3">
      <c r="I19346" s="101"/>
    </row>
    <row r="19347" spans="9:9" x14ac:dyDescent="0.3">
      <c r="I19347" s="101"/>
    </row>
    <row r="19348" spans="9:9" x14ac:dyDescent="0.3">
      <c r="I19348" s="101"/>
    </row>
    <row r="19349" spans="9:9" x14ac:dyDescent="0.3">
      <c r="I19349" s="101"/>
    </row>
    <row r="19350" spans="9:9" x14ac:dyDescent="0.3">
      <c r="I19350" s="101"/>
    </row>
    <row r="19351" spans="9:9" x14ac:dyDescent="0.3">
      <c r="I19351" s="101"/>
    </row>
    <row r="19352" spans="9:9" x14ac:dyDescent="0.3">
      <c r="I19352" s="101"/>
    </row>
    <row r="19353" spans="9:9" x14ac:dyDescent="0.3">
      <c r="I19353" s="101"/>
    </row>
    <row r="19354" spans="9:9" x14ac:dyDescent="0.3">
      <c r="I19354" s="101"/>
    </row>
    <row r="19355" spans="9:9" x14ac:dyDescent="0.3">
      <c r="I19355" s="101"/>
    </row>
    <row r="19356" spans="9:9" x14ac:dyDescent="0.3">
      <c r="I19356" s="101"/>
    </row>
    <row r="19357" spans="9:9" x14ac:dyDescent="0.3">
      <c r="I19357" s="101"/>
    </row>
    <row r="19358" spans="9:9" x14ac:dyDescent="0.3">
      <c r="I19358" s="101"/>
    </row>
    <row r="19359" spans="9:9" x14ac:dyDescent="0.3">
      <c r="I19359" s="101"/>
    </row>
    <row r="19360" spans="9:9" x14ac:dyDescent="0.3">
      <c r="I19360" s="101"/>
    </row>
    <row r="19361" spans="9:9" x14ac:dyDescent="0.3">
      <c r="I19361" s="101"/>
    </row>
    <row r="19362" spans="9:9" x14ac:dyDescent="0.3">
      <c r="I19362" s="101"/>
    </row>
    <row r="19363" spans="9:9" x14ac:dyDescent="0.3">
      <c r="I19363" s="101"/>
    </row>
    <row r="19364" spans="9:9" x14ac:dyDescent="0.3">
      <c r="I19364" s="101"/>
    </row>
    <row r="19365" spans="9:9" x14ac:dyDescent="0.3">
      <c r="I19365" s="101"/>
    </row>
    <row r="19366" spans="9:9" x14ac:dyDescent="0.3">
      <c r="I19366" s="101"/>
    </row>
    <row r="19367" spans="9:9" x14ac:dyDescent="0.3">
      <c r="I19367" s="101"/>
    </row>
    <row r="19368" spans="9:9" x14ac:dyDescent="0.3">
      <c r="I19368" s="101"/>
    </row>
    <row r="19369" spans="9:9" x14ac:dyDescent="0.3">
      <c r="I19369" s="101"/>
    </row>
    <row r="19370" spans="9:9" x14ac:dyDescent="0.3">
      <c r="I19370" s="101"/>
    </row>
    <row r="19371" spans="9:9" x14ac:dyDescent="0.3">
      <c r="I19371" s="101"/>
    </row>
    <row r="19372" spans="9:9" x14ac:dyDescent="0.3">
      <c r="I19372" s="101"/>
    </row>
    <row r="19373" spans="9:9" x14ac:dyDescent="0.3">
      <c r="I19373" s="101"/>
    </row>
    <row r="19374" spans="9:9" x14ac:dyDescent="0.3">
      <c r="I19374" s="101"/>
    </row>
    <row r="19375" spans="9:9" x14ac:dyDescent="0.3">
      <c r="I19375" s="101"/>
    </row>
    <row r="19376" spans="9:9" x14ac:dyDescent="0.3">
      <c r="I19376" s="101"/>
    </row>
    <row r="19377" spans="9:9" x14ac:dyDescent="0.3">
      <c r="I19377" s="101"/>
    </row>
    <row r="19378" spans="9:9" x14ac:dyDescent="0.3">
      <c r="I19378" s="101"/>
    </row>
    <row r="19379" spans="9:9" x14ac:dyDescent="0.3">
      <c r="I19379" s="101"/>
    </row>
    <row r="19380" spans="9:9" x14ac:dyDescent="0.3">
      <c r="I19380" s="101"/>
    </row>
    <row r="19381" spans="9:9" x14ac:dyDescent="0.3">
      <c r="I19381" s="101"/>
    </row>
    <row r="19382" spans="9:9" x14ac:dyDescent="0.3">
      <c r="I19382" s="101"/>
    </row>
    <row r="19383" spans="9:9" x14ac:dyDescent="0.3">
      <c r="I19383" s="101"/>
    </row>
    <row r="19384" spans="9:9" x14ac:dyDescent="0.3">
      <c r="I19384" s="101"/>
    </row>
    <row r="19385" spans="9:9" x14ac:dyDescent="0.3">
      <c r="I19385" s="101"/>
    </row>
    <row r="19386" spans="9:9" x14ac:dyDescent="0.3">
      <c r="I19386" s="101"/>
    </row>
    <row r="19387" spans="9:9" x14ac:dyDescent="0.3">
      <c r="I19387" s="101"/>
    </row>
    <row r="19388" spans="9:9" x14ac:dyDescent="0.3">
      <c r="I19388" s="101"/>
    </row>
    <row r="19389" spans="9:9" x14ac:dyDescent="0.3">
      <c r="I19389" s="101"/>
    </row>
    <row r="19390" spans="9:9" x14ac:dyDescent="0.3">
      <c r="I19390" s="101"/>
    </row>
    <row r="19391" spans="9:9" x14ac:dyDescent="0.3">
      <c r="I19391" s="101"/>
    </row>
    <row r="19392" spans="9:9" x14ac:dyDescent="0.3">
      <c r="I19392" s="101"/>
    </row>
    <row r="19393" spans="9:9" x14ac:dyDescent="0.3">
      <c r="I19393" s="101"/>
    </row>
    <row r="19394" spans="9:9" x14ac:dyDescent="0.3">
      <c r="I19394" s="101"/>
    </row>
    <row r="19395" spans="9:9" x14ac:dyDescent="0.3">
      <c r="I19395" s="101"/>
    </row>
    <row r="19396" spans="9:9" x14ac:dyDescent="0.3">
      <c r="I19396" s="101"/>
    </row>
    <row r="19397" spans="9:9" x14ac:dyDescent="0.3">
      <c r="I19397" s="101"/>
    </row>
    <row r="19398" spans="9:9" x14ac:dyDescent="0.3">
      <c r="I19398" s="101"/>
    </row>
    <row r="19399" spans="9:9" x14ac:dyDescent="0.3">
      <c r="I19399" s="101"/>
    </row>
    <row r="19400" spans="9:9" x14ac:dyDescent="0.3">
      <c r="I19400" s="101"/>
    </row>
    <row r="19401" spans="9:9" x14ac:dyDescent="0.3">
      <c r="I19401" s="101"/>
    </row>
    <row r="19402" spans="9:9" x14ac:dyDescent="0.3">
      <c r="I19402" s="101"/>
    </row>
    <row r="19403" spans="9:9" x14ac:dyDescent="0.3">
      <c r="I19403" s="101"/>
    </row>
    <row r="19404" spans="9:9" x14ac:dyDescent="0.3">
      <c r="I19404" s="101"/>
    </row>
    <row r="19405" spans="9:9" x14ac:dyDescent="0.3">
      <c r="I19405" s="101"/>
    </row>
    <row r="19406" spans="9:9" x14ac:dyDescent="0.3">
      <c r="I19406" s="101"/>
    </row>
    <row r="19407" spans="9:9" x14ac:dyDescent="0.3">
      <c r="I19407" s="101"/>
    </row>
    <row r="19408" spans="9:9" x14ac:dyDescent="0.3">
      <c r="I19408" s="101"/>
    </row>
    <row r="19409" spans="9:9" x14ac:dyDescent="0.3">
      <c r="I19409" s="101"/>
    </row>
    <row r="19410" spans="9:9" x14ac:dyDescent="0.3">
      <c r="I19410" s="101"/>
    </row>
    <row r="19411" spans="9:9" x14ac:dyDescent="0.3">
      <c r="I19411" s="101"/>
    </row>
    <row r="19412" spans="9:9" x14ac:dyDescent="0.3">
      <c r="I19412" s="101"/>
    </row>
    <row r="19413" spans="9:9" x14ac:dyDescent="0.3">
      <c r="I19413" s="101"/>
    </row>
    <row r="19414" spans="9:9" x14ac:dyDescent="0.3">
      <c r="I19414" s="101"/>
    </row>
    <row r="19415" spans="9:9" x14ac:dyDescent="0.3">
      <c r="I19415" s="101"/>
    </row>
    <row r="19416" spans="9:9" x14ac:dyDescent="0.3">
      <c r="I19416" s="101"/>
    </row>
    <row r="19417" spans="9:9" x14ac:dyDescent="0.3">
      <c r="I19417" s="101"/>
    </row>
    <row r="19418" spans="9:9" x14ac:dyDescent="0.3">
      <c r="I19418" s="101"/>
    </row>
    <row r="19419" spans="9:9" x14ac:dyDescent="0.3">
      <c r="I19419" s="101"/>
    </row>
    <row r="19420" spans="9:9" x14ac:dyDescent="0.3">
      <c r="I19420" s="101"/>
    </row>
    <row r="19421" spans="9:9" x14ac:dyDescent="0.3">
      <c r="I19421" s="101"/>
    </row>
    <row r="19422" spans="9:9" x14ac:dyDescent="0.3">
      <c r="I19422" s="101"/>
    </row>
    <row r="19423" spans="9:9" x14ac:dyDescent="0.3">
      <c r="I19423" s="101"/>
    </row>
    <row r="19424" spans="9:9" x14ac:dyDescent="0.3">
      <c r="I19424" s="101"/>
    </row>
    <row r="19425" spans="9:9" x14ac:dyDescent="0.3">
      <c r="I19425" s="101"/>
    </row>
    <row r="19426" spans="9:9" x14ac:dyDescent="0.3">
      <c r="I19426" s="101"/>
    </row>
    <row r="19427" spans="9:9" x14ac:dyDescent="0.3">
      <c r="I19427" s="101"/>
    </row>
    <row r="19428" spans="9:9" x14ac:dyDescent="0.3">
      <c r="I19428" s="101"/>
    </row>
    <row r="19429" spans="9:9" x14ac:dyDescent="0.3">
      <c r="I19429" s="101"/>
    </row>
    <row r="19430" spans="9:9" x14ac:dyDescent="0.3">
      <c r="I19430" s="101"/>
    </row>
    <row r="19431" spans="9:9" x14ac:dyDescent="0.3">
      <c r="I19431" s="101"/>
    </row>
    <row r="19432" spans="9:9" x14ac:dyDescent="0.3">
      <c r="I19432" s="101"/>
    </row>
    <row r="19433" spans="9:9" x14ac:dyDescent="0.3">
      <c r="I19433" s="101"/>
    </row>
    <row r="19434" spans="9:9" x14ac:dyDescent="0.3">
      <c r="I19434" s="101"/>
    </row>
    <row r="19435" spans="9:9" x14ac:dyDescent="0.3">
      <c r="I19435" s="101"/>
    </row>
    <row r="19436" spans="9:9" x14ac:dyDescent="0.3">
      <c r="I19436" s="101"/>
    </row>
    <row r="19437" spans="9:9" x14ac:dyDescent="0.3">
      <c r="I19437" s="101"/>
    </row>
    <row r="19438" spans="9:9" x14ac:dyDescent="0.3">
      <c r="I19438" s="101"/>
    </row>
    <row r="19439" spans="9:9" x14ac:dyDescent="0.3">
      <c r="I19439" s="101"/>
    </row>
    <row r="19440" spans="9:9" x14ac:dyDescent="0.3">
      <c r="I19440" s="101"/>
    </row>
    <row r="19441" spans="9:9" x14ac:dyDescent="0.3">
      <c r="I19441" s="101"/>
    </row>
    <row r="19442" spans="9:9" x14ac:dyDescent="0.3">
      <c r="I19442" s="101"/>
    </row>
    <row r="19443" spans="9:9" x14ac:dyDescent="0.3">
      <c r="I19443" s="101"/>
    </row>
    <row r="19444" spans="9:9" x14ac:dyDescent="0.3">
      <c r="I19444" s="101"/>
    </row>
    <row r="19445" spans="9:9" x14ac:dyDescent="0.3">
      <c r="I19445" s="101"/>
    </row>
    <row r="19446" spans="9:9" x14ac:dyDescent="0.3">
      <c r="I19446" s="101"/>
    </row>
    <row r="19447" spans="9:9" x14ac:dyDescent="0.3">
      <c r="I19447" s="101"/>
    </row>
    <row r="19448" spans="9:9" x14ac:dyDescent="0.3">
      <c r="I19448" s="101"/>
    </row>
    <row r="19449" spans="9:9" x14ac:dyDescent="0.3">
      <c r="I19449" s="101"/>
    </row>
    <row r="19450" spans="9:9" x14ac:dyDescent="0.3">
      <c r="I19450" s="101"/>
    </row>
    <row r="19451" spans="9:9" x14ac:dyDescent="0.3">
      <c r="I19451" s="101"/>
    </row>
    <row r="19452" spans="9:9" x14ac:dyDescent="0.3">
      <c r="I19452" s="101"/>
    </row>
    <row r="19453" spans="9:9" x14ac:dyDescent="0.3">
      <c r="I19453" s="101"/>
    </row>
    <row r="19454" spans="9:9" x14ac:dyDescent="0.3">
      <c r="I19454" s="101"/>
    </row>
    <row r="19455" spans="9:9" x14ac:dyDescent="0.3">
      <c r="I19455" s="101"/>
    </row>
    <row r="19456" spans="9:9" x14ac:dyDescent="0.3">
      <c r="I19456" s="101"/>
    </row>
    <row r="19457" spans="9:9" x14ac:dyDescent="0.3">
      <c r="I19457" s="101"/>
    </row>
    <row r="19458" spans="9:9" x14ac:dyDescent="0.3">
      <c r="I19458" s="101"/>
    </row>
    <row r="19459" spans="9:9" x14ac:dyDescent="0.3">
      <c r="I19459" s="101"/>
    </row>
    <row r="19460" spans="9:9" x14ac:dyDescent="0.3">
      <c r="I19460" s="101"/>
    </row>
    <row r="19461" spans="9:9" x14ac:dyDescent="0.3">
      <c r="I19461" s="101"/>
    </row>
    <row r="19462" spans="9:9" x14ac:dyDescent="0.3">
      <c r="I19462" s="101"/>
    </row>
    <row r="19463" spans="9:9" x14ac:dyDescent="0.3">
      <c r="I19463" s="101"/>
    </row>
    <row r="19464" spans="9:9" x14ac:dyDescent="0.3">
      <c r="I19464" s="101"/>
    </row>
    <row r="19465" spans="9:9" x14ac:dyDescent="0.3">
      <c r="I19465" s="101"/>
    </row>
    <row r="19466" spans="9:9" x14ac:dyDescent="0.3">
      <c r="I19466" s="101"/>
    </row>
    <row r="19467" spans="9:9" x14ac:dyDescent="0.3">
      <c r="I19467" s="101"/>
    </row>
    <row r="19468" spans="9:9" x14ac:dyDescent="0.3">
      <c r="I19468" s="101"/>
    </row>
    <row r="19469" spans="9:9" x14ac:dyDescent="0.3">
      <c r="I19469" s="101"/>
    </row>
    <row r="19470" spans="9:9" x14ac:dyDescent="0.3">
      <c r="I19470" s="101"/>
    </row>
    <row r="19471" spans="9:9" x14ac:dyDescent="0.3">
      <c r="I19471" s="101"/>
    </row>
    <row r="19472" spans="9:9" x14ac:dyDescent="0.3">
      <c r="I19472" s="101"/>
    </row>
    <row r="19473" spans="9:9" x14ac:dyDescent="0.3">
      <c r="I19473" s="101"/>
    </row>
    <row r="19474" spans="9:9" x14ac:dyDescent="0.3">
      <c r="I19474" s="101"/>
    </row>
    <row r="19475" spans="9:9" x14ac:dyDescent="0.3">
      <c r="I19475" s="101"/>
    </row>
    <row r="19476" spans="9:9" x14ac:dyDescent="0.3">
      <c r="I19476" s="101"/>
    </row>
    <row r="19477" spans="9:9" x14ac:dyDescent="0.3">
      <c r="I19477" s="101"/>
    </row>
    <row r="19478" spans="9:9" x14ac:dyDescent="0.3">
      <c r="I19478" s="101"/>
    </row>
    <row r="19479" spans="9:9" x14ac:dyDescent="0.3">
      <c r="I19479" s="101"/>
    </row>
    <row r="19480" spans="9:9" x14ac:dyDescent="0.3">
      <c r="I19480" s="101"/>
    </row>
    <row r="19481" spans="9:9" x14ac:dyDescent="0.3">
      <c r="I19481" s="101"/>
    </row>
    <row r="19482" spans="9:9" x14ac:dyDescent="0.3">
      <c r="I19482" s="101"/>
    </row>
    <row r="19483" spans="9:9" x14ac:dyDescent="0.3">
      <c r="I19483" s="101"/>
    </row>
    <row r="19484" spans="9:9" x14ac:dyDescent="0.3">
      <c r="I19484" s="101"/>
    </row>
    <row r="19485" spans="9:9" x14ac:dyDescent="0.3">
      <c r="I19485" s="101"/>
    </row>
    <row r="19486" spans="9:9" x14ac:dyDescent="0.3">
      <c r="I19486" s="101"/>
    </row>
    <row r="19487" spans="9:9" x14ac:dyDescent="0.3">
      <c r="I19487" s="101"/>
    </row>
    <row r="19488" spans="9:9" x14ac:dyDescent="0.3">
      <c r="I19488" s="101"/>
    </row>
    <row r="19489" spans="9:9" x14ac:dyDescent="0.3">
      <c r="I19489" s="101"/>
    </row>
    <row r="19490" spans="9:9" x14ac:dyDescent="0.3">
      <c r="I19490" s="101"/>
    </row>
    <row r="19491" spans="9:9" x14ac:dyDescent="0.3">
      <c r="I19491" s="101"/>
    </row>
    <row r="19492" spans="9:9" x14ac:dyDescent="0.3">
      <c r="I19492" s="101"/>
    </row>
    <row r="19493" spans="9:9" x14ac:dyDescent="0.3">
      <c r="I19493" s="101"/>
    </row>
    <row r="19494" spans="9:9" x14ac:dyDescent="0.3">
      <c r="I19494" s="101"/>
    </row>
    <row r="19495" spans="9:9" x14ac:dyDescent="0.3">
      <c r="I19495" s="101"/>
    </row>
    <row r="19496" spans="9:9" x14ac:dyDescent="0.3">
      <c r="I19496" s="101"/>
    </row>
    <row r="19497" spans="9:9" x14ac:dyDescent="0.3">
      <c r="I19497" s="101"/>
    </row>
    <row r="19498" spans="9:9" x14ac:dyDescent="0.3">
      <c r="I19498" s="101"/>
    </row>
    <row r="19499" spans="9:9" x14ac:dyDescent="0.3">
      <c r="I19499" s="101"/>
    </row>
    <row r="19500" spans="9:9" x14ac:dyDescent="0.3">
      <c r="I19500" s="101"/>
    </row>
    <row r="19501" spans="9:9" x14ac:dyDescent="0.3">
      <c r="I19501" s="101"/>
    </row>
    <row r="19502" spans="9:9" x14ac:dyDescent="0.3">
      <c r="I19502" s="101"/>
    </row>
    <row r="19503" spans="9:9" x14ac:dyDescent="0.3">
      <c r="I19503" s="101"/>
    </row>
    <row r="19504" spans="9:9" x14ac:dyDescent="0.3">
      <c r="I19504" s="101"/>
    </row>
    <row r="19505" spans="9:9" x14ac:dyDescent="0.3">
      <c r="I19505" s="101"/>
    </row>
    <row r="19506" spans="9:9" x14ac:dyDescent="0.3">
      <c r="I19506" s="101"/>
    </row>
    <row r="19507" spans="9:9" x14ac:dyDescent="0.3">
      <c r="I19507" s="101"/>
    </row>
    <row r="19508" spans="9:9" x14ac:dyDescent="0.3">
      <c r="I19508" s="101"/>
    </row>
    <row r="19509" spans="9:9" x14ac:dyDescent="0.3">
      <c r="I19509" s="101"/>
    </row>
    <row r="19510" spans="9:9" x14ac:dyDescent="0.3">
      <c r="I19510" s="101"/>
    </row>
    <row r="19511" spans="9:9" x14ac:dyDescent="0.3">
      <c r="I19511" s="101"/>
    </row>
    <row r="19512" spans="9:9" x14ac:dyDescent="0.3">
      <c r="I19512" s="101"/>
    </row>
    <row r="19513" spans="9:9" x14ac:dyDescent="0.3">
      <c r="I19513" s="101"/>
    </row>
    <row r="19514" spans="9:9" x14ac:dyDescent="0.3">
      <c r="I19514" s="101"/>
    </row>
    <row r="19515" spans="9:9" x14ac:dyDescent="0.3">
      <c r="I19515" s="101"/>
    </row>
    <row r="19516" spans="9:9" x14ac:dyDescent="0.3">
      <c r="I19516" s="101"/>
    </row>
    <row r="19517" spans="9:9" x14ac:dyDescent="0.3">
      <c r="I19517" s="101"/>
    </row>
    <row r="19518" spans="9:9" x14ac:dyDescent="0.3">
      <c r="I19518" s="101"/>
    </row>
    <row r="19519" spans="9:9" x14ac:dyDescent="0.3">
      <c r="I19519" s="101"/>
    </row>
    <row r="19520" spans="9:9" x14ac:dyDescent="0.3">
      <c r="I19520" s="101"/>
    </row>
    <row r="19521" spans="9:9" x14ac:dyDescent="0.3">
      <c r="I19521" s="101"/>
    </row>
    <row r="19522" spans="9:9" x14ac:dyDescent="0.3">
      <c r="I19522" s="101"/>
    </row>
    <row r="19523" spans="9:9" x14ac:dyDescent="0.3">
      <c r="I19523" s="101"/>
    </row>
    <row r="19524" spans="9:9" x14ac:dyDescent="0.3">
      <c r="I19524" s="101"/>
    </row>
    <row r="19525" spans="9:9" x14ac:dyDescent="0.3">
      <c r="I19525" s="101"/>
    </row>
    <row r="19526" spans="9:9" x14ac:dyDescent="0.3">
      <c r="I19526" s="101"/>
    </row>
    <row r="19527" spans="9:9" x14ac:dyDescent="0.3">
      <c r="I19527" s="101"/>
    </row>
    <row r="19528" spans="9:9" x14ac:dyDescent="0.3">
      <c r="I19528" s="101"/>
    </row>
    <row r="19529" spans="9:9" x14ac:dyDescent="0.3">
      <c r="I19529" s="101"/>
    </row>
    <row r="19530" spans="9:9" x14ac:dyDescent="0.3">
      <c r="I19530" s="101"/>
    </row>
    <row r="19531" spans="9:9" x14ac:dyDescent="0.3">
      <c r="I19531" s="101"/>
    </row>
    <row r="19532" spans="9:9" x14ac:dyDescent="0.3">
      <c r="I19532" s="101"/>
    </row>
    <row r="19533" spans="9:9" x14ac:dyDescent="0.3">
      <c r="I19533" s="101"/>
    </row>
    <row r="19534" spans="9:9" x14ac:dyDescent="0.3">
      <c r="I19534" s="101"/>
    </row>
    <row r="19535" spans="9:9" x14ac:dyDescent="0.3">
      <c r="I19535" s="101"/>
    </row>
    <row r="19536" spans="9:9" x14ac:dyDescent="0.3">
      <c r="I19536" s="101"/>
    </row>
    <row r="19537" spans="9:9" x14ac:dyDescent="0.3">
      <c r="I19537" s="101"/>
    </row>
    <row r="19538" spans="9:9" x14ac:dyDescent="0.3">
      <c r="I19538" s="101"/>
    </row>
    <row r="19539" spans="9:9" x14ac:dyDescent="0.3">
      <c r="I19539" s="101"/>
    </row>
    <row r="19540" spans="9:9" x14ac:dyDescent="0.3">
      <c r="I19540" s="101"/>
    </row>
    <row r="19541" spans="9:9" x14ac:dyDescent="0.3">
      <c r="I19541" s="101"/>
    </row>
    <row r="19542" spans="9:9" x14ac:dyDescent="0.3">
      <c r="I19542" s="101"/>
    </row>
    <row r="19543" spans="9:9" x14ac:dyDescent="0.3">
      <c r="I19543" s="101"/>
    </row>
    <row r="19544" spans="9:9" x14ac:dyDescent="0.3">
      <c r="I19544" s="101"/>
    </row>
    <row r="19545" spans="9:9" x14ac:dyDescent="0.3">
      <c r="I19545" s="101"/>
    </row>
    <row r="19546" spans="9:9" x14ac:dyDescent="0.3">
      <c r="I19546" s="101"/>
    </row>
    <row r="19547" spans="9:9" x14ac:dyDescent="0.3">
      <c r="I19547" s="101"/>
    </row>
    <row r="19548" spans="9:9" x14ac:dyDescent="0.3">
      <c r="I19548" s="101"/>
    </row>
    <row r="19549" spans="9:9" x14ac:dyDescent="0.3">
      <c r="I19549" s="101"/>
    </row>
    <row r="19550" spans="9:9" x14ac:dyDescent="0.3">
      <c r="I19550" s="101"/>
    </row>
    <row r="19551" spans="9:9" x14ac:dyDescent="0.3">
      <c r="I19551" s="101"/>
    </row>
    <row r="19552" spans="9:9" x14ac:dyDescent="0.3">
      <c r="I19552" s="101"/>
    </row>
    <row r="19553" spans="9:9" x14ac:dyDescent="0.3">
      <c r="I19553" s="101"/>
    </row>
    <row r="19554" spans="9:9" x14ac:dyDescent="0.3">
      <c r="I19554" s="101"/>
    </row>
    <row r="19555" spans="9:9" x14ac:dyDescent="0.3">
      <c r="I19555" s="101"/>
    </row>
    <row r="19556" spans="9:9" x14ac:dyDescent="0.3">
      <c r="I19556" s="101"/>
    </row>
    <row r="19557" spans="9:9" x14ac:dyDescent="0.3">
      <c r="I19557" s="101"/>
    </row>
    <row r="19558" spans="9:9" x14ac:dyDescent="0.3">
      <c r="I19558" s="101"/>
    </row>
    <row r="19559" spans="9:9" x14ac:dyDescent="0.3">
      <c r="I19559" s="101"/>
    </row>
    <row r="19560" spans="9:9" x14ac:dyDescent="0.3">
      <c r="I19560" s="101"/>
    </row>
    <row r="19561" spans="9:9" x14ac:dyDescent="0.3">
      <c r="I19561" s="101"/>
    </row>
    <row r="19562" spans="9:9" x14ac:dyDescent="0.3">
      <c r="I19562" s="101"/>
    </row>
    <row r="19563" spans="9:9" x14ac:dyDescent="0.3">
      <c r="I19563" s="101"/>
    </row>
    <row r="19564" spans="9:9" x14ac:dyDescent="0.3">
      <c r="I19564" s="101"/>
    </row>
    <row r="19565" spans="9:9" x14ac:dyDescent="0.3">
      <c r="I19565" s="101"/>
    </row>
    <row r="19566" spans="9:9" x14ac:dyDescent="0.3">
      <c r="I19566" s="101"/>
    </row>
    <row r="19567" spans="9:9" x14ac:dyDescent="0.3">
      <c r="I19567" s="101"/>
    </row>
    <row r="19568" spans="9:9" x14ac:dyDescent="0.3">
      <c r="I19568" s="101"/>
    </row>
    <row r="19569" spans="9:9" x14ac:dyDescent="0.3">
      <c r="I19569" s="101"/>
    </row>
    <row r="19570" spans="9:9" x14ac:dyDescent="0.3">
      <c r="I19570" s="101"/>
    </row>
    <row r="19571" spans="9:9" x14ac:dyDescent="0.3">
      <c r="I19571" s="101"/>
    </row>
    <row r="19572" spans="9:9" x14ac:dyDescent="0.3">
      <c r="I19572" s="101"/>
    </row>
    <row r="19573" spans="9:9" x14ac:dyDescent="0.3">
      <c r="I19573" s="101"/>
    </row>
    <row r="19574" spans="9:9" x14ac:dyDescent="0.3">
      <c r="I19574" s="101"/>
    </row>
    <row r="19575" spans="9:9" x14ac:dyDescent="0.3">
      <c r="I19575" s="101"/>
    </row>
    <row r="19576" spans="9:9" x14ac:dyDescent="0.3">
      <c r="I19576" s="101"/>
    </row>
    <row r="19577" spans="9:9" x14ac:dyDescent="0.3">
      <c r="I19577" s="101"/>
    </row>
    <row r="19578" spans="9:9" x14ac:dyDescent="0.3">
      <c r="I19578" s="101"/>
    </row>
    <row r="19579" spans="9:9" x14ac:dyDescent="0.3">
      <c r="I19579" s="101"/>
    </row>
    <row r="19580" spans="9:9" x14ac:dyDescent="0.3">
      <c r="I19580" s="101"/>
    </row>
    <row r="19581" spans="9:9" x14ac:dyDescent="0.3">
      <c r="I19581" s="101"/>
    </row>
    <row r="19582" spans="9:9" x14ac:dyDescent="0.3">
      <c r="I19582" s="101"/>
    </row>
    <row r="19583" spans="9:9" x14ac:dyDescent="0.3">
      <c r="I19583" s="101"/>
    </row>
    <row r="19584" spans="9:9" x14ac:dyDescent="0.3">
      <c r="I19584" s="101"/>
    </row>
    <row r="19585" spans="9:9" x14ac:dyDescent="0.3">
      <c r="I19585" s="101"/>
    </row>
    <row r="19586" spans="9:9" x14ac:dyDescent="0.3">
      <c r="I19586" s="101"/>
    </row>
    <row r="19587" spans="9:9" x14ac:dyDescent="0.3">
      <c r="I19587" s="101"/>
    </row>
    <row r="19588" spans="9:9" x14ac:dyDescent="0.3">
      <c r="I19588" s="101"/>
    </row>
    <row r="19589" spans="9:9" x14ac:dyDescent="0.3">
      <c r="I19589" s="101"/>
    </row>
    <row r="19590" spans="9:9" x14ac:dyDescent="0.3">
      <c r="I19590" s="101"/>
    </row>
    <row r="19591" spans="9:9" x14ac:dyDescent="0.3">
      <c r="I19591" s="101"/>
    </row>
    <row r="19592" spans="9:9" x14ac:dyDescent="0.3">
      <c r="I19592" s="101"/>
    </row>
    <row r="19593" spans="9:9" x14ac:dyDescent="0.3">
      <c r="I19593" s="101"/>
    </row>
    <row r="19594" spans="9:9" x14ac:dyDescent="0.3">
      <c r="I19594" s="101"/>
    </row>
    <row r="19595" spans="9:9" x14ac:dyDescent="0.3">
      <c r="I19595" s="101"/>
    </row>
    <row r="19596" spans="9:9" x14ac:dyDescent="0.3">
      <c r="I19596" s="101"/>
    </row>
    <row r="19597" spans="9:9" x14ac:dyDescent="0.3">
      <c r="I19597" s="101"/>
    </row>
    <row r="19598" spans="9:9" x14ac:dyDescent="0.3">
      <c r="I19598" s="101"/>
    </row>
    <row r="19599" spans="9:9" x14ac:dyDescent="0.3">
      <c r="I19599" s="101"/>
    </row>
    <row r="19600" spans="9:9" x14ac:dyDescent="0.3">
      <c r="I19600" s="101"/>
    </row>
    <row r="19601" spans="9:9" x14ac:dyDescent="0.3">
      <c r="I19601" s="101"/>
    </row>
    <row r="19602" spans="9:9" x14ac:dyDescent="0.3">
      <c r="I19602" s="101"/>
    </row>
    <row r="19603" spans="9:9" x14ac:dyDescent="0.3">
      <c r="I19603" s="101"/>
    </row>
    <row r="19604" spans="9:9" x14ac:dyDescent="0.3">
      <c r="I19604" s="101"/>
    </row>
    <row r="19605" spans="9:9" x14ac:dyDescent="0.3">
      <c r="I19605" s="101"/>
    </row>
    <row r="19606" spans="9:9" x14ac:dyDescent="0.3">
      <c r="I19606" s="101"/>
    </row>
    <row r="19607" spans="9:9" x14ac:dyDescent="0.3">
      <c r="I19607" s="101"/>
    </row>
    <row r="19608" spans="9:9" x14ac:dyDescent="0.3">
      <c r="I19608" s="101"/>
    </row>
    <row r="19609" spans="9:9" x14ac:dyDescent="0.3">
      <c r="I19609" s="101"/>
    </row>
    <row r="19610" spans="9:9" x14ac:dyDescent="0.3">
      <c r="I19610" s="101"/>
    </row>
    <row r="19611" spans="9:9" x14ac:dyDescent="0.3">
      <c r="I19611" s="101"/>
    </row>
    <row r="19612" spans="9:9" x14ac:dyDescent="0.3">
      <c r="I19612" s="101"/>
    </row>
    <row r="19613" spans="9:9" x14ac:dyDescent="0.3">
      <c r="I19613" s="101"/>
    </row>
    <row r="19614" spans="9:9" x14ac:dyDescent="0.3">
      <c r="I19614" s="101"/>
    </row>
    <row r="19615" spans="9:9" x14ac:dyDescent="0.3">
      <c r="I19615" s="101"/>
    </row>
    <row r="19616" spans="9:9" x14ac:dyDescent="0.3">
      <c r="I19616" s="101"/>
    </row>
    <row r="19617" spans="9:9" x14ac:dyDescent="0.3">
      <c r="I19617" s="101"/>
    </row>
    <row r="19618" spans="9:9" x14ac:dyDescent="0.3">
      <c r="I19618" s="101"/>
    </row>
    <row r="19619" spans="9:9" x14ac:dyDescent="0.3">
      <c r="I19619" s="101"/>
    </row>
    <row r="19620" spans="9:9" x14ac:dyDescent="0.3">
      <c r="I19620" s="101"/>
    </row>
    <row r="19621" spans="9:9" x14ac:dyDescent="0.3">
      <c r="I19621" s="101"/>
    </row>
    <row r="19622" spans="9:9" x14ac:dyDescent="0.3">
      <c r="I19622" s="101"/>
    </row>
    <row r="19623" spans="9:9" x14ac:dyDescent="0.3">
      <c r="I19623" s="101"/>
    </row>
    <row r="19624" spans="9:9" x14ac:dyDescent="0.3">
      <c r="I19624" s="101"/>
    </row>
    <row r="19625" spans="9:9" x14ac:dyDescent="0.3">
      <c r="I19625" s="101"/>
    </row>
    <row r="19626" spans="9:9" x14ac:dyDescent="0.3">
      <c r="I19626" s="101"/>
    </row>
    <row r="19627" spans="9:9" x14ac:dyDescent="0.3">
      <c r="I19627" s="101"/>
    </row>
    <row r="19628" spans="9:9" x14ac:dyDescent="0.3">
      <c r="I19628" s="101"/>
    </row>
    <row r="19629" spans="9:9" x14ac:dyDescent="0.3">
      <c r="I19629" s="101"/>
    </row>
    <row r="19630" spans="9:9" x14ac:dyDescent="0.3">
      <c r="I19630" s="101"/>
    </row>
    <row r="19631" spans="9:9" x14ac:dyDescent="0.3">
      <c r="I19631" s="101"/>
    </row>
    <row r="19632" spans="9:9" x14ac:dyDescent="0.3">
      <c r="I19632" s="101"/>
    </row>
    <row r="19633" spans="9:9" x14ac:dyDescent="0.3">
      <c r="I19633" s="101"/>
    </row>
    <row r="19634" spans="9:9" x14ac:dyDescent="0.3">
      <c r="I19634" s="101"/>
    </row>
    <row r="19635" spans="9:9" x14ac:dyDescent="0.3">
      <c r="I19635" s="101"/>
    </row>
    <row r="19636" spans="9:9" x14ac:dyDescent="0.3">
      <c r="I19636" s="101"/>
    </row>
    <row r="19637" spans="9:9" x14ac:dyDescent="0.3">
      <c r="I19637" s="101"/>
    </row>
    <row r="19638" spans="9:9" x14ac:dyDescent="0.3">
      <c r="I19638" s="101"/>
    </row>
    <row r="19639" spans="9:9" x14ac:dyDescent="0.3">
      <c r="I19639" s="101"/>
    </row>
    <row r="19640" spans="9:9" x14ac:dyDescent="0.3">
      <c r="I19640" s="101"/>
    </row>
    <row r="19641" spans="9:9" x14ac:dyDescent="0.3">
      <c r="I19641" s="101"/>
    </row>
    <row r="19642" spans="9:9" x14ac:dyDescent="0.3">
      <c r="I19642" s="101"/>
    </row>
    <row r="19643" spans="9:9" x14ac:dyDescent="0.3">
      <c r="I19643" s="101"/>
    </row>
    <row r="19644" spans="9:9" x14ac:dyDescent="0.3">
      <c r="I19644" s="101"/>
    </row>
    <row r="19645" spans="9:9" x14ac:dyDescent="0.3">
      <c r="I19645" s="101"/>
    </row>
    <row r="19646" spans="9:9" x14ac:dyDescent="0.3">
      <c r="I19646" s="101"/>
    </row>
    <row r="19647" spans="9:9" x14ac:dyDescent="0.3">
      <c r="I19647" s="101"/>
    </row>
    <row r="19648" spans="9:9" x14ac:dyDescent="0.3">
      <c r="I19648" s="101"/>
    </row>
    <row r="19649" spans="9:9" x14ac:dyDescent="0.3">
      <c r="I19649" s="101"/>
    </row>
    <row r="19650" spans="9:9" x14ac:dyDescent="0.3">
      <c r="I19650" s="101"/>
    </row>
    <row r="19651" spans="9:9" x14ac:dyDescent="0.3">
      <c r="I19651" s="101"/>
    </row>
    <row r="19652" spans="9:9" x14ac:dyDescent="0.3">
      <c r="I19652" s="101"/>
    </row>
    <row r="19653" spans="9:9" x14ac:dyDescent="0.3">
      <c r="I19653" s="101"/>
    </row>
    <row r="19654" spans="9:9" x14ac:dyDescent="0.3">
      <c r="I19654" s="101"/>
    </row>
    <row r="19655" spans="9:9" x14ac:dyDescent="0.3">
      <c r="I19655" s="101"/>
    </row>
    <row r="19656" spans="9:9" x14ac:dyDescent="0.3">
      <c r="I19656" s="101"/>
    </row>
    <row r="19657" spans="9:9" x14ac:dyDescent="0.3">
      <c r="I19657" s="101"/>
    </row>
    <row r="19658" spans="9:9" x14ac:dyDescent="0.3">
      <c r="I19658" s="101"/>
    </row>
    <row r="19659" spans="9:9" x14ac:dyDescent="0.3">
      <c r="I19659" s="101"/>
    </row>
    <row r="19660" spans="9:9" x14ac:dyDescent="0.3">
      <c r="I19660" s="101"/>
    </row>
    <row r="19661" spans="9:9" x14ac:dyDescent="0.3">
      <c r="I19661" s="101"/>
    </row>
    <row r="19662" spans="9:9" x14ac:dyDescent="0.3">
      <c r="I19662" s="101"/>
    </row>
    <row r="19663" spans="9:9" x14ac:dyDescent="0.3">
      <c r="I19663" s="101"/>
    </row>
    <row r="19664" spans="9:9" x14ac:dyDescent="0.3">
      <c r="I19664" s="101"/>
    </row>
    <row r="19665" spans="9:9" x14ac:dyDescent="0.3">
      <c r="I19665" s="101"/>
    </row>
    <row r="19666" spans="9:9" x14ac:dyDescent="0.3">
      <c r="I19666" s="101"/>
    </row>
    <row r="19667" spans="9:9" x14ac:dyDescent="0.3">
      <c r="I19667" s="101"/>
    </row>
    <row r="19668" spans="9:9" x14ac:dyDescent="0.3">
      <c r="I19668" s="101"/>
    </row>
    <row r="19669" spans="9:9" x14ac:dyDescent="0.3">
      <c r="I19669" s="101"/>
    </row>
    <row r="19670" spans="9:9" x14ac:dyDescent="0.3">
      <c r="I19670" s="101"/>
    </row>
    <row r="19671" spans="9:9" x14ac:dyDescent="0.3">
      <c r="I19671" s="101"/>
    </row>
    <row r="19672" spans="9:9" x14ac:dyDescent="0.3">
      <c r="I19672" s="101"/>
    </row>
    <row r="19673" spans="9:9" x14ac:dyDescent="0.3">
      <c r="I19673" s="101"/>
    </row>
    <row r="19674" spans="9:9" x14ac:dyDescent="0.3">
      <c r="I19674" s="101"/>
    </row>
    <row r="19675" spans="9:9" x14ac:dyDescent="0.3">
      <c r="I19675" s="101"/>
    </row>
    <row r="19676" spans="9:9" x14ac:dyDescent="0.3">
      <c r="I19676" s="101"/>
    </row>
    <row r="19677" spans="9:9" x14ac:dyDescent="0.3">
      <c r="I19677" s="101"/>
    </row>
    <row r="19678" spans="9:9" x14ac:dyDescent="0.3">
      <c r="I19678" s="101"/>
    </row>
    <row r="19679" spans="9:9" x14ac:dyDescent="0.3">
      <c r="I19679" s="101"/>
    </row>
    <row r="19680" spans="9:9" x14ac:dyDescent="0.3">
      <c r="I19680" s="101"/>
    </row>
    <row r="19681" spans="9:9" x14ac:dyDescent="0.3">
      <c r="I19681" s="101"/>
    </row>
    <row r="19682" spans="9:9" x14ac:dyDescent="0.3">
      <c r="I19682" s="101"/>
    </row>
    <row r="19683" spans="9:9" x14ac:dyDescent="0.3">
      <c r="I19683" s="101"/>
    </row>
    <row r="19684" spans="9:9" x14ac:dyDescent="0.3">
      <c r="I19684" s="101"/>
    </row>
    <row r="19685" spans="9:9" x14ac:dyDescent="0.3">
      <c r="I19685" s="101"/>
    </row>
    <row r="19686" spans="9:9" x14ac:dyDescent="0.3">
      <c r="I19686" s="101"/>
    </row>
    <row r="19687" spans="9:9" x14ac:dyDescent="0.3">
      <c r="I19687" s="101"/>
    </row>
    <row r="19688" spans="9:9" x14ac:dyDescent="0.3">
      <c r="I19688" s="101"/>
    </row>
    <row r="19689" spans="9:9" x14ac:dyDescent="0.3">
      <c r="I19689" s="101"/>
    </row>
    <row r="19690" spans="9:9" x14ac:dyDescent="0.3">
      <c r="I19690" s="101"/>
    </row>
    <row r="19691" spans="9:9" x14ac:dyDescent="0.3">
      <c r="I19691" s="101"/>
    </row>
    <row r="19692" spans="9:9" x14ac:dyDescent="0.3">
      <c r="I19692" s="101"/>
    </row>
    <row r="19693" spans="9:9" x14ac:dyDescent="0.3">
      <c r="I19693" s="101"/>
    </row>
    <row r="19694" spans="9:9" x14ac:dyDescent="0.3">
      <c r="I19694" s="101"/>
    </row>
    <row r="19695" spans="9:9" x14ac:dyDescent="0.3">
      <c r="I19695" s="101"/>
    </row>
    <row r="19696" spans="9:9" x14ac:dyDescent="0.3">
      <c r="I19696" s="101"/>
    </row>
    <row r="19697" spans="9:9" x14ac:dyDescent="0.3">
      <c r="I19697" s="101"/>
    </row>
    <row r="19698" spans="9:9" x14ac:dyDescent="0.3">
      <c r="I19698" s="101"/>
    </row>
    <row r="19699" spans="9:9" x14ac:dyDescent="0.3">
      <c r="I19699" s="101"/>
    </row>
    <row r="19700" spans="9:9" x14ac:dyDescent="0.3">
      <c r="I19700" s="101"/>
    </row>
    <row r="19701" spans="9:9" x14ac:dyDescent="0.3">
      <c r="I19701" s="101"/>
    </row>
    <row r="19702" spans="9:9" x14ac:dyDescent="0.3">
      <c r="I19702" s="101"/>
    </row>
    <row r="19703" spans="9:9" x14ac:dyDescent="0.3">
      <c r="I19703" s="101"/>
    </row>
    <row r="19704" spans="9:9" x14ac:dyDescent="0.3">
      <c r="I19704" s="101"/>
    </row>
    <row r="19705" spans="9:9" x14ac:dyDescent="0.3">
      <c r="I19705" s="101"/>
    </row>
    <row r="19706" spans="9:9" x14ac:dyDescent="0.3">
      <c r="I19706" s="101"/>
    </row>
    <row r="19707" spans="9:9" x14ac:dyDescent="0.3">
      <c r="I19707" s="101"/>
    </row>
    <row r="19708" spans="9:9" x14ac:dyDescent="0.3">
      <c r="I19708" s="101"/>
    </row>
    <row r="19709" spans="9:9" x14ac:dyDescent="0.3">
      <c r="I19709" s="101"/>
    </row>
    <row r="19710" spans="9:9" x14ac:dyDescent="0.3">
      <c r="I19710" s="101"/>
    </row>
    <row r="19711" spans="9:9" x14ac:dyDescent="0.3">
      <c r="I19711" s="101"/>
    </row>
    <row r="19712" spans="9:9" x14ac:dyDescent="0.3">
      <c r="I19712" s="101"/>
    </row>
    <row r="19713" spans="9:9" x14ac:dyDescent="0.3">
      <c r="I19713" s="101"/>
    </row>
    <row r="19714" spans="9:9" x14ac:dyDescent="0.3">
      <c r="I19714" s="101"/>
    </row>
    <row r="19715" spans="9:9" x14ac:dyDescent="0.3">
      <c r="I19715" s="101"/>
    </row>
    <row r="19716" spans="9:9" x14ac:dyDescent="0.3">
      <c r="I19716" s="101"/>
    </row>
    <row r="19717" spans="9:9" x14ac:dyDescent="0.3">
      <c r="I19717" s="101"/>
    </row>
    <row r="19718" spans="9:9" x14ac:dyDescent="0.3">
      <c r="I19718" s="101"/>
    </row>
    <row r="19719" spans="9:9" x14ac:dyDescent="0.3">
      <c r="I19719" s="101"/>
    </row>
    <row r="19720" spans="9:9" x14ac:dyDescent="0.3">
      <c r="I19720" s="101"/>
    </row>
    <row r="19721" spans="9:9" x14ac:dyDescent="0.3">
      <c r="I19721" s="101"/>
    </row>
    <row r="19722" spans="9:9" x14ac:dyDescent="0.3">
      <c r="I19722" s="101"/>
    </row>
    <row r="19723" spans="9:9" x14ac:dyDescent="0.3">
      <c r="I19723" s="101"/>
    </row>
    <row r="19724" spans="9:9" x14ac:dyDescent="0.3">
      <c r="I19724" s="101"/>
    </row>
    <row r="19725" spans="9:9" x14ac:dyDescent="0.3">
      <c r="I19725" s="101"/>
    </row>
    <row r="19726" spans="9:9" x14ac:dyDescent="0.3">
      <c r="I19726" s="101"/>
    </row>
    <row r="19727" spans="9:9" x14ac:dyDescent="0.3">
      <c r="I19727" s="101"/>
    </row>
    <row r="19728" spans="9:9" x14ac:dyDescent="0.3">
      <c r="I19728" s="101"/>
    </row>
    <row r="19729" spans="9:9" x14ac:dyDescent="0.3">
      <c r="I19729" s="101"/>
    </row>
    <row r="19730" spans="9:9" x14ac:dyDescent="0.3">
      <c r="I19730" s="101"/>
    </row>
    <row r="19731" spans="9:9" x14ac:dyDescent="0.3">
      <c r="I19731" s="101"/>
    </row>
    <row r="19732" spans="9:9" x14ac:dyDescent="0.3">
      <c r="I19732" s="101"/>
    </row>
    <row r="19733" spans="9:9" x14ac:dyDescent="0.3">
      <c r="I19733" s="101"/>
    </row>
    <row r="19734" spans="9:9" x14ac:dyDescent="0.3">
      <c r="I19734" s="101"/>
    </row>
    <row r="19735" spans="9:9" x14ac:dyDescent="0.3">
      <c r="I19735" s="101"/>
    </row>
    <row r="19736" spans="9:9" x14ac:dyDescent="0.3">
      <c r="I19736" s="101"/>
    </row>
    <row r="19737" spans="9:9" x14ac:dyDescent="0.3">
      <c r="I19737" s="101"/>
    </row>
    <row r="19738" spans="9:9" x14ac:dyDescent="0.3">
      <c r="I19738" s="101"/>
    </row>
    <row r="19739" spans="9:9" x14ac:dyDescent="0.3">
      <c r="I19739" s="101"/>
    </row>
    <row r="19740" spans="9:9" x14ac:dyDescent="0.3">
      <c r="I19740" s="101"/>
    </row>
    <row r="19741" spans="9:9" x14ac:dyDescent="0.3">
      <c r="I19741" s="101"/>
    </row>
    <row r="19742" spans="9:9" x14ac:dyDescent="0.3">
      <c r="I19742" s="101"/>
    </row>
    <row r="19743" spans="9:9" x14ac:dyDescent="0.3">
      <c r="I19743" s="101"/>
    </row>
    <row r="19744" spans="9:9" x14ac:dyDescent="0.3">
      <c r="I19744" s="101"/>
    </row>
    <row r="19745" spans="9:9" x14ac:dyDescent="0.3">
      <c r="I19745" s="101"/>
    </row>
    <row r="19746" spans="9:9" x14ac:dyDescent="0.3">
      <c r="I19746" s="101"/>
    </row>
    <row r="19747" spans="9:9" x14ac:dyDescent="0.3">
      <c r="I19747" s="101"/>
    </row>
    <row r="19748" spans="9:9" x14ac:dyDescent="0.3">
      <c r="I19748" s="101"/>
    </row>
    <row r="19749" spans="9:9" x14ac:dyDescent="0.3">
      <c r="I19749" s="101"/>
    </row>
    <row r="19750" spans="9:9" x14ac:dyDescent="0.3">
      <c r="I19750" s="101"/>
    </row>
    <row r="19751" spans="9:9" x14ac:dyDescent="0.3">
      <c r="I19751" s="101"/>
    </row>
    <row r="19752" spans="9:9" x14ac:dyDescent="0.3">
      <c r="I19752" s="101"/>
    </row>
    <row r="19753" spans="9:9" x14ac:dyDescent="0.3">
      <c r="I19753" s="101"/>
    </row>
    <row r="19754" spans="9:9" x14ac:dyDescent="0.3">
      <c r="I19754" s="101"/>
    </row>
    <row r="19755" spans="9:9" x14ac:dyDescent="0.3">
      <c r="I19755" s="101"/>
    </row>
    <row r="19756" spans="9:9" x14ac:dyDescent="0.3">
      <c r="I19756" s="101"/>
    </row>
    <row r="19757" spans="9:9" x14ac:dyDescent="0.3">
      <c r="I19757" s="101"/>
    </row>
    <row r="19758" spans="9:9" x14ac:dyDescent="0.3">
      <c r="I19758" s="101"/>
    </row>
    <row r="19759" spans="9:9" x14ac:dyDescent="0.3">
      <c r="I19759" s="101"/>
    </row>
    <row r="19760" spans="9:9" x14ac:dyDescent="0.3">
      <c r="I19760" s="101"/>
    </row>
    <row r="19761" spans="9:9" x14ac:dyDescent="0.3">
      <c r="I19761" s="101"/>
    </row>
    <row r="19762" spans="9:9" x14ac:dyDescent="0.3">
      <c r="I19762" s="101"/>
    </row>
    <row r="19763" spans="9:9" x14ac:dyDescent="0.3">
      <c r="I19763" s="101"/>
    </row>
    <row r="19764" spans="9:9" x14ac:dyDescent="0.3">
      <c r="I19764" s="101"/>
    </row>
    <row r="19765" spans="9:9" x14ac:dyDescent="0.3">
      <c r="I19765" s="101"/>
    </row>
    <row r="19766" spans="9:9" x14ac:dyDescent="0.3">
      <c r="I19766" s="101"/>
    </row>
    <row r="19767" spans="9:9" x14ac:dyDescent="0.3">
      <c r="I19767" s="101"/>
    </row>
    <row r="19768" spans="9:9" x14ac:dyDescent="0.3">
      <c r="I19768" s="101"/>
    </row>
    <row r="19769" spans="9:9" x14ac:dyDescent="0.3">
      <c r="I19769" s="101"/>
    </row>
    <row r="19770" spans="9:9" x14ac:dyDescent="0.3">
      <c r="I19770" s="101"/>
    </row>
    <row r="19771" spans="9:9" x14ac:dyDescent="0.3">
      <c r="I19771" s="101"/>
    </row>
    <row r="19772" spans="9:9" x14ac:dyDescent="0.3">
      <c r="I19772" s="101"/>
    </row>
    <row r="19773" spans="9:9" x14ac:dyDescent="0.3">
      <c r="I19773" s="101"/>
    </row>
    <row r="19774" spans="9:9" x14ac:dyDescent="0.3">
      <c r="I19774" s="101"/>
    </row>
    <row r="19775" spans="9:9" x14ac:dyDescent="0.3">
      <c r="I19775" s="101"/>
    </row>
    <row r="19776" spans="9:9" x14ac:dyDescent="0.3">
      <c r="I19776" s="101"/>
    </row>
    <row r="19777" spans="9:9" x14ac:dyDescent="0.3">
      <c r="I19777" s="101"/>
    </row>
    <row r="19778" spans="9:9" x14ac:dyDescent="0.3">
      <c r="I19778" s="101"/>
    </row>
    <row r="19779" spans="9:9" x14ac:dyDescent="0.3">
      <c r="I19779" s="101"/>
    </row>
    <row r="19780" spans="9:9" x14ac:dyDescent="0.3">
      <c r="I19780" s="101"/>
    </row>
    <row r="19781" spans="9:9" x14ac:dyDescent="0.3">
      <c r="I19781" s="101"/>
    </row>
    <row r="19782" spans="9:9" x14ac:dyDescent="0.3">
      <c r="I19782" s="101"/>
    </row>
    <row r="19783" spans="9:9" x14ac:dyDescent="0.3">
      <c r="I19783" s="101"/>
    </row>
    <row r="19784" spans="9:9" x14ac:dyDescent="0.3">
      <c r="I19784" s="101"/>
    </row>
    <row r="19785" spans="9:9" x14ac:dyDescent="0.3">
      <c r="I19785" s="101"/>
    </row>
    <row r="19786" spans="9:9" x14ac:dyDescent="0.3">
      <c r="I19786" s="101"/>
    </row>
    <row r="19787" spans="9:9" x14ac:dyDescent="0.3">
      <c r="I19787" s="101"/>
    </row>
    <row r="19788" spans="9:9" x14ac:dyDescent="0.3">
      <c r="I19788" s="101"/>
    </row>
    <row r="19789" spans="9:9" x14ac:dyDescent="0.3">
      <c r="I19789" s="101"/>
    </row>
    <row r="19790" spans="9:9" x14ac:dyDescent="0.3">
      <c r="I19790" s="101"/>
    </row>
    <row r="19791" spans="9:9" x14ac:dyDescent="0.3">
      <c r="I19791" s="101"/>
    </row>
    <row r="19792" spans="9:9" x14ac:dyDescent="0.3">
      <c r="I19792" s="101"/>
    </row>
    <row r="19793" spans="9:9" x14ac:dyDescent="0.3">
      <c r="I19793" s="101"/>
    </row>
    <row r="19794" spans="9:9" x14ac:dyDescent="0.3">
      <c r="I19794" s="101"/>
    </row>
    <row r="19795" spans="9:9" x14ac:dyDescent="0.3">
      <c r="I19795" s="101"/>
    </row>
    <row r="19796" spans="9:9" x14ac:dyDescent="0.3">
      <c r="I19796" s="101"/>
    </row>
    <row r="19797" spans="9:9" x14ac:dyDescent="0.3">
      <c r="I19797" s="101"/>
    </row>
    <row r="19798" spans="9:9" x14ac:dyDescent="0.3">
      <c r="I19798" s="101"/>
    </row>
    <row r="19799" spans="9:9" x14ac:dyDescent="0.3">
      <c r="I19799" s="101"/>
    </row>
    <row r="19800" spans="9:9" x14ac:dyDescent="0.3">
      <c r="I19800" s="101"/>
    </row>
    <row r="19801" spans="9:9" x14ac:dyDescent="0.3">
      <c r="I19801" s="101"/>
    </row>
    <row r="19802" spans="9:9" x14ac:dyDescent="0.3">
      <c r="I19802" s="101"/>
    </row>
    <row r="19803" spans="9:9" x14ac:dyDescent="0.3">
      <c r="I19803" s="101"/>
    </row>
    <row r="19804" spans="9:9" x14ac:dyDescent="0.3">
      <c r="I19804" s="101"/>
    </row>
    <row r="19805" spans="9:9" x14ac:dyDescent="0.3">
      <c r="I19805" s="101"/>
    </row>
    <row r="19806" spans="9:9" x14ac:dyDescent="0.3">
      <c r="I19806" s="101"/>
    </row>
    <row r="19807" spans="9:9" x14ac:dyDescent="0.3">
      <c r="I19807" s="101"/>
    </row>
    <row r="19808" spans="9:9" x14ac:dyDescent="0.3">
      <c r="I19808" s="101"/>
    </row>
    <row r="19809" spans="9:9" x14ac:dyDescent="0.3">
      <c r="I19809" s="101"/>
    </row>
    <row r="19810" spans="9:9" x14ac:dyDescent="0.3">
      <c r="I19810" s="101"/>
    </row>
    <row r="19811" spans="9:9" x14ac:dyDescent="0.3">
      <c r="I19811" s="101"/>
    </row>
    <row r="19812" spans="9:9" x14ac:dyDescent="0.3">
      <c r="I19812" s="101"/>
    </row>
    <row r="19813" spans="9:9" x14ac:dyDescent="0.3">
      <c r="I19813" s="101"/>
    </row>
    <row r="19814" spans="9:9" x14ac:dyDescent="0.3">
      <c r="I19814" s="101"/>
    </row>
    <row r="19815" spans="9:9" x14ac:dyDescent="0.3">
      <c r="I19815" s="101"/>
    </row>
    <row r="19816" spans="9:9" x14ac:dyDescent="0.3">
      <c r="I19816" s="101"/>
    </row>
    <row r="19817" spans="9:9" x14ac:dyDescent="0.3">
      <c r="I19817" s="101"/>
    </row>
    <row r="19818" spans="9:9" x14ac:dyDescent="0.3">
      <c r="I19818" s="101"/>
    </row>
    <row r="19819" spans="9:9" x14ac:dyDescent="0.3">
      <c r="I19819" s="101"/>
    </row>
    <row r="19820" spans="9:9" x14ac:dyDescent="0.3">
      <c r="I19820" s="101"/>
    </row>
    <row r="19821" spans="9:9" x14ac:dyDescent="0.3">
      <c r="I19821" s="101"/>
    </row>
    <row r="19822" spans="9:9" x14ac:dyDescent="0.3">
      <c r="I19822" s="101"/>
    </row>
    <row r="19823" spans="9:9" x14ac:dyDescent="0.3">
      <c r="I19823" s="101"/>
    </row>
    <row r="19824" spans="9:9" x14ac:dyDescent="0.3">
      <c r="I19824" s="101"/>
    </row>
    <row r="19825" spans="9:9" x14ac:dyDescent="0.3">
      <c r="I19825" s="101"/>
    </row>
    <row r="19826" spans="9:9" x14ac:dyDescent="0.3">
      <c r="I19826" s="101"/>
    </row>
    <row r="19827" spans="9:9" x14ac:dyDescent="0.3">
      <c r="I19827" s="101"/>
    </row>
    <row r="19828" spans="9:9" x14ac:dyDescent="0.3">
      <c r="I19828" s="101"/>
    </row>
    <row r="19829" spans="9:9" x14ac:dyDescent="0.3">
      <c r="I19829" s="101"/>
    </row>
    <row r="19830" spans="9:9" x14ac:dyDescent="0.3">
      <c r="I19830" s="101"/>
    </row>
    <row r="19831" spans="9:9" x14ac:dyDescent="0.3">
      <c r="I19831" s="101"/>
    </row>
    <row r="19832" spans="9:9" x14ac:dyDescent="0.3">
      <c r="I19832" s="101"/>
    </row>
    <row r="19833" spans="9:9" x14ac:dyDescent="0.3">
      <c r="I19833" s="101"/>
    </row>
    <row r="19834" spans="9:9" x14ac:dyDescent="0.3">
      <c r="I19834" s="101"/>
    </row>
    <row r="19835" spans="9:9" x14ac:dyDescent="0.3">
      <c r="I19835" s="101"/>
    </row>
    <row r="19836" spans="9:9" x14ac:dyDescent="0.3">
      <c r="I19836" s="101"/>
    </row>
    <row r="19837" spans="9:9" x14ac:dyDescent="0.3">
      <c r="I19837" s="101"/>
    </row>
    <row r="19838" spans="9:9" x14ac:dyDescent="0.3">
      <c r="I19838" s="101"/>
    </row>
    <row r="19839" spans="9:9" x14ac:dyDescent="0.3">
      <c r="I19839" s="101"/>
    </row>
    <row r="19840" spans="9:9" x14ac:dyDescent="0.3">
      <c r="I19840" s="101"/>
    </row>
    <row r="19841" spans="9:9" x14ac:dyDescent="0.3">
      <c r="I19841" s="101"/>
    </row>
    <row r="19842" spans="9:9" x14ac:dyDescent="0.3">
      <c r="I19842" s="101"/>
    </row>
    <row r="19843" spans="9:9" x14ac:dyDescent="0.3">
      <c r="I19843" s="101"/>
    </row>
    <row r="19844" spans="9:9" x14ac:dyDescent="0.3">
      <c r="I19844" s="101"/>
    </row>
    <row r="19845" spans="9:9" x14ac:dyDescent="0.3">
      <c r="I19845" s="101"/>
    </row>
    <row r="19846" spans="9:9" x14ac:dyDescent="0.3">
      <c r="I19846" s="101"/>
    </row>
    <row r="19847" spans="9:9" x14ac:dyDescent="0.3">
      <c r="I19847" s="101"/>
    </row>
    <row r="19848" spans="9:9" x14ac:dyDescent="0.3">
      <c r="I19848" s="101"/>
    </row>
    <row r="19849" spans="9:9" x14ac:dyDescent="0.3">
      <c r="I19849" s="101"/>
    </row>
    <row r="19850" spans="9:9" x14ac:dyDescent="0.3">
      <c r="I19850" s="101"/>
    </row>
    <row r="19851" spans="9:9" x14ac:dyDescent="0.3">
      <c r="I19851" s="101"/>
    </row>
    <row r="19852" spans="9:9" x14ac:dyDescent="0.3">
      <c r="I19852" s="101"/>
    </row>
    <row r="19853" spans="9:9" x14ac:dyDescent="0.3">
      <c r="I19853" s="101"/>
    </row>
    <row r="19854" spans="9:9" x14ac:dyDescent="0.3">
      <c r="I19854" s="101"/>
    </row>
    <row r="19855" spans="9:9" x14ac:dyDescent="0.3">
      <c r="I19855" s="101"/>
    </row>
    <row r="19856" spans="9:9" x14ac:dyDescent="0.3">
      <c r="I19856" s="101"/>
    </row>
    <row r="19857" spans="9:9" x14ac:dyDescent="0.3">
      <c r="I19857" s="101"/>
    </row>
    <row r="19858" spans="9:9" x14ac:dyDescent="0.3">
      <c r="I19858" s="101"/>
    </row>
    <row r="19859" spans="9:9" x14ac:dyDescent="0.3">
      <c r="I19859" s="101"/>
    </row>
    <row r="19860" spans="9:9" x14ac:dyDescent="0.3">
      <c r="I19860" s="101"/>
    </row>
    <row r="19861" spans="9:9" x14ac:dyDescent="0.3">
      <c r="I19861" s="101"/>
    </row>
    <row r="19862" spans="9:9" x14ac:dyDescent="0.3">
      <c r="I19862" s="101"/>
    </row>
    <row r="19863" spans="9:9" x14ac:dyDescent="0.3">
      <c r="I19863" s="101"/>
    </row>
    <row r="19864" spans="9:9" x14ac:dyDescent="0.3">
      <c r="I19864" s="101"/>
    </row>
    <row r="19865" spans="9:9" x14ac:dyDescent="0.3">
      <c r="I19865" s="101"/>
    </row>
    <row r="19866" spans="9:9" x14ac:dyDescent="0.3">
      <c r="I19866" s="101"/>
    </row>
    <row r="19867" spans="9:9" x14ac:dyDescent="0.3">
      <c r="I19867" s="101"/>
    </row>
    <row r="19868" spans="9:9" x14ac:dyDescent="0.3">
      <c r="I19868" s="101"/>
    </row>
    <row r="19869" spans="9:9" x14ac:dyDescent="0.3">
      <c r="I19869" s="101"/>
    </row>
    <row r="19870" spans="9:9" x14ac:dyDescent="0.3">
      <c r="I19870" s="101"/>
    </row>
    <row r="19871" spans="9:9" x14ac:dyDescent="0.3">
      <c r="I19871" s="101"/>
    </row>
    <row r="19872" spans="9:9" x14ac:dyDescent="0.3">
      <c r="I19872" s="101"/>
    </row>
    <row r="19873" spans="9:9" x14ac:dyDescent="0.3">
      <c r="I19873" s="101"/>
    </row>
    <row r="19874" spans="9:9" x14ac:dyDescent="0.3">
      <c r="I19874" s="101"/>
    </row>
    <row r="19875" spans="9:9" x14ac:dyDescent="0.3">
      <c r="I19875" s="101"/>
    </row>
    <row r="19876" spans="9:9" x14ac:dyDescent="0.3">
      <c r="I19876" s="101"/>
    </row>
    <row r="19877" spans="9:9" x14ac:dyDescent="0.3">
      <c r="I19877" s="101"/>
    </row>
    <row r="19878" spans="9:9" x14ac:dyDescent="0.3">
      <c r="I19878" s="101"/>
    </row>
    <row r="19879" spans="9:9" x14ac:dyDescent="0.3">
      <c r="I19879" s="101"/>
    </row>
    <row r="19880" spans="9:9" x14ac:dyDescent="0.3">
      <c r="I19880" s="101"/>
    </row>
    <row r="19881" spans="9:9" x14ac:dyDescent="0.3">
      <c r="I19881" s="101"/>
    </row>
    <row r="19882" spans="9:9" x14ac:dyDescent="0.3">
      <c r="I19882" s="101"/>
    </row>
    <row r="19883" spans="9:9" x14ac:dyDescent="0.3">
      <c r="I19883" s="101"/>
    </row>
    <row r="19884" spans="9:9" x14ac:dyDescent="0.3">
      <c r="I19884" s="101"/>
    </row>
    <row r="19885" spans="9:9" x14ac:dyDescent="0.3">
      <c r="I19885" s="101"/>
    </row>
    <row r="19886" spans="9:9" x14ac:dyDescent="0.3">
      <c r="I19886" s="101"/>
    </row>
    <row r="19887" spans="9:9" x14ac:dyDescent="0.3">
      <c r="I19887" s="101"/>
    </row>
    <row r="19888" spans="9:9" x14ac:dyDescent="0.3">
      <c r="I19888" s="101"/>
    </row>
    <row r="19889" spans="9:9" x14ac:dyDescent="0.3">
      <c r="I19889" s="101"/>
    </row>
    <row r="19890" spans="9:9" x14ac:dyDescent="0.3">
      <c r="I19890" s="101"/>
    </row>
    <row r="19891" spans="9:9" x14ac:dyDescent="0.3">
      <c r="I19891" s="101"/>
    </row>
    <row r="19892" spans="9:9" x14ac:dyDescent="0.3">
      <c r="I19892" s="101"/>
    </row>
    <row r="19893" spans="9:9" x14ac:dyDescent="0.3">
      <c r="I19893" s="101"/>
    </row>
    <row r="19894" spans="9:9" x14ac:dyDescent="0.3">
      <c r="I19894" s="101"/>
    </row>
    <row r="19895" spans="9:9" x14ac:dyDescent="0.3">
      <c r="I19895" s="101"/>
    </row>
    <row r="19896" spans="9:9" x14ac:dyDescent="0.3">
      <c r="I19896" s="101"/>
    </row>
    <row r="19897" spans="9:9" x14ac:dyDescent="0.3">
      <c r="I19897" s="101"/>
    </row>
    <row r="19898" spans="9:9" x14ac:dyDescent="0.3">
      <c r="I19898" s="101"/>
    </row>
    <row r="19899" spans="9:9" x14ac:dyDescent="0.3">
      <c r="I19899" s="101"/>
    </row>
    <row r="19900" spans="9:9" x14ac:dyDescent="0.3">
      <c r="I19900" s="101"/>
    </row>
    <row r="19901" spans="9:9" x14ac:dyDescent="0.3">
      <c r="I19901" s="101"/>
    </row>
    <row r="19902" spans="9:9" x14ac:dyDescent="0.3">
      <c r="I19902" s="101"/>
    </row>
    <row r="19903" spans="9:9" x14ac:dyDescent="0.3">
      <c r="I19903" s="101"/>
    </row>
    <row r="19904" spans="9:9" x14ac:dyDescent="0.3">
      <c r="I19904" s="101"/>
    </row>
    <row r="19905" spans="9:9" x14ac:dyDescent="0.3">
      <c r="I19905" s="101"/>
    </row>
    <row r="19906" spans="9:9" x14ac:dyDescent="0.3">
      <c r="I19906" s="101"/>
    </row>
    <row r="19907" spans="9:9" x14ac:dyDescent="0.3">
      <c r="I19907" s="101"/>
    </row>
    <row r="19908" spans="9:9" x14ac:dyDescent="0.3">
      <c r="I19908" s="101"/>
    </row>
    <row r="19909" spans="9:9" x14ac:dyDescent="0.3">
      <c r="I19909" s="101"/>
    </row>
    <row r="19910" spans="9:9" x14ac:dyDescent="0.3">
      <c r="I19910" s="101"/>
    </row>
    <row r="19911" spans="9:9" x14ac:dyDescent="0.3">
      <c r="I19911" s="101"/>
    </row>
    <row r="19912" spans="9:9" x14ac:dyDescent="0.3">
      <c r="I19912" s="101"/>
    </row>
    <row r="19913" spans="9:9" x14ac:dyDescent="0.3">
      <c r="I19913" s="101"/>
    </row>
    <row r="19914" spans="9:9" x14ac:dyDescent="0.3">
      <c r="I19914" s="101"/>
    </row>
    <row r="19915" spans="9:9" x14ac:dyDescent="0.3">
      <c r="I19915" s="101"/>
    </row>
    <row r="19916" spans="9:9" x14ac:dyDescent="0.3">
      <c r="I19916" s="101"/>
    </row>
    <row r="19917" spans="9:9" x14ac:dyDescent="0.3">
      <c r="I19917" s="101"/>
    </row>
    <row r="19918" spans="9:9" x14ac:dyDescent="0.3">
      <c r="I19918" s="101"/>
    </row>
    <row r="19919" spans="9:9" x14ac:dyDescent="0.3">
      <c r="I19919" s="101"/>
    </row>
    <row r="19920" spans="9:9" x14ac:dyDescent="0.3">
      <c r="I19920" s="101"/>
    </row>
    <row r="19921" spans="9:9" x14ac:dyDescent="0.3">
      <c r="I19921" s="101"/>
    </row>
    <row r="19922" spans="9:9" x14ac:dyDescent="0.3">
      <c r="I19922" s="101"/>
    </row>
    <row r="19923" spans="9:9" x14ac:dyDescent="0.3">
      <c r="I19923" s="101"/>
    </row>
    <row r="19924" spans="9:9" x14ac:dyDescent="0.3">
      <c r="I19924" s="101"/>
    </row>
    <row r="19925" spans="9:9" x14ac:dyDescent="0.3">
      <c r="I19925" s="101"/>
    </row>
    <row r="19926" spans="9:9" x14ac:dyDescent="0.3">
      <c r="I19926" s="101"/>
    </row>
    <row r="19927" spans="9:9" x14ac:dyDescent="0.3">
      <c r="I19927" s="101"/>
    </row>
    <row r="19928" spans="9:9" x14ac:dyDescent="0.3">
      <c r="I19928" s="101"/>
    </row>
    <row r="19929" spans="9:9" x14ac:dyDescent="0.3">
      <c r="I19929" s="101"/>
    </row>
    <row r="19930" spans="9:9" x14ac:dyDescent="0.3">
      <c r="I19930" s="101"/>
    </row>
    <row r="19931" spans="9:9" x14ac:dyDescent="0.3">
      <c r="I19931" s="101"/>
    </row>
    <row r="19932" spans="9:9" x14ac:dyDescent="0.3">
      <c r="I19932" s="101"/>
    </row>
    <row r="19933" spans="9:9" x14ac:dyDescent="0.3">
      <c r="I19933" s="101"/>
    </row>
    <row r="19934" spans="9:9" x14ac:dyDescent="0.3">
      <c r="I19934" s="101"/>
    </row>
    <row r="19935" spans="9:9" x14ac:dyDescent="0.3">
      <c r="I19935" s="101"/>
    </row>
    <row r="19936" spans="9:9" x14ac:dyDescent="0.3">
      <c r="I19936" s="101"/>
    </row>
    <row r="19937" spans="9:9" x14ac:dyDescent="0.3">
      <c r="I19937" s="101"/>
    </row>
    <row r="19938" spans="9:9" x14ac:dyDescent="0.3">
      <c r="I19938" s="101"/>
    </row>
    <row r="19939" spans="9:9" x14ac:dyDescent="0.3">
      <c r="I19939" s="101"/>
    </row>
    <row r="19940" spans="9:9" x14ac:dyDescent="0.3">
      <c r="I19940" s="101"/>
    </row>
    <row r="19941" spans="9:9" x14ac:dyDescent="0.3">
      <c r="I19941" s="101"/>
    </row>
    <row r="19942" spans="9:9" x14ac:dyDescent="0.3">
      <c r="I19942" s="101"/>
    </row>
    <row r="19943" spans="9:9" x14ac:dyDescent="0.3">
      <c r="I19943" s="101"/>
    </row>
    <row r="19944" spans="9:9" x14ac:dyDescent="0.3">
      <c r="I19944" s="101"/>
    </row>
    <row r="19945" spans="9:9" x14ac:dyDescent="0.3">
      <c r="I19945" s="101"/>
    </row>
    <row r="19946" spans="9:9" x14ac:dyDescent="0.3">
      <c r="I19946" s="101"/>
    </row>
    <row r="19947" spans="9:9" x14ac:dyDescent="0.3">
      <c r="I19947" s="101"/>
    </row>
    <row r="19948" spans="9:9" x14ac:dyDescent="0.3">
      <c r="I19948" s="101"/>
    </row>
    <row r="19949" spans="9:9" x14ac:dyDescent="0.3">
      <c r="I19949" s="101"/>
    </row>
    <row r="19950" spans="9:9" x14ac:dyDescent="0.3">
      <c r="I19950" s="101"/>
    </row>
    <row r="19951" spans="9:9" x14ac:dyDescent="0.3">
      <c r="I19951" s="101"/>
    </row>
    <row r="19952" spans="9:9" x14ac:dyDescent="0.3">
      <c r="I19952" s="101"/>
    </row>
    <row r="19953" spans="9:9" x14ac:dyDescent="0.3">
      <c r="I19953" s="101"/>
    </row>
    <row r="19954" spans="9:9" x14ac:dyDescent="0.3">
      <c r="I19954" s="101"/>
    </row>
    <row r="19955" spans="9:9" x14ac:dyDescent="0.3">
      <c r="I19955" s="101"/>
    </row>
    <row r="19956" spans="9:9" x14ac:dyDescent="0.3">
      <c r="I19956" s="101"/>
    </row>
    <row r="19957" spans="9:9" x14ac:dyDescent="0.3">
      <c r="I19957" s="101"/>
    </row>
    <row r="19958" spans="9:9" x14ac:dyDescent="0.3">
      <c r="I19958" s="101"/>
    </row>
    <row r="19959" spans="9:9" x14ac:dyDescent="0.3">
      <c r="I19959" s="101"/>
    </row>
    <row r="19960" spans="9:9" x14ac:dyDescent="0.3">
      <c r="I19960" s="101"/>
    </row>
    <row r="19961" spans="9:9" x14ac:dyDescent="0.3">
      <c r="I19961" s="101"/>
    </row>
    <row r="19962" spans="9:9" x14ac:dyDescent="0.3">
      <c r="I19962" s="101"/>
    </row>
    <row r="19963" spans="9:9" x14ac:dyDescent="0.3">
      <c r="I19963" s="101"/>
    </row>
    <row r="19964" spans="9:9" x14ac:dyDescent="0.3">
      <c r="I19964" s="101"/>
    </row>
    <row r="19965" spans="9:9" x14ac:dyDescent="0.3">
      <c r="I19965" s="101"/>
    </row>
    <row r="19966" spans="9:9" x14ac:dyDescent="0.3">
      <c r="I19966" s="101"/>
    </row>
    <row r="19967" spans="9:9" x14ac:dyDescent="0.3">
      <c r="I19967" s="101"/>
    </row>
    <row r="19968" spans="9:9" x14ac:dyDescent="0.3">
      <c r="I19968" s="101"/>
    </row>
    <row r="19969" spans="9:9" x14ac:dyDescent="0.3">
      <c r="I19969" s="101"/>
    </row>
    <row r="19970" spans="9:9" x14ac:dyDescent="0.3">
      <c r="I19970" s="101"/>
    </row>
    <row r="19971" spans="9:9" x14ac:dyDescent="0.3">
      <c r="I19971" s="101"/>
    </row>
    <row r="19972" spans="9:9" x14ac:dyDescent="0.3">
      <c r="I19972" s="101"/>
    </row>
    <row r="19973" spans="9:9" x14ac:dyDescent="0.3">
      <c r="I19973" s="101"/>
    </row>
    <row r="19974" spans="9:9" x14ac:dyDescent="0.3">
      <c r="I19974" s="101"/>
    </row>
    <row r="19975" spans="9:9" x14ac:dyDescent="0.3">
      <c r="I19975" s="101"/>
    </row>
    <row r="19976" spans="9:9" x14ac:dyDescent="0.3">
      <c r="I19976" s="101"/>
    </row>
    <row r="19977" spans="9:9" x14ac:dyDescent="0.3">
      <c r="I19977" s="101"/>
    </row>
    <row r="19978" spans="9:9" x14ac:dyDescent="0.3">
      <c r="I19978" s="101"/>
    </row>
    <row r="19979" spans="9:9" x14ac:dyDescent="0.3">
      <c r="I19979" s="101"/>
    </row>
    <row r="19980" spans="9:9" x14ac:dyDescent="0.3">
      <c r="I19980" s="101"/>
    </row>
    <row r="19981" spans="9:9" x14ac:dyDescent="0.3">
      <c r="I19981" s="101"/>
    </row>
    <row r="19982" spans="9:9" x14ac:dyDescent="0.3">
      <c r="I19982" s="101"/>
    </row>
    <row r="19983" spans="9:9" x14ac:dyDescent="0.3">
      <c r="I19983" s="101"/>
    </row>
    <row r="19984" spans="9:9" x14ac:dyDescent="0.3">
      <c r="I19984" s="101"/>
    </row>
    <row r="19985" spans="9:9" x14ac:dyDescent="0.3">
      <c r="I19985" s="101"/>
    </row>
    <row r="19986" spans="9:9" x14ac:dyDescent="0.3">
      <c r="I19986" s="101"/>
    </row>
    <row r="19987" spans="9:9" x14ac:dyDescent="0.3">
      <c r="I19987" s="101"/>
    </row>
    <row r="19988" spans="9:9" x14ac:dyDescent="0.3">
      <c r="I19988" s="101"/>
    </row>
    <row r="19989" spans="9:9" x14ac:dyDescent="0.3">
      <c r="I19989" s="101"/>
    </row>
    <row r="19990" spans="9:9" x14ac:dyDescent="0.3">
      <c r="I19990" s="101"/>
    </row>
    <row r="19991" spans="9:9" x14ac:dyDescent="0.3">
      <c r="I19991" s="101"/>
    </row>
    <row r="19992" spans="9:9" x14ac:dyDescent="0.3">
      <c r="I19992" s="101"/>
    </row>
    <row r="19993" spans="9:9" x14ac:dyDescent="0.3">
      <c r="I19993" s="101"/>
    </row>
    <row r="19994" spans="9:9" x14ac:dyDescent="0.3">
      <c r="I19994" s="101"/>
    </row>
    <row r="19995" spans="9:9" x14ac:dyDescent="0.3">
      <c r="I19995" s="101"/>
    </row>
    <row r="19996" spans="9:9" x14ac:dyDescent="0.3">
      <c r="I19996" s="101"/>
    </row>
    <row r="19997" spans="9:9" x14ac:dyDescent="0.3">
      <c r="I19997" s="101"/>
    </row>
    <row r="19998" spans="9:9" x14ac:dyDescent="0.3">
      <c r="I19998" s="101"/>
    </row>
    <row r="19999" spans="9:9" x14ac:dyDescent="0.3">
      <c r="I19999" s="101"/>
    </row>
    <row r="20000" spans="9:9" x14ac:dyDescent="0.3">
      <c r="I20000" s="101"/>
    </row>
    <row r="20001" spans="9:9" x14ac:dyDescent="0.3">
      <c r="I20001" s="101"/>
    </row>
    <row r="20002" spans="9:9" x14ac:dyDescent="0.3">
      <c r="I20002" s="101"/>
    </row>
    <row r="20003" spans="9:9" x14ac:dyDescent="0.3">
      <c r="I20003" s="101"/>
    </row>
    <row r="20004" spans="9:9" x14ac:dyDescent="0.3">
      <c r="I20004" s="101"/>
    </row>
    <row r="20005" spans="9:9" x14ac:dyDescent="0.3">
      <c r="I20005" s="101"/>
    </row>
    <row r="20006" spans="9:9" x14ac:dyDescent="0.3">
      <c r="I20006" s="101"/>
    </row>
    <row r="20007" spans="9:9" x14ac:dyDescent="0.3">
      <c r="I20007" s="101"/>
    </row>
    <row r="20008" spans="9:9" x14ac:dyDescent="0.3">
      <c r="I20008" s="101"/>
    </row>
    <row r="20009" spans="9:9" x14ac:dyDescent="0.3">
      <c r="I20009" s="101"/>
    </row>
    <row r="20010" spans="9:9" x14ac:dyDescent="0.3">
      <c r="I20010" s="101"/>
    </row>
    <row r="20011" spans="9:9" x14ac:dyDescent="0.3">
      <c r="I20011" s="101"/>
    </row>
    <row r="20012" spans="9:9" x14ac:dyDescent="0.3">
      <c r="I20012" s="101"/>
    </row>
    <row r="20013" spans="9:9" x14ac:dyDescent="0.3">
      <c r="I20013" s="101"/>
    </row>
    <row r="20014" spans="9:9" x14ac:dyDescent="0.3">
      <c r="I20014" s="101"/>
    </row>
    <row r="20015" spans="9:9" x14ac:dyDescent="0.3">
      <c r="I20015" s="101"/>
    </row>
    <row r="20016" spans="9:9" x14ac:dyDescent="0.3">
      <c r="I20016" s="101"/>
    </row>
    <row r="20017" spans="9:9" x14ac:dyDescent="0.3">
      <c r="I20017" s="101"/>
    </row>
    <row r="20018" spans="9:9" x14ac:dyDescent="0.3">
      <c r="I20018" s="101"/>
    </row>
    <row r="20019" spans="9:9" x14ac:dyDescent="0.3">
      <c r="I20019" s="101"/>
    </row>
    <row r="20020" spans="9:9" x14ac:dyDescent="0.3">
      <c r="I20020" s="101"/>
    </row>
    <row r="20021" spans="9:9" x14ac:dyDescent="0.3">
      <c r="I20021" s="101"/>
    </row>
    <row r="20022" spans="9:9" x14ac:dyDescent="0.3">
      <c r="I20022" s="101"/>
    </row>
    <row r="20023" spans="9:9" x14ac:dyDescent="0.3">
      <c r="I20023" s="101"/>
    </row>
    <row r="20024" spans="9:9" x14ac:dyDescent="0.3">
      <c r="I20024" s="101"/>
    </row>
    <row r="20025" spans="9:9" x14ac:dyDescent="0.3">
      <c r="I20025" s="101"/>
    </row>
    <row r="20026" spans="9:9" x14ac:dyDescent="0.3">
      <c r="I20026" s="101"/>
    </row>
    <row r="20027" spans="9:9" x14ac:dyDescent="0.3">
      <c r="I20027" s="101"/>
    </row>
    <row r="20028" spans="9:9" x14ac:dyDescent="0.3">
      <c r="I20028" s="101"/>
    </row>
    <row r="20029" spans="9:9" x14ac:dyDescent="0.3">
      <c r="I20029" s="101"/>
    </row>
    <row r="20030" spans="9:9" x14ac:dyDescent="0.3">
      <c r="I20030" s="101"/>
    </row>
    <row r="20031" spans="9:9" x14ac:dyDescent="0.3">
      <c r="I20031" s="101"/>
    </row>
    <row r="20032" spans="9:9" x14ac:dyDescent="0.3">
      <c r="I20032" s="101"/>
    </row>
    <row r="20033" spans="9:9" x14ac:dyDescent="0.3">
      <c r="I20033" s="101"/>
    </row>
    <row r="20034" spans="9:9" x14ac:dyDescent="0.3">
      <c r="I20034" s="101"/>
    </row>
    <row r="20035" spans="9:9" x14ac:dyDescent="0.3">
      <c r="I20035" s="101"/>
    </row>
    <row r="20036" spans="9:9" x14ac:dyDescent="0.3">
      <c r="I20036" s="101"/>
    </row>
    <row r="20037" spans="9:9" x14ac:dyDescent="0.3">
      <c r="I20037" s="101"/>
    </row>
    <row r="20038" spans="9:9" x14ac:dyDescent="0.3">
      <c r="I20038" s="101"/>
    </row>
    <row r="20039" spans="9:9" x14ac:dyDescent="0.3">
      <c r="I20039" s="101"/>
    </row>
    <row r="20040" spans="9:9" x14ac:dyDescent="0.3">
      <c r="I20040" s="101"/>
    </row>
    <row r="20041" spans="9:9" x14ac:dyDescent="0.3">
      <c r="I20041" s="101"/>
    </row>
    <row r="20042" spans="9:9" x14ac:dyDescent="0.3">
      <c r="I20042" s="101"/>
    </row>
    <row r="20043" spans="9:9" x14ac:dyDescent="0.3">
      <c r="I20043" s="101"/>
    </row>
    <row r="20044" spans="9:9" x14ac:dyDescent="0.3">
      <c r="I20044" s="101"/>
    </row>
    <row r="20045" spans="9:9" x14ac:dyDescent="0.3">
      <c r="I20045" s="101"/>
    </row>
    <row r="20046" spans="9:9" x14ac:dyDescent="0.3">
      <c r="I20046" s="101"/>
    </row>
    <row r="20047" spans="9:9" x14ac:dyDescent="0.3">
      <c r="I20047" s="101"/>
    </row>
    <row r="20048" spans="9:9" x14ac:dyDescent="0.3">
      <c r="I20048" s="101"/>
    </row>
    <row r="20049" spans="9:9" x14ac:dyDescent="0.3">
      <c r="I20049" s="101"/>
    </row>
    <row r="20050" spans="9:9" x14ac:dyDescent="0.3">
      <c r="I20050" s="101"/>
    </row>
    <row r="20051" spans="9:9" x14ac:dyDescent="0.3">
      <c r="I20051" s="101"/>
    </row>
    <row r="20052" spans="9:9" x14ac:dyDescent="0.3">
      <c r="I20052" s="101"/>
    </row>
    <row r="20053" spans="9:9" x14ac:dyDescent="0.3">
      <c r="I20053" s="101"/>
    </row>
    <row r="20054" spans="9:9" x14ac:dyDescent="0.3">
      <c r="I20054" s="101"/>
    </row>
    <row r="20055" spans="9:9" x14ac:dyDescent="0.3">
      <c r="I20055" s="101"/>
    </row>
    <row r="20056" spans="9:9" x14ac:dyDescent="0.3">
      <c r="I20056" s="101"/>
    </row>
    <row r="20057" spans="9:9" x14ac:dyDescent="0.3">
      <c r="I20057" s="101"/>
    </row>
    <row r="20058" spans="9:9" x14ac:dyDescent="0.3">
      <c r="I20058" s="101"/>
    </row>
    <row r="20059" spans="9:9" x14ac:dyDescent="0.3">
      <c r="I20059" s="101"/>
    </row>
    <row r="20060" spans="9:9" x14ac:dyDescent="0.3">
      <c r="I20060" s="101"/>
    </row>
    <row r="20061" spans="9:9" x14ac:dyDescent="0.3">
      <c r="I20061" s="101"/>
    </row>
    <row r="20062" spans="9:9" x14ac:dyDescent="0.3">
      <c r="I20062" s="101"/>
    </row>
    <row r="20063" spans="9:9" x14ac:dyDescent="0.3">
      <c r="I20063" s="101"/>
    </row>
    <row r="20064" spans="9:9" x14ac:dyDescent="0.3">
      <c r="I20064" s="101"/>
    </row>
    <row r="20065" spans="9:9" x14ac:dyDescent="0.3">
      <c r="I20065" s="101"/>
    </row>
    <row r="20066" spans="9:9" x14ac:dyDescent="0.3">
      <c r="I20066" s="101"/>
    </row>
    <row r="20067" spans="9:9" x14ac:dyDescent="0.3">
      <c r="I20067" s="101"/>
    </row>
    <row r="20068" spans="9:9" x14ac:dyDescent="0.3">
      <c r="I20068" s="101"/>
    </row>
    <row r="20069" spans="9:9" x14ac:dyDescent="0.3">
      <c r="I20069" s="101"/>
    </row>
    <row r="20070" spans="9:9" x14ac:dyDescent="0.3">
      <c r="I20070" s="101"/>
    </row>
    <row r="20071" spans="9:9" x14ac:dyDescent="0.3">
      <c r="I20071" s="101"/>
    </row>
    <row r="20072" spans="9:9" x14ac:dyDescent="0.3">
      <c r="I20072" s="101"/>
    </row>
    <row r="20073" spans="9:9" x14ac:dyDescent="0.3">
      <c r="I20073" s="101"/>
    </row>
    <row r="20074" spans="9:9" x14ac:dyDescent="0.3">
      <c r="I20074" s="101"/>
    </row>
    <row r="20075" spans="9:9" x14ac:dyDescent="0.3">
      <c r="I20075" s="101"/>
    </row>
    <row r="20076" spans="9:9" x14ac:dyDescent="0.3">
      <c r="I20076" s="101"/>
    </row>
    <row r="20077" spans="9:9" x14ac:dyDescent="0.3">
      <c r="I20077" s="101"/>
    </row>
    <row r="20078" spans="9:9" x14ac:dyDescent="0.3">
      <c r="I20078" s="101"/>
    </row>
    <row r="20079" spans="9:9" x14ac:dyDescent="0.3">
      <c r="I20079" s="101"/>
    </row>
    <row r="20080" spans="9:9" x14ac:dyDescent="0.3">
      <c r="I20080" s="101"/>
    </row>
    <row r="20081" spans="9:9" x14ac:dyDescent="0.3">
      <c r="I20081" s="101"/>
    </row>
    <row r="20082" spans="9:9" x14ac:dyDescent="0.3">
      <c r="I20082" s="101"/>
    </row>
    <row r="20083" spans="9:9" x14ac:dyDescent="0.3">
      <c r="I20083" s="101"/>
    </row>
    <row r="20084" spans="9:9" x14ac:dyDescent="0.3">
      <c r="I20084" s="101"/>
    </row>
    <row r="20085" spans="9:9" x14ac:dyDescent="0.3">
      <c r="I20085" s="101"/>
    </row>
    <row r="20086" spans="9:9" x14ac:dyDescent="0.3">
      <c r="I20086" s="101"/>
    </row>
    <row r="20087" spans="9:9" x14ac:dyDescent="0.3">
      <c r="I20087" s="101"/>
    </row>
    <row r="20088" spans="9:9" x14ac:dyDescent="0.3">
      <c r="I20088" s="101"/>
    </row>
    <row r="20089" spans="9:9" x14ac:dyDescent="0.3">
      <c r="I20089" s="101"/>
    </row>
    <row r="20090" spans="9:9" x14ac:dyDescent="0.3">
      <c r="I20090" s="101"/>
    </row>
    <row r="20091" spans="9:9" x14ac:dyDescent="0.3">
      <c r="I20091" s="101"/>
    </row>
    <row r="20092" spans="9:9" x14ac:dyDescent="0.3">
      <c r="I20092" s="101"/>
    </row>
    <row r="20093" spans="9:9" x14ac:dyDescent="0.3">
      <c r="I20093" s="101"/>
    </row>
    <row r="20094" spans="9:9" x14ac:dyDescent="0.3">
      <c r="I20094" s="101"/>
    </row>
    <row r="20095" spans="9:9" x14ac:dyDescent="0.3">
      <c r="I20095" s="101"/>
    </row>
    <row r="20096" spans="9:9" x14ac:dyDescent="0.3">
      <c r="I20096" s="101"/>
    </row>
    <row r="20097" spans="9:9" x14ac:dyDescent="0.3">
      <c r="I20097" s="101"/>
    </row>
    <row r="20098" spans="9:9" x14ac:dyDescent="0.3">
      <c r="I20098" s="101"/>
    </row>
    <row r="20099" spans="9:9" x14ac:dyDescent="0.3">
      <c r="I20099" s="101"/>
    </row>
    <row r="20100" spans="9:9" x14ac:dyDescent="0.3">
      <c r="I20100" s="101"/>
    </row>
    <row r="20101" spans="9:9" x14ac:dyDescent="0.3">
      <c r="I20101" s="101"/>
    </row>
    <row r="20102" spans="9:9" x14ac:dyDescent="0.3">
      <c r="I20102" s="101"/>
    </row>
    <row r="20103" spans="9:9" x14ac:dyDescent="0.3">
      <c r="I20103" s="101"/>
    </row>
    <row r="20104" spans="9:9" x14ac:dyDescent="0.3">
      <c r="I20104" s="101"/>
    </row>
    <row r="20105" spans="9:9" x14ac:dyDescent="0.3">
      <c r="I20105" s="101"/>
    </row>
    <row r="20106" spans="9:9" x14ac:dyDescent="0.3">
      <c r="I20106" s="101"/>
    </row>
    <row r="20107" spans="9:9" x14ac:dyDescent="0.3">
      <c r="I20107" s="101"/>
    </row>
    <row r="20108" spans="9:9" x14ac:dyDescent="0.3">
      <c r="I20108" s="101"/>
    </row>
    <row r="20109" spans="9:9" x14ac:dyDescent="0.3">
      <c r="I20109" s="101"/>
    </row>
    <row r="20110" spans="9:9" x14ac:dyDescent="0.3">
      <c r="I20110" s="101"/>
    </row>
    <row r="20111" spans="9:9" x14ac:dyDescent="0.3">
      <c r="I20111" s="101"/>
    </row>
    <row r="20112" spans="9:9" x14ac:dyDescent="0.3">
      <c r="I20112" s="101"/>
    </row>
    <row r="20113" spans="9:9" x14ac:dyDescent="0.3">
      <c r="I20113" s="101"/>
    </row>
    <row r="20114" spans="9:9" x14ac:dyDescent="0.3">
      <c r="I20114" s="101"/>
    </row>
    <row r="20115" spans="9:9" x14ac:dyDescent="0.3">
      <c r="I20115" s="101"/>
    </row>
    <row r="20116" spans="9:9" x14ac:dyDescent="0.3">
      <c r="I20116" s="101"/>
    </row>
    <row r="20117" spans="9:9" x14ac:dyDescent="0.3">
      <c r="I20117" s="101"/>
    </row>
    <row r="20118" spans="9:9" x14ac:dyDescent="0.3">
      <c r="I20118" s="101"/>
    </row>
    <row r="20119" spans="9:9" x14ac:dyDescent="0.3">
      <c r="I20119" s="101"/>
    </row>
    <row r="20120" spans="9:9" x14ac:dyDescent="0.3">
      <c r="I20120" s="101"/>
    </row>
    <row r="20121" spans="9:9" x14ac:dyDescent="0.3">
      <c r="I20121" s="101"/>
    </row>
    <row r="20122" spans="9:9" x14ac:dyDescent="0.3">
      <c r="I20122" s="101"/>
    </row>
    <row r="20123" spans="9:9" x14ac:dyDescent="0.3">
      <c r="I20123" s="101"/>
    </row>
    <row r="20124" spans="9:9" x14ac:dyDescent="0.3">
      <c r="I20124" s="101"/>
    </row>
    <row r="20125" spans="9:9" x14ac:dyDescent="0.3">
      <c r="I20125" s="101"/>
    </row>
    <row r="20126" spans="9:9" x14ac:dyDescent="0.3">
      <c r="I20126" s="101"/>
    </row>
    <row r="20127" spans="9:9" x14ac:dyDescent="0.3">
      <c r="I20127" s="101"/>
    </row>
    <row r="20128" spans="9:9" x14ac:dyDescent="0.3">
      <c r="I20128" s="101"/>
    </row>
    <row r="20129" spans="9:9" x14ac:dyDescent="0.3">
      <c r="I20129" s="101"/>
    </row>
    <row r="20130" spans="9:9" x14ac:dyDescent="0.3">
      <c r="I20130" s="101"/>
    </row>
    <row r="20131" spans="9:9" x14ac:dyDescent="0.3">
      <c r="I20131" s="101"/>
    </row>
    <row r="20132" spans="9:9" x14ac:dyDescent="0.3">
      <c r="I20132" s="101"/>
    </row>
    <row r="20133" spans="9:9" x14ac:dyDescent="0.3">
      <c r="I20133" s="101"/>
    </row>
    <row r="20134" spans="9:9" x14ac:dyDescent="0.3">
      <c r="I20134" s="101"/>
    </row>
    <row r="20135" spans="9:9" x14ac:dyDescent="0.3">
      <c r="I20135" s="101"/>
    </row>
    <row r="20136" spans="9:9" x14ac:dyDescent="0.3">
      <c r="I20136" s="101"/>
    </row>
    <row r="20137" spans="9:9" x14ac:dyDescent="0.3">
      <c r="I20137" s="101"/>
    </row>
    <row r="20138" spans="9:9" x14ac:dyDescent="0.3">
      <c r="I20138" s="101"/>
    </row>
    <row r="20139" spans="9:9" x14ac:dyDescent="0.3">
      <c r="I20139" s="101"/>
    </row>
    <row r="20140" spans="9:9" x14ac:dyDescent="0.3">
      <c r="I20140" s="101"/>
    </row>
    <row r="20141" spans="9:9" x14ac:dyDescent="0.3">
      <c r="I20141" s="101"/>
    </row>
    <row r="20142" spans="9:9" x14ac:dyDescent="0.3">
      <c r="I20142" s="101"/>
    </row>
    <row r="20143" spans="9:9" x14ac:dyDescent="0.3">
      <c r="I20143" s="101"/>
    </row>
    <row r="20144" spans="9:9" x14ac:dyDescent="0.3">
      <c r="I20144" s="101"/>
    </row>
    <row r="20145" spans="9:9" x14ac:dyDescent="0.3">
      <c r="I20145" s="101"/>
    </row>
    <row r="20146" spans="9:9" x14ac:dyDescent="0.3">
      <c r="I20146" s="101"/>
    </row>
    <row r="20147" spans="9:9" x14ac:dyDescent="0.3">
      <c r="I20147" s="101"/>
    </row>
    <row r="20148" spans="9:9" x14ac:dyDescent="0.3">
      <c r="I20148" s="101"/>
    </row>
    <row r="20149" spans="9:9" x14ac:dyDescent="0.3">
      <c r="I20149" s="101"/>
    </row>
    <row r="20150" spans="9:9" x14ac:dyDescent="0.3">
      <c r="I20150" s="101"/>
    </row>
    <row r="20151" spans="9:9" x14ac:dyDescent="0.3">
      <c r="I20151" s="101"/>
    </row>
    <row r="20152" spans="9:9" x14ac:dyDescent="0.3">
      <c r="I20152" s="101"/>
    </row>
    <row r="20153" spans="9:9" x14ac:dyDescent="0.3">
      <c r="I20153" s="101"/>
    </row>
    <row r="20154" spans="9:9" x14ac:dyDescent="0.3">
      <c r="I20154" s="101"/>
    </row>
    <row r="20155" spans="9:9" x14ac:dyDescent="0.3">
      <c r="I20155" s="101"/>
    </row>
    <row r="20156" spans="9:9" x14ac:dyDescent="0.3">
      <c r="I20156" s="101"/>
    </row>
    <row r="20157" spans="9:9" x14ac:dyDescent="0.3">
      <c r="I20157" s="101"/>
    </row>
    <row r="20158" spans="9:9" x14ac:dyDescent="0.3">
      <c r="I20158" s="101"/>
    </row>
    <row r="20159" spans="9:9" x14ac:dyDescent="0.3">
      <c r="I20159" s="101"/>
    </row>
    <row r="20160" spans="9:9" x14ac:dyDescent="0.3">
      <c r="I20160" s="101"/>
    </row>
    <row r="20161" spans="9:9" x14ac:dyDescent="0.3">
      <c r="I20161" s="101"/>
    </row>
    <row r="20162" spans="9:9" x14ac:dyDescent="0.3">
      <c r="I20162" s="101"/>
    </row>
    <row r="20163" spans="9:9" x14ac:dyDescent="0.3">
      <c r="I20163" s="101"/>
    </row>
    <row r="20164" spans="9:9" x14ac:dyDescent="0.3">
      <c r="I20164" s="101"/>
    </row>
    <row r="20165" spans="9:9" x14ac:dyDescent="0.3">
      <c r="I20165" s="101"/>
    </row>
    <row r="20166" spans="9:9" x14ac:dyDescent="0.3">
      <c r="I20166" s="101"/>
    </row>
    <row r="20167" spans="9:9" x14ac:dyDescent="0.3">
      <c r="I20167" s="101"/>
    </row>
    <row r="20168" spans="9:9" x14ac:dyDescent="0.3">
      <c r="I20168" s="101"/>
    </row>
    <row r="20169" spans="9:9" x14ac:dyDescent="0.3">
      <c r="I20169" s="101"/>
    </row>
    <row r="20170" spans="9:9" x14ac:dyDescent="0.3">
      <c r="I20170" s="101"/>
    </row>
    <row r="20171" spans="9:9" x14ac:dyDescent="0.3">
      <c r="I20171" s="101"/>
    </row>
    <row r="20172" spans="9:9" x14ac:dyDescent="0.3">
      <c r="I20172" s="101"/>
    </row>
    <row r="20173" spans="9:9" x14ac:dyDescent="0.3">
      <c r="I20173" s="101"/>
    </row>
    <row r="20174" spans="9:9" x14ac:dyDescent="0.3">
      <c r="I20174" s="101"/>
    </row>
    <row r="20175" spans="9:9" x14ac:dyDescent="0.3">
      <c r="I20175" s="101"/>
    </row>
    <row r="20176" spans="9:9" x14ac:dyDescent="0.3">
      <c r="I20176" s="101"/>
    </row>
    <row r="20177" spans="9:9" x14ac:dyDescent="0.3">
      <c r="I20177" s="101"/>
    </row>
    <row r="20178" spans="9:9" x14ac:dyDescent="0.3">
      <c r="I20178" s="101"/>
    </row>
    <row r="20179" spans="9:9" x14ac:dyDescent="0.3">
      <c r="I20179" s="101"/>
    </row>
    <row r="20180" spans="9:9" x14ac:dyDescent="0.3">
      <c r="I20180" s="101"/>
    </row>
    <row r="20181" spans="9:9" x14ac:dyDescent="0.3">
      <c r="I20181" s="101"/>
    </row>
    <row r="20182" spans="9:9" x14ac:dyDescent="0.3">
      <c r="I20182" s="101"/>
    </row>
    <row r="20183" spans="9:9" x14ac:dyDescent="0.3">
      <c r="I20183" s="101"/>
    </row>
    <row r="20184" spans="9:9" x14ac:dyDescent="0.3">
      <c r="I20184" s="101"/>
    </row>
    <row r="20185" spans="9:9" x14ac:dyDescent="0.3">
      <c r="I20185" s="101"/>
    </row>
    <row r="20186" spans="9:9" x14ac:dyDescent="0.3">
      <c r="I20186" s="101"/>
    </row>
    <row r="20187" spans="9:9" x14ac:dyDescent="0.3">
      <c r="I20187" s="101"/>
    </row>
    <row r="20188" spans="9:9" x14ac:dyDescent="0.3">
      <c r="I20188" s="101"/>
    </row>
    <row r="20189" spans="9:9" x14ac:dyDescent="0.3">
      <c r="I20189" s="101"/>
    </row>
    <row r="20190" spans="9:9" x14ac:dyDescent="0.3">
      <c r="I20190" s="101"/>
    </row>
    <row r="20191" spans="9:9" x14ac:dyDescent="0.3">
      <c r="I20191" s="101"/>
    </row>
    <row r="20192" spans="9:9" x14ac:dyDescent="0.3">
      <c r="I20192" s="101"/>
    </row>
    <row r="20193" spans="9:9" x14ac:dyDescent="0.3">
      <c r="I20193" s="101"/>
    </row>
    <row r="20194" spans="9:9" x14ac:dyDescent="0.3">
      <c r="I20194" s="101"/>
    </row>
    <row r="20195" spans="9:9" x14ac:dyDescent="0.3">
      <c r="I20195" s="101"/>
    </row>
    <row r="20196" spans="9:9" x14ac:dyDescent="0.3">
      <c r="I20196" s="101"/>
    </row>
    <row r="20197" spans="9:9" x14ac:dyDescent="0.3">
      <c r="I20197" s="101"/>
    </row>
    <row r="20198" spans="9:9" x14ac:dyDescent="0.3">
      <c r="I20198" s="101"/>
    </row>
    <row r="20199" spans="9:9" x14ac:dyDescent="0.3">
      <c r="I20199" s="101"/>
    </row>
    <row r="20200" spans="9:9" x14ac:dyDescent="0.3">
      <c r="I20200" s="101"/>
    </row>
    <row r="20201" spans="9:9" x14ac:dyDescent="0.3">
      <c r="I20201" s="101"/>
    </row>
    <row r="20202" spans="9:9" x14ac:dyDescent="0.3">
      <c r="I20202" s="101"/>
    </row>
    <row r="20203" spans="9:9" x14ac:dyDescent="0.3">
      <c r="I20203" s="101"/>
    </row>
    <row r="20204" spans="9:9" x14ac:dyDescent="0.3">
      <c r="I20204" s="101"/>
    </row>
    <row r="20205" spans="9:9" x14ac:dyDescent="0.3">
      <c r="I20205" s="101"/>
    </row>
    <row r="20206" spans="9:9" x14ac:dyDescent="0.3">
      <c r="I20206" s="101"/>
    </row>
    <row r="20207" spans="9:9" x14ac:dyDescent="0.3">
      <c r="I20207" s="101"/>
    </row>
    <row r="20208" spans="9:9" x14ac:dyDescent="0.3">
      <c r="I20208" s="101"/>
    </row>
    <row r="20209" spans="9:9" x14ac:dyDescent="0.3">
      <c r="I20209" s="101"/>
    </row>
    <row r="20210" spans="9:9" x14ac:dyDescent="0.3">
      <c r="I20210" s="101"/>
    </row>
    <row r="20211" spans="9:9" x14ac:dyDescent="0.3">
      <c r="I20211" s="101"/>
    </row>
    <row r="20212" spans="9:9" x14ac:dyDescent="0.3">
      <c r="I20212" s="101"/>
    </row>
    <row r="20213" spans="9:9" x14ac:dyDescent="0.3">
      <c r="I20213" s="101"/>
    </row>
    <row r="20214" spans="9:9" x14ac:dyDescent="0.3">
      <c r="I20214" s="101"/>
    </row>
    <row r="20215" spans="9:9" x14ac:dyDescent="0.3">
      <c r="I20215" s="101"/>
    </row>
    <row r="20216" spans="9:9" x14ac:dyDescent="0.3">
      <c r="I20216" s="101"/>
    </row>
    <row r="20217" spans="9:9" x14ac:dyDescent="0.3">
      <c r="I20217" s="101"/>
    </row>
    <row r="20218" spans="9:9" x14ac:dyDescent="0.3">
      <c r="I20218" s="101"/>
    </row>
    <row r="20219" spans="9:9" x14ac:dyDescent="0.3">
      <c r="I20219" s="101"/>
    </row>
    <row r="20220" spans="9:9" x14ac:dyDescent="0.3">
      <c r="I20220" s="101"/>
    </row>
    <row r="20221" spans="9:9" x14ac:dyDescent="0.3">
      <c r="I20221" s="101"/>
    </row>
    <row r="20222" spans="9:9" x14ac:dyDescent="0.3">
      <c r="I20222" s="101"/>
    </row>
    <row r="20223" spans="9:9" x14ac:dyDescent="0.3">
      <c r="I20223" s="101"/>
    </row>
    <row r="20224" spans="9:9" x14ac:dyDescent="0.3">
      <c r="I20224" s="101"/>
    </row>
    <row r="20225" spans="9:9" x14ac:dyDescent="0.3">
      <c r="I20225" s="101"/>
    </row>
    <row r="20226" spans="9:9" x14ac:dyDescent="0.3">
      <c r="I20226" s="101"/>
    </row>
    <row r="20227" spans="9:9" x14ac:dyDescent="0.3">
      <c r="I20227" s="101"/>
    </row>
    <row r="20228" spans="9:9" x14ac:dyDescent="0.3">
      <c r="I20228" s="101"/>
    </row>
    <row r="20229" spans="9:9" x14ac:dyDescent="0.3">
      <c r="I20229" s="101"/>
    </row>
    <row r="20230" spans="9:9" x14ac:dyDescent="0.3">
      <c r="I20230" s="101"/>
    </row>
    <row r="20231" spans="9:9" x14ac:dyDescent="0.3">
      <c r="I20231" s="101"/>
    </row>
    <row r="20232" spans="9:9" x14ac:dyDescent="0.3">
      <c r="I20232" s="101"/>
    </row>
    <row r="20233" spans="9:9" x14ac:dyDescent="0.3">
      <c r="I20233" s="101"/>
    </row>
    <row r="20234" spans="9:9" x14ac:dyDescent="0.3">
      <c r="I20234" s="101"/>
    </row>
    <row r="20235" spans="9:9" x14ac:dyDescent="0.3">
      <c r="I20235" s="101"/>
    </row>
    <row r="20236" spans="9:9" x14ac:dyDescent="0.3">
      <c r="I20236" s="101"/>
    </row>
    <row r="20237" spans="9:9" x14ac:dyDescent="0.3">
      <c r="I20237" s="101"/>
    </row>
    <row r="20238" spans="9:9" x14ac:dyDescent="0.3">
      <c r="I20238" s="101"/>
    </row>
    <row r="20239" spans="9:9" x14ac:dyDescent="0.3">
      <c r="I20239" s="101"/>
    </row>
    <row r="20240" spans="9:9" x14ac:dyDescent="0.3">
      <c r="I20240" s="101"/>
    </row>
    <row r="20241" spans="9:9" x14ac:dyDescent="0.3">
      <c r="I20241" s="101"/>
    </row>
    <row r="20242" spans="9:9" x14ac:dyDescent="0.3">
      <c r="I20242" s="101"/>
    </row>
    <row r="20243" spans="9:9" x14ac:dyDescent="0.3">
      <c r="I20243" s="101"/>
    </row>
    <row r="20244" spans="9:9" x14ac:dyDescent="0.3">
      <c r="I20244" s="101"/>
    </row>
    <row r="20245" spans="9:9" x14ac:dyDescent="0.3">
      <c r="I20245" s="101"/>
    </row>
    <row r="20246" spans="9:9" x14ac:dyDescent="0.3">
      <c r="I20246" s="101"/>
    </row>
    <row r="20247" spans="9:9" x14ac:dyDescent="0.3">
      <c r="I20247" s="101"/>
    </row>
    <row r="20248" spans="9:9" x14ac:dyDescent="0.3">
      <c r="I20248" s="101"/>
    </row>
    <row r="20249" spans="9:9" x14ac:dyDescent="0.3">
      <c r="I20249" s="101"/>
    </row>
    <row r="20250" spans="9:9" x14ac:dyDescent="0.3">
      <c r="I20250" s="101"/>
    </row>
    <row r="20251" spans="9:9" x14ac:dyDescent="0.3">
      <c r="I20251" s="101"/>
    </row>
    <row r="20252" spans="9:9" x14ac:dyDescent="0.3">
      <c r="I20252" s="101"/>
    </row>
    <row r="20253" spans="9:9" x14ac:dyDescent="0.3">
      <c r="I20253" s="101"/>
    </row>
    <row r="20254" spans="9:9" x14ac:dyDescent="0.3">
      <c r="I20254" s="101"/>
    </row>
    <row r="20255" spans="9:9" x14ac:dyDescent="0.3">
      <c r="I20255" s="101"/>
    </row>
    <row r="20256" spans="9:9" x14ac:dyDescent="0.3">
      <c r="I20256" s="101"/>
    </row>
    <row r="20257" spans="9:9" x14ac:dyDescent="0.3">
      <c r="I20257" s="101"/>
    </row>
    <row r="20258" spans="9:9" x14ac:dyDescent="0.3">
      <c r="I20258" s="101"/>
    </row>
    <row r="20259" spans="9:9" x14ac:dyDescent="0.3">
      <c r="I20259" s="101"/>
    </row>
    <row r="20260" spans="9:9" x14ac:dyDescent="0.3">
      <c r="I20260" s="101"/>
    </row>
    <row r="20261" spans="9:9" x14ac:dyDescent="0.3">
      <c r="I20261" s="101"/>
    </row>
    <row r="20262" spans="9:9" x14ac:dyDescent="0.3">
      <c r="I20262" s="101"/>
    </row>
    <row r="20263" spans="9:9" x14ac:dyDescent="0.3">
      <c r="I20263" s="101"/>
    </row>
    <row r="20264" spans="9:9" x14ac:dyDescent="0.3">
      <c r="I20264" s="101"/>
    </row>
    <row r="20265" spans="9:9" x14ac:dyDescent="0.3">
      <c r="I20265" s="101"/>
    </row>
    <row r="20266" spans="9:9" x14ac:dyDescent="0.3">
      <c r="I20266" s="101"/>
    </row>
    <row r="20267" spans="9:9" x14ac:dyDescent="0.3">
      <c r="I20267" s="101"/>
    </row>
    <row r="20268" spans="9:9" x14ac:dyDescent="0.3">
      <c r="I20268" s="101"/>
    </row>
    <row r="20269" spans="9:9" x14ac:dyDescent="0.3">
      <c r="I20269" s="101"/>
    </row>
    <row r="20270" spans="9:9" x14ac:dyDescent="0.3">
      <c r="I20270" s="101"/>
    </row>
    <row r="20271" spans="9:9" x14ac:dyDescent="0.3">
      <c r="I20271" s="101"/>
    </row>
    <row r="20272" spans="9:9" x14ac:dyDescent="0.3">
      <c r="I20272" s="101"/>
    </row>
    <row r="20273" spans="9:9" x14ac:dyDescent="0.3">
      <c r="I20273" s="101"/>
    </row>
    <row r="20274" spans="9:9" x14ac:dyDescent="0.3">
      <c r="I20274" s="101"/>
    </row>
    <row r="20275" spans="9:9" x14ac:dyDescent="0.3">
      <c r="I20275" s="101"/>
    </row>
    <row r="20276" spans="9:9" x14ac:dyDescent="0.3">
      <c r="I20276" s="101"/>
    </row>
    <row r="20277" spans="9:9" x14ac:dyDescent="0.3">
      <c r="I20277" s="101"/>
    </row>
    <row r="20278" spans="9:9" x14ac:dyDescent="0.3">
      <c r="I20278" s="101"/>
    </row>
    <row r="20279" spans="9:9" x14ac:dyDescent="0.3">
      <c r="I20279" s="101"/>
    </row>
    <row r="20280" spans="9:9" x14ac:dyDescent="0.3">
      <c r="I20280" s="101"/>
    </row>
    <row r="20281" spans="9:9" x14ac:dyDescent="0.3">
      <c r="I20281" s="101"/>
    </row>
    <row r="20282" spans="9:9" x14ac:dyDescent="0.3">
      <c r="I20282" s="101"/>
    </row>
    <row r="20283" spans="9:9" x14ac:dyDescent="0.3">
      <c r="I20283" s="101"/>
    </row>
    <row r="20284" spans="9:9" x14ac:dyDescent="0.3">
      <c r="I20284" s="101"/>
    </row>
    <row r="20285" spans="9:9" x14ac:dyDescent="0.3">
      <c r="I20285" s="101"/>
    </row>
    <row r="20286" spans="9:9" x14ac:dyDescent="0.3">
      <c r="I20286" s="101"/>
    </row>
    <row r="20287" spans="9:9" x14ac:dyDescent="0.3">
      <c r="I20287" s="101"/>
    </row>
    <row r="20288" spans="9:9" x14ac:dyDescent="0.3">
      <c r="I20288" s="101"/>
    </row>
    <row r="20289" spans="9:9" x14ac:dyDescent="0.3">
      <c r="I20289" s="101"/>
    </row>
    <row r="20290" spans="9:9" x14ac:dyDescent="0.3">
      <c r="I20290" s="101"/>
    </row>
    <row r="20291" spans="9:9" x14ac:dyDescent="0.3">
      <c r="I20291" s="101"/>
    </row>
    <row r="20292" spans="9:9" x14ac:dyDescent="0.3">
      <c r="I20292" s="101"/>
    </row>
    <row r="20293" spans="9:9" x14ac:dyDescent="0.3">
      <c r="I20293" s="101"/>
    </row>
    <row r="20294" spans="9:9" x14ac:dyDescent="0.3">
      <c r="I20294" s="101"/>
    </row>
    <row r="20295" spans="9:9" x14ac:dyDescent="0.3">
      <c r="I20295" s="101"/>
    </row>
    <row r="20296" spans="9:9" x14ac:dyDescent="0.3">
      <c r="I20296" s="101"/>
    </row>
    <row r="20297" spans="9:9" x14ac:dyDescent="0.3">
      <c r="I20297" s="101"/>
    </row>
    <row r="20298" spans="9:9" x14ac:dyDescent="0.3">
      <c r="I20298" s="101"/>
    </row>
    <row r="20299" spans="9:9" x14ac:dyDescent="0.3">
      <c r="I20299" s="101"/>
    </row>
    <row r="20300" spans="9:9" x14ac:dyDescent="0.3">
      <c r="I20300" s="101"/>
    </row>
    <row r="20301" spans="9:9" x14ac:dyDescent="0.3">
      <c r="I20301" s="101"/>
    </row>
    <row r="20302" spans="9:9" x14ac:dyDescent="0.3">
      <c r="I20302" s="101"/>
    </row>
    <row r="20303" spans="9:9" x14ac:dyDescent="0.3">
      <c r="I20303" s="101"/>
    </row>
    <row r="20304" spans="9:9" x14ac:dyDescent="0.3">
      <c r="I20304" s="101"/>
    </row>
    <row r="20305" spans="9:9" x14ac:dyDescent="0.3">
      <c r="I20305" s="101"/>
    </row>
    <row r="20306" spans="9:9" x14ac:dyDescent="0.3">
      <c r="I20306" s="101"/>
    </row>
    <row r="20307" spans="9:9" x14ac:dyDescent="0.3">
      <c r="I20307" s="101"/>
    </row>
    <row r="20308" spans="9:9" x14ac:dyDescent="0.3">
      <c r="I20308" s="101"/>
    </row>
    <row r="20309" spans="9:9" x14ac:dyDescent="0.3">
      <c r="I20309" s="101"/>
    </row>
    <row r="20310" spans="9:9" x14ac:dyDescent="0.3">
      <c r="I20310" s="101"/>
    </row>
    <row r="20311" spans="9:9" x14ac:dyDescent="0.3">
      <c r="I20311" s="101"/>
    </row>
    <row r="20312" spans="9:9" x14ac:dyDescent="0.3">
      <c r="I20312" s="101"/>
    </row>
    <row r="20313" spans="9:9" x14ac:dyDescent="0.3">
      <c r="I20313" s="101"/>
    </row>
    <row r="20314" spans="9:9" x14ac:dyDescent="0.3">
      <c r="I20314" s="101"/>
    </row>
    <row r="20315" spans="9:9" x14ac:dyDescent="0.3">
      <c r="I20315" s="101"/>
    </row>
    <row r="20316" spans="9:9" x14ac:dyDescent="0.3">
      <c r="I20316" s="101"/>
    </row>
    <row r="20317" spans="9:9" x14ac:dyDescent="0.3">
      <c r="I20317" s="101"/>
    </row>
    <row r="20318" spans="9:9" x14ac:dyDescent="0.3">
      <c r="I20318" s="101"/>
    </row>
    <row r="20319" spans="9:9" x14ac:dyDescent="0.3">
      <c r="I20319" s="101"/>
    </row>
    <row r="20320" spans="9:9" x14ac:dyDescent="0.3">
      <c r="I20320" s="101"/>
    </row>
    <row r="20321" spans="9:9" x14ac:dyDescent="0.3">
      <c r="I20321" s="101"/>
    </row>
    <row r="20322" spans="9:9" x14ac:dyDescent="0.3">
      <c r="I20322" s="101"/>
    </row>
    <row r="20323" spans="9:9" x14ac:dyDescent="0.3">
      <c r="I20323" s="101"/>
    </row>
    <row r="20324" spans="9:9" x14ac:dyDescent="0.3">
      <c r="I20324" s="101"/>
    </row>
    <row r="20325" spans="9:9" x14ac:dyDescent="0.3">
      <c r="I20325" s="101"/>
    </row>
    <row r="20326" spans="9:9" x14ac:dyDescent="0.3">
      <c r="I20326" s="101"/>
    </row>
    <row r="20327" spans="9:9" x14ac:dyDescent="0.3">
      <c r="I20327" s="101"/>
    </row>
    <row r="20328" spans="9:9" x14ac:dyDescent="0.3">
      <c r="I20328" s="101"/>
    </row>
    <row r="20329" spans="9:9" x14ac:dyDescent="0.3">
      <c r="I20329" s="101"/>
    </row>
    <row r="20330" spans="9:9" x14ac:dyDescent="0.3">
      <c r="I20330" s="101"/>
    </row>
    <row r="20331" spans="9:9" x14ac:dyDescent="0.3">
      <c r="I20331" s="101"/>
    </row>
    <row r="20332" spans="9:9" x14ac:dyDescent="0.3">
      <c r="I20332" s="101"/>
    </row>
    <row r="20333" spans="9:9" x14ac:dyDescent="0.3">
      <c r="I20333" s="101"/>
    </row>
    <row r="20334" spans="9:9" x14ac:dyDescent="0.3">
      <c r="I20334" s="101"/>
    </row>
    <row r="20335" spans="9:9" x14ac:dyDescent="0.3">
      <c r="I20335" s="101"/>
    </row>
    <row r="20336" spans="9:9" x14ac:dyDescent="0.3">
      <c r="I20336" s="101"/>
    </row>
    <row r="20337" spans="9:9" x14ac:dyDescent="0.3">
      <c r="I20337" s="101"/>
    </row>
    <row r="20338" spans="9:9" x14ac:dyDescent="0.3">
      <c r="I20338" s="101"/>
    </row>
    <row r="20339" spans="9:9" x14ac:dyDescent="0.3">
      <c r="I20339" s="101"/>
    </row>
    <row r="20340" spans="9:9" x14ac:dyDescent="0.3">
      <c r="I20340" s="101"/>
    </row>
    <row r="20341" spans="9:9" x14ac:dyDescent="0.3">
      <c r="I20341" s="101"/>
    </row>
    <row r="20342" spans="9:9" x14ac:dyDescent="0.3">
      <c r="I20342" s="101"/>
    </row>
    <row r="20343" spans="9:9" x14ac:dyDescent="0.3">
      <c r="I20343" s="101"/>
    </row>
    <row r="20344" spans="9:9" x14ac:dyDescent="0.3">
      <c r="I20344" s="101"/>
    </row>
    <row r="20345" spans="9:9" x14ac:dyDescent="0.3">
      <c r="I20345" s="101"/>
    </row>
    <row r="20346" spans="9:9" x14ac:dyDescent="0.3">
      <c r="I20346" s="101"/>
    </row>
    <row r="20347" spans="9:9" x14ac:dyDescent="0.3">
      <c r="I20347" s="101"/>
    </row>
    <row r="20348" spans="9:9" x14ac:dyDescent="0.3">
      <c r="I20348" s="101"/>
    </row>
    <row r="20349" spans="9:9" x14ac:dyDescent="0.3">
      <c r="I20349" s="101"/>
    </row>
    <row r="20350" spans="9:9" x14ac:dyDescent="0.3">
      <c r="I20350" s="101"/>
    </row>
    <row r="20351" spans="9:9" x14ac:dyDescent="0.3">
      <c r="I20351" s="101"/>
    </row>
    <row r="20352" spans="9:9" x14ac:dyDescent="0.3">
      <c r="I20352" s="101"/>
    </row>
    <row r="20353" spans="9:9" x14ac:dyDescent="0.3">
      <c r="I20353" s="101"/>
    </row>
    <row r="20354" spans="9:9" x14ac:dyDescent="0.3">
      <c r="I20354" s="101"/>
    </row>
    <row r="20355" spans="9:9" x14ac:dyDescent="0.3">
      <c r="I20355" s="101"/>
    </row>
    <row r="20356" spans="9:9" x14ac:dyDescent="0.3">
      <c r="I20356" s="101"/>
    </row>
    <row r="20357" spans="9:9" x14ac:dyDescent="0.3">
      <c r="I20357" s="101"/>
    </row>
    <row r="20358" spans="9:9" x14ac:dyDescent="0.3">
      <c r="I20358" s="101"/>
    </row>
    <row r="20359" spans="9:9" x14ac:dyDescent="0.3">
      <c r="I20359" s="101"/>
    </row>
    <row r="20360" spans="9:9" x14ac:dyDescent="0.3">
      <c r="I20360" s="101"/>
    </row>
    <row r="20361" spans="9:9" x14ac:dyDescent="0.3">
      <c r="I20361" s="101"/>
    </row>
    <row r="20362" spans="9:9" x14ac:dyDescent="0.3">
      <c r="I20362" s="101"/>
    </row>
    <row r="20363" spans="9:9" x14ac:dyDescent="0.3">
      <c r="I20363" s="101"/>
    </row>
    <row r="20364" spans="9:9" x14ac:dyDescent="0.3">
      <c r="I20364" s="101"/>
    </row>
    <row r="20365" spans="9:9" x14ac:dyDescent="0.3">
      <c r="I20365" s="101"/>
    </row>
    <row r="20366" spans="9:9" x14ac:dyDescent="0.3">
      <c r="I20366" s="101"/>
    </row>
    <row r="20367" spans="9:9" x14ac:dyDescent="0.3">
      <c r="I20367" s="101"/>
    </row>
    <row r="20368" spans="9:9" x14ac:dyDescent="0.3">
      <c r="I20368" s="101"/>
    </row>
    <row r="20369" spans="9:9" x14ac:dyDescent="0.3">
      <c r="I20369" s="101"/>
    </row>
    <row r="20370" spans="9:9" x14ac:dyDescent="0.3">
      <c r="I20370" s="101"/>
    </row>
    <row r="20371" spans="9:9" x14ac:dyDescent="0.3">
      <c r="I20371" s="101"/>
    </row>
    <row r="20372" spans="9:9" x14ac:dyDescent="0.3">
      <c r="I20372" s="101"/>
    </row>
    <row r="20373" spans="9:9" x14ac:dyDescent="0.3">
      <c r="I20373" s="101"/>
    </row>
    <row r="20374" spans="9:9" x14ac:dyDescent="0.3">
      <c r="I20374" s="101"/>
    </row>
    <row r="20375" spans="9:9" x14ac:dyDescent="0.3">
      <c r="I20375" s="101"/>
    </row>
    <row r="20376" spans="9:9" x14ac:dyDescent="0.3">
      <c r="I20376" s="101"/>
    </row>
    <row r="20377" spans="9:9" x14ac:dyDescent="0.3">
      <c r="I20377" s="101"/>
    </row>
    <row r="20378" spans="9:9" x14ac:dyDescent="0.3">
      <c r="I20378" s="101"/>
    </row>
    <row r="20379" spans="9:9" x14ac:dyDescent="0.3">
      <c r="I20379" s="101"/>
    </row>
    <row r="20380" spans="9:9" x14ac:dyDescent="0.3">
      <c r="I20380" s="101"/>
    </row>
    <row r="20381" spans="9:9" x14ac:dyDescent="0.3">
      <c r="I20381" s="101"/>
    </row>
    <row r="20382" spans="9:9" x14ac:dyDescent="0.3">
      <c r="I20382" s="101"/>
    </row>
    <row r="20383" spans="9:9" x14ac:dyDescent="0.3">
      <c r="I20383" s="101"/>
    </row>
    <row r="20384" spans="9:9" x14ac:dyDescent="0.3">
      <c r="I20384" s="101"/>
    </row>
    <row r="20385" spans="9:9" x14ac:dyDescent="0.3">
      <c r="I20385" s="101"/>
    </row>
    <row r="20386" spans="9:9" x14ac:dyDescent="0.3">
      <c r="I20386" s="101"/>
    </row>
    <row r="20387" spans="9:9" x14ac:dyDescent="0.3">
      <c r="I20387" s="101"/>
    </row>
    <row r="20388" spans="9:9" x14ac:dyDescent="0.3">
      <c r="I20388" s="101"/>
    </row>
    <row r="20389" spans="9:9" x14ac:dyDescent="0.3">
      <c r="I20389" s="101"/>
    </row>
    <row r="20390" spans="9:9" x14ac:dyDescent="0.3">
      <c r="I20390" s="101"/>
    </row>
    <row r="20391" spans="9:9" x14ac:dyDescent="0.3">
      <c r="I20391" s="101"/>
    </row>
    <row r="20392" spans="9:9" x14ac:dyDescent="0.3">
      <c r="I20392" s="101"/>
    </row>
    <row r="20393" spans="9:9" x14ac:dyDescent="0.3">
      <c r="I20393" s="101"/>
    </row>
    <row r="20394" spans="9:9" x14ac:dyDescent="0.3">
      <c r="I20394" s="101"/>
    </row>
    <row r="20395" spans="9:9" x14ac:dyDescent="0.3">
      <c r="I20395" s="101"/>
    </row>
    <row r="20396" spans="9:9" x14ac:dyDescent="0.3">
      <c r="I20396" s="101"/>
    </row>
    <row r="20397" spans="9:9" x14ac:dyDescent="0.3">
      <c r="I20397" s="101"/>
    </row>
    <row r="20398" spans="9:9" x14ac:dyDescent="0.3">
      <c r="I20398" s="101"/>
    </row>
    <row r="20399" spans="9:9" x14ac:dyDescent="0.3">
      <c r="I20399" s="101"/>
    </row>
    <row r="20400" spans="9:9" x14ac:dyDescent="0.3">
      <c r="I20400" s="101"/>
    </row>
    <row r="20401" spans="9:9" x14ac:dyDescent="0.3">
      <c r="I20401" s="101"/>
    </row>
    <row r="20402" spans="9:9" x14ac:dyDescent="0.3">
      <c r="I20402" s="101"/>
    </row>
    <row r="20403" spans="9:9" x14ac:dyDescent="0.3">
      <c r="I20403" s="101"/>
    </row>
    <row r="20404" spans="9:9" x14ac:dyDescent="0.3">
      <c r="I20404" s="101"/>
    </row>
    <row r="20405" spans="9:9" x14ac:dyDescent="0.3">
      <c r="I20405" s="101"/>
    </row>
    <row r="20406" spans="9:9" x14ac:dyDescent="0.3">
      <c r="I20406" s="101"/>
    </row>
    <row r="20407" spans="9:9" x14ac:dyDescent="0.3">
      <c r="I20407" s="101"/>
    </row>
    <row r="20408" spans="9:9" x14ac:dyDescent="0.3">
      <c r="I20408" s="101"/>
    </row>
    <row r="20409" spans="9:9" x14ac:dyDescent="0.3">
      <c r="I20409" s="101"/>
    </row>
    <row r="20410" spans="9:9" x14ac:dyDescent="0.3">
      <c r="I20410" s="101"/>
    </row>
    <row r="20411" spans="9:9" x14ac:dyDescent="0.3">
      <c r="I20411" s="101"/>
    </row>
    <row r="20412" spans="9:9" x14ac:dyDescent="0.3">
      <c r="I20412" s="101"/>
    </row>
    <row r="20413" spans="9:9" x14ac:dyDescent="0.3">
      <c r="I20413" s="101"/>
    </row>
    <row r="20414" spans="9:9" x14ac:dyDescent="0.3">
      <c r="I20414" s="101"/>
    </row>
    <row r="20415" spans="9:9" x14ac:dyDescent="0.3">
      <c r="I20415" s="101"/>
    </row>
    <row r="20416" spans="9:9" x14ac:dyDescent="0.3">
      <c r="I20416" s="101"/>
    </row>
    <row r="20417" spans="9:9" x14ac:dyDescent="0.3">
      <c r="I20417" s="101"/>
    </row>
    <row r="20418" spans="9:9" x14ac:dyDescent="0.3">
      <c r="I20418" s="101"/>
    </row>
    <row r="20419" spans="9:9" x14ac:dyDescent="0.3">
      <c r="I20419" s="101"/>
    </row>
    <row r="20420" spans="9:9" x14ac:dyDescent="0.3">
      <c r="I20420" s="101"/>
    </row>
    <row r="20421" spans="9:9" x14ac:dyDescent="0.3">
      <c r="I20421" s="101"/>
    </row>
    <row r="20422" spans="9:9" x14ac:dyDescent="0.3">
      <c r="I20422" s="101"/>
    </row>
    <row r="20423" spans="9:9" x14ac:dyDescent="0.3">
      <c r="I20423" s="101"/>
    </row>
    <row r="20424" spans="9:9" x14ac:dyDescent="0.3">
      <c r="I20424" s="101"/>
    </row>
    <row r="20425" spans="9:9" x14ac:dyDescent="0.3">
      <c r="I20425" s="101"/>
    </row>
    <row r="20426" spans="9:9" x14ac:dyDescent="0.3">
      <c r="I20426" s="101"/>
    </row>
    <row r="20427" spans="9:9" x14ac:dyDescent="0.3">
      <c r="I20427" s="101"/>
    </row>
    <row r="20428" spans="9:9" x14ac:dyDescent="0.3">
      <c r="I20428" s="101"/>
    </row>
    <row r="20429" spans="9:9" x14ac:dyDescent="0.3">
      <c r="I20429" s="101"/>
    </row>
    <row r="20430" spans="9:9" x14ac:dyDescent="0.3">
      <c r="I20430" s="101"/>
    </row>
    <row r="20431" spans="9:9" x14ac:dyDescent="0.3">
      <c r="I20431" s="101"/>
    </row>
    <row r="20432" spans="9:9" x14ac:dyDescent="0.3">
      <c r="I20432" s="101"/>
    </row>
    <row r="20433" spans="9:9" x14ac:dyDescent="0.3">
      <c r="I20433" s="101"/>
    </row>
    <row r="20434" spans="9:9" x14ac:dyDescent="0.3">
      <c r="I20434" s="101"/>
    </row>
    <row r="20435" spans="9:9" x14ac:dyDescent="0.3">
      <c r="I20435" s="101"/>
    </row>
    <row r="20436" spans="9:9" x14ac:dyDescent="0.3">
      <c r="I20436" s="101"/>
    </row>
    <row r="20437" spans="9:9" x14ac:dyDescent="0.3">
      <c r="I20437" s="101"/>
    </row>
    <row r="20438" spans="9:9" x14ac:dyDescent="0.3">
      <c r="I20438" s="101"/>
    </row>
    <row r="20439" spans="9:9" x14ac:dyDescent="0.3">
      <c r="I20439" s="101"/>
    </row>
    <row r="20440" spans="9:9" x14ac:dyDescent="0.3">
      <c r="I20440" s="101"/>
    </row>
    <row r="20441" spans="9:9" x14ac:dyDescent="0.3">
      <c r="I20441" s="101"/>
    </row>
    <row r="20442" spans="9:9" x14ac:dyDescent="0.3">
      <c r="I20442" s="101"/>
    </row>
    <row r="20443" spans="9:9" x14ac:dyDescent="0.3">
      <c r="I20443" s="101"/>
    </row>
    <row r="20444" spans="9:9" x14ac:dyDescent="0.3">
      <c r="I20444" s="101"/>
    </row>
    <row r="20445" spans="9:9" x14ac:dyDescent="0.3">
      <c r="I20445" s="101"/>
    </row>
    <row r="20446" spans="9:9" x14ac:dyDescent="0.3">
      <c r="I20446" s="101"/>
    </row>
    <row r="20447" spans="9:9" x14ac:dyDescent="0.3">
      <c r="I20447" s="101"/>
    </row>
    <row r="20448" spans="9:9" x14ac:dyDescent="0.3">
      <c r="I20448" s="101"/>
    </row>
    <row r="20449" spans="9:9" x14ac:dyDescent="0.3">
      <c r="I20449" s="101"/>
    </row>
    <row r="20450" spans="9:9" x14ac:dyDescent="0.3">
      <c r="I20450" s="101"/>
    </row>
    <row r="20451" spans="9:9" x14ac:dyDescent="0.3">
      <c r="I20451" s="101"/>
    </row>
    <row r="20452" spans="9:9" x14ac:dyDescent="0.3">
      <c r="I20452" s="101"/>
    </row>
    <row r="20453" spans="9:9" x14ac:dyDescent="0.3">
      <c r="I20453" s="101"/>
    </row>
    <row r="20454" spans="9:9" x14ac:dyDescent="0.3">
      <c r="I20454" s="101"/>
    </row>
    <row r="20455" spans="9:9" x14ac:dyDescent="0.3">
      <c r="I20455" s="101"/>
    </row>
    <row r="20456" spans="9:9" x14ac:dyDescent="0.3">
      <c r="I20456" s="101"/>
    </row>
    <row r="20457" spans="9:9" x14ac:dyDescent="0.3">
      <c r="I20457" s="101"/>
    </row>
    <row r="20458" spans="9:9" x14ac:dyDescent="0.3">
      <c r="I20458" s="101"/>
    </row>
    <row r="20459" spans="9:9" x14ac:dyDescent="0.3">
      <c r="I20459" s="101"/>
    </row>
    <row r="20460" spans="9:9" x14ac:dyDescent="0.3">
      <c r="I20460" s="101"/>
    </row>
    <row r="20461" spans="9:9" x14ac:dyDescent="0.3">
      <c r="I20461" s="101"/>
    </row>
    <row r="20462" spans="9:9" x14ac:dyDescent="0.3">
      <c r="I20462" s="101"/>
    </row>
    <row r="20463" spans="9:9" x14ac:dyDescent="0.3">
      <c r="I20463" s="101"/>
    </row>
    <row r="20464" spans="9:9" x14ac:dyDescent="0.3">
      <c r="I20464" s="101"/>
    </row>
    <row r="20465" spans="9:9" x14ac:dyDescent="0.3">
      <c r="I20465" s="101"/>
    </row>
    <row r="20466" spans="9:9" x14ac:dyDescent="0.3">
      <c r="I20466" s="101"/>
    </row>
    <row r="20467" spans="9:9" x14ac:dyDescent="0.3">
      <c r="I20467" s="101"/>
    </row>
    <row r="20468" spans="9:9" x14ac:dyDescent="0.3">
      <c r="I20468" s="101"/>
    </row>
    <row r="20469" spans="9:9" x14ac:dyDescent="0.3">
      <c r="I20469" s="101"/>
    </row>
    <row r="20470" spans="9:9" x14ac:dyDescent="0.3">
      <c r="I20470" s="101"/>
    </row>
    <row r="20471" spans="9:9" x14ac:dyDescent="0.3">
      <c r="I20471" s="101"/>
    </row>
    <row r="20472" spans="9:9" x14ac:dyDescent="0.3">
      <c r="I20472" s="101"/>
    </row>
    <row r="20473" spans="9:9" x14ac:dyDescent="0.3">
      <c r="I20473" s="101"/>
    </row>
    <row r="20474" spans="9:9" x14ac:dyDescent="0.3">
      <c r="I20474" s="101"/>
    </row>
    <row r="20475" spans="9:9" x14ac:dyDescent="0.3">
      <c r="I20475" s="101"/>
    </row>
    <row r="20476" spans="9:9" x14ac:dyDescent="0.3">
      <c r="I20476" s="101"/>
    </row>
    <row r="20477" spans="9:9" x14ac:dyDescent="0.3">
      <c r="I20477" s="101"/>
    </row>
    <row r="20478" spans="9:9" x14ac:dyDescent="0.3">
      <c r="I20478" s="101"/>
    </row>
    <row r="20479" spans="9:9" x14ac:dyDescent="0.3">
      <c r="I20479" s="101"/>
    </row>
    <row r="20480" spans="9:9" x14ac:dyDescent="0.3">
      <c r="I20480" s="101"/>
    </row>
    <row r="20481" spans="9:9" x14ac:dyDescent="0.3">
      <c r="I20481" s="101"/>
    </row>
    <row r="20482" spans="9:9" x14ac:dyDescent="0.3">
      <c r="I20482" s="101"/>
    </row>
    <row r="20483" spans="9:9" x14ac:dyDescent="0.3">
      <c r="I20483" s="101"/>
    </row>
    <row r="20484" spans="9:9" x14ac:dyDescent="0.3">
      <c r="I20484" s="101"/>
    </row>
    <row r="20485" spans="9:9" x14ac:dyDescent="0.3">
      <c r="I20485" s="101"/>
    </row>
    <row r="20486" spans="9:9" x14ac:dyDescent="0.3">
      <c r="I20486" s="101"/>
    </row>
    <row r="20487" spans="9:9" x14ac:dyDescent="0.3">
      <c r="I20487" s="101"/>
    </row>
    <row r="20488" spans="9:9" x14ac:dyDescent="0.3">
      <c r="I20488" s="101"/>
    </row>
    <row r="20489" spans="9:9" x14ac:dyDescent="0.3">
      <c r="I20489" s="101"/>
    </row>
    <row r="20490" spans="9:9" x14ac:dyDescent="0.3">
      <c r="I20490" s="101"/>
    </row>
    <row r="20491" spans="9:9" x14ac:dyDescent="0.3">
      <c r="I20491" s="101"/>
    </row>
    <row r="20492" spans="9:9" x14ac:dyDescent="0.3">
      <c r="I20492" s="101"/>
    </row>
    <row r="20493" spans="9:9" x14ac:dyDescent="0.3">
      <c r="I20493" s="101"/>
    </row>
    <row r="20494" spans="9:9" x14ac:dyDescent="0.3">
      <c r="I20494" s="101"/>
    </row>
    <row r="20495" spans="9:9" x14ac:dyDescent="0.3">
      <c r="I20495" s="101"/>
    </row>
    <row r="20496" spans="9:9" x14ac:dyDescent="0.3">
      <c r="I20496" s="101"/>
    </row>
    <row r="20497" spans="9:9" x14ac:dyDescent="0.3">
      <c r="I20497" s="101"/>
    </row>
    <row r="20498" spans="9:9" x14ac:dyDescent="0.3">
      <c r="I20498" s="101"/>
    </row>
    <row r="20499" spans="9:9" x14ac:dyDescent="0.3">
      <c r="I20499" s="101"/>
    </row>
    <row r="20500" spans="9:9" x14ac:dyDescent="0.3">
      <c r="I20500" s="101"/>
    </row>
    <row r="20501" spans="9:9" x14ac:dyDescent="0.3">
      <c r="I20501" s="101"/>
    </row>
    <row r="20502" spans="9:9" x14ac:dyDescent="0.3">
      <c r="I20502" s="101"/>
    </row>
    <row r="20503" spans="9:9" x14ac:dyDescent="0.3">
      <c r="I20503" s="101"/>
    </row>
    <row r="20504" spans="9:9" x14ac:dyDescent="0.3">
      <c r="I20504" s="101"/>
    </row>
    <row r="20505" spans="9:9" x14ac:dyDescent="0.3">
      <c r="I20505" s="101"/>
    </row>
    <row r="20506" spans="9:9" x14ac:dyDescent="0.3">
      <c r="I20506" s="101"/>
    </row>
    <row r="20507" spans="9:9" x14ac:dyDescent="0.3">
      <c r="I20507" s="101"/>
    </row>
    <row r="20508" spans="9:9" x14ac:dyDescent="0.3">
      <c r="I20508" s="101"/>
    </row>
    <row r="20509" spans="9:9" x14ac:dyDescent="0.3">
      <c r="I20509" s="101"/>
    </row>
    <row r="20510" spans="9:9" x14ac:dyDescent="0.3">
      <c r="I20510" s="101"/>
    </row>
    <row r="20511" spans="9:9" x14ac:dyDescent="0.3">
      <c r="I20511" s="101"/>
    </row>
    <row r="20512" spans="9:9" x14ac:dyDescent="0.3">
      <c r="I20512" s="101"/>
    </row>
    <row r="20513" spans="9:9" x14ac:dyDescent="0.3">
      <c r="I20513" s="101"/>
    </row>
    <row r="20514" spans="9:9" x14ac:dyDescent="0.3">
      <c r="I20514" s="101"/>
    </row>
    <row r="20515" spans="9:9" x14ac:dyDescent="0.3">
      <c r="I20515" s="101"/>
    </row>
    <row r="20516" spans="9:9" x14ac:dyDescent="0.3">
      <c r="I20516" s="101"/>
    </row>
    <row r="20517" spans="9:9" x14ac:dyDescent="0.3">
      <c r="I20517" s="101"/>
    </row>
    <row r="20518" spans="9:9" x14ac:dyDescent="0.3">
      <c r="I20518" s="101"/>
    </row>
    <row r="20519" spans="9:9" x14ac:dyDescent="0.3">
      <c r="I20519" s="101"/>
    </row>
    <row r="20520" spans="9:9" x14ac:dyDescent="0.3">
      <c r="I20520" s="101"/>
    </row>
    <row r="20521" spans="9:9" x14ac:dyDescent="0.3">
      <c r="I20521" s="101"/>
    </row>
    <row r="20522" spans="9:9" x14ac:dyDescent="0.3">
      <c r="I20522" s="101"/>
    </row>
    <row r="20523" spans="9:9" x14ac:dyDescent="0.3">
      <c r="I20523" s="101"/>
    </row>
    <row r="20524" spans="9:9" x14ac:dyDescent="0.3">
      <c r="I20524" s="101"/>
    </row>
    <row r="20525" spans="9:9" x14ac:dyDescent="0.3">
      <c r="I20525" s="101"/>
    </row>
    <row r="20526" spans="9:9" x14ac:dyDescent="0.3">
      <c r="I20526" s="101"/>
    </row>
    <row r="20527" spans="9:9" x14ac:dyDescent="0.3">
      <c r="I20527" s="101"/>
    </row>
    <row r="20528" spans="9:9" x14ac:dyDescent="0.3">
      <c r="I20528" s="101"/>
    </row>
    <row r="20529" spans="9:9" x14ac:dyDescent="0.3">
      <c r="I20529" s="101"/>
    </row>
    <row r="20530" spans="9:9" x14ac:dyDescent="0.3">
      <c r="I20530" s="101"/>
    </row>
    <row r="20531" spans="9:9" x14ac:dyDescent="0.3">
      <c r="I20531" s="101"/>
    </row>
    <row r="20532" spans="9:9" x14ac:dyDescent="0.3">
      <c r="I20532" s="101"/>
    </row>
    <row r="20533" spans="9:9" x14ac:dyDescent="0.3">
      <c r="I20533" s="101"/>
    </row>
    <row r="20534" spans="9:9" x14ac:dyDescent="0.3">
      <c r="I20534" s="101"/>
    </row>
    <row r="20535" spans="9:9" x14ac:dyDescent="0.3">
      <c r="I20535" s="101"/>
    </row>
    <row r="20536" spans="9:9" x14ac:dyDescent="0.3">
      <c r="I20536" s="101"/>
    </row>
    <row r="20537" spans="9:9" x14ac:dyDescent="0.3">
      <c r="I20537" s="101"/>
    </row>
    <row r="20538" spans="9:9" x14ac:dyDescent="0.3">
      <c r="I20538" s="101"/>
    </row>
    <row r="20539" spans="9:9" x14ac:dyDescent="0.3">
      <c r="I20539" s="101"/>
    </row>
    <row r="20540" spans="9:9" x14ac:dyDescent="0.3">
      <c r="I20540" s="101"/>
    </row>
    <row r="20541" spans="9:9" x14ac:dyDescent="0.3">
      <c r="I20541" s="101"/>
    </row>
    <row r="20542" spans="9:9" x14ac:dyDescent="0.3">
      <c r="I20542" s="101"/>
    </row>
    <row r="20543" spans="9:9" x14ac:dyDescent="0.3">
      <c r="I20543" s="101"/>
    </row>
    <row r="20544" spans="9:9" x14ac:dyDescent="0.3">
      <c r="I20544" s="101"/>
    </row>
    <row r="20545" spans="9:9" x14ac:dyDescent="0.3">
      <c r="I20545" s="101"/>
    </row>
    <row r="20546" spans="9:9" x14ac:dyDescent="0.3">
      <c r="I20546" s="101"/>
    </row>
    <row r="20547" spans="9:9" x14ac:dyDescent="0.3">
      <c r="I20547" s="101"/>
    </row>
    <row r="20548" spans="9:9" x14ac:dyDescent="0.3">
      <c r="I20548" s="101"/>
    </row>
    <row r="20549" spans="9:9" x14ac:dyDescent="0.3">
      <c r="I20549" s="101"/>
    </row>
    <row r="20550" spans="9:9" x14ac:dyDescent="0.3">
      <c r="I20550" s="101"/>
    </row>
    <row r="20551" spans="9:9" x14ac:dyDescent="0.3">
      <c r="I20551" s="101"/>
    </row>
    <row r="20552" spans="9:9" x14ac:dyDescent="0.3">
      <c r="I20552" s="101"/>
    </row>
    <row r="20553" spans="9:9" x14ac:dyDescent="0.3">
      <c r="I20553" s="101"/>
    </row>
    <row r="20554" spans="9:9" x14ac:dyDescent="0.3">
      <c r="I20554" s="101"/>
    </row>
    <row r="20555" spans="9:9" x14ac:dyDescent="0.3">
      <c r="I20555" s="101"/>
    </row>
    <row r="20556" spans="9:9" x14ac:dyDescent="0.3">
      <c r="I20556" s="101"/>
    </row>
    <row r="20557" spans="9:9" x14ac:dyDescent="0.3">
      <c r="I20557" s="101"/>
    </row>
    <row r="20558" spans="9:9" x14ac:dyDescent="0.3">
      <c r="I20558" s="101"/>
    </row>
    <row r="20559" spans="9:9" x14ac:dyDescent="0.3">
      <c r="I20559" s="101"/>
    </row>
    <row r="20560" spans="9:9" x14ac:dyDescent="0.3">
      <c r="I20560" s="101"/>
    </row>
    <row r="20561" spans="9:9" x14ac:dyDescent="0.3">
      <c r="I20561" s="101"/>
    </row>
    <row r="20562" spans="9:9" x14ac:dyDescent="0.3">
      <c r="I20562" s="101"/>
    </row>
    <row r="20563" spans="9:9" x14ac:dyDescent="0.3">
      <c r="I20563" s="101"/>
    </row>
    <row r="20564" spans="9:9" x14ac:dyDescent="0.3">
      <c r="I20564" s="101"/>
    </row>
    <row r="20565" spans="9:9" x14ac:dyDescent="0.3">
      <c r="I20565" s="101"/>
    </row>
    <row r="20566" spans="9:9" x14ac:dyDescent="0.3">
      <c r="I20566" s="101"/>
    </row>
    <row r="20567" spans="9:9" x14ac:dyDescent="0.3">
      <c r="I20567" s="101"/>
    </row>
    <row r="20568" spans="9:9" x14ac:dyDescent="0.3">
      <c r="I20568" s="101"/>
    </row>
    <row r="20569" spans="9:9" x14ac:dyDescent="0.3">
      <c r="I20569" s="101"/>
    </row>
    <row r="20570" spans="9:9" x14ac:dyDescent="0.3">
      <c r="I20570" s="101"/>
    </row>
    <row r="20571" spans="9:9" x14ac:dyDescent="0.3">
      <c r="I20571" s="101"/>
    </row>
    <row r="20572" spans="9:9" x14ac:dyDescent="0.3">
      <c r="I20572" s="101"/>
    </row>
    <row r="20573" spans="9:9" x14ac:dyDescent="0.3">
      <c r="I20573" s="101"/>
    </row>
    <row r="20574" spans="9:9" x14ac:dyDescent="0.3">
      <c r="I20574" s="101"/>
    </row>
    <row r="20575" spans="9:9" x14ac:dyDescent="0.3">
      <c r="I20575" s="101"/>
    </row>
    <row r="20576" spans="9:9" x14ac:dyDescent="0.3">
      <c r="I20576" s="101"/>
    </row>
    <row r="20577" spans="9:9" x14ac:dyDescent="0.3">
      <c r="I20577" s="101"/>
    </row>
    <row r="20578" spans="9:9" x14ac:dyDescent="0.3">
      <c r="I20578" s="101"/>
    </row>
    <row r="20579" spans="9:9" x14ac:dyDescent="0.3">
      <c r="I20579" s="101"/>
    </row>
    <row r="20580" spans="9:9" x14ac:dyDescent="0.3">
      <c r="I20580" s="101"/>
    </row>
    <row r="20581" spans="9:9" x14ac:dyDescent="0.3">
      <c r="I20581" s="101"/>
    </row>
    <row r="20582" spans="9:9" x14ac:dyDescent="0.3">
      <c r="I20582" s="101"/>
    </row>
    <row r="20583" spans="9:9" x14ac:dyDescent="0.3">
      <c r="I20583" s="101"/>
    </row>
    <row r="20584" spans="9:9" x14ac:dyDescent="0.3">
      <c r="I20584" s="101"/>
    </row>
    <row r="20585" spans="9:9" x14ac:dyDescent="0.3">
      <c r="I20585" s="101"/>
    </row>
    <row r="20586" spans="9:9" x14ac:dyDescent="0.3">
      <c r="I20586" s="101"/>
    </row>
    <row r="20587" spans="9:9" x14ac:dyDescent="0.3">
      <c r="I20587" s="101"/>
    </row>
    <row r="20588" spans="9:9" x14ac:dyDescent="0.3">
      <c r="I20588" s="101"/>
    </row>
    <row r="20589" spans="9:9" x14ac:dyDescent="0.3">
      <c r="I20589" s="101"/>
    </row>
    <row r="20590" spans="9:9" x14ac:dyDescent="0.3">
      <c r="I20590" s="101"/>
    </row>
    <row r="20591" spans="9:9" x14ac:dyDescent="0.3">
      <c r="I20591" s="101"/>
    </row>
    <row r="20592" spans="9:9" x14ac:dyDescent="0.3">
      <c r="I20592" s="101"/>
    </row>
    <row r="20593" spans="9:9" x14ac:dyDescent="0.3">
      <c r="I20593" s="101"/>
    </row>
    <row r="20594" spans="9:9" x14ac:dyDescent="0.3">
      <c r="I20594" s="101"/>
    </row>
    <row r="20595" spans="9:9" x14ac:dyDescent="0.3">
      <c r="I20595" s="101"/>
    </row>
    <row r="20596" spans="9:9" x14ac:dyDescent="0.3">
      <c r="I20596" s="101"/>
    </row>
    <row r="20597" spans="9:9" x14ac:dyDescent="0.3">
      <c r="I20597" s="101"/>
    </row>
    <row r="20598" spans="9:9" x14ac:dyDescent="0.3">
      <c r="I20598" s="101"/>
    </row>
    <row r="20599" spans="9:9" x14ac:dyDescent="0.3">
      <c r="I20599" s="101"/>
    </row>
    <row r="20600" spans="9:9" x14ac:dyDescent="0.3">
      <c r="I20600" s="101"/>
    </row>
    <row r="20601" spans="9:9" x14ac:dyDescent="0.3">
      <c r="I20601" s="101"/>
    </row>
    <row r="20602" spans="9:9" x14ac:dyDescent="0.3">
      <c r="I20602" s="101"/>
    </row>
    <row r="20603" spans="9:9" x14ac:dyDescent="0.3">
      <c r="I20603" s="101"/>
    </row>
    <row r="20604" spans="9:9" x14ac:dyDescent="0.3">
      <c r="I20604" s="101"/>
    </row>
    <row r="20605" spans="9:9" x14ac:dyDescent="0.3">
      <c r="I20605" s="101"/>
    </row>
    <row r="20606" spans="9:9" x14ac:dyDescent="0.3">
      <c r="I20606" s="101"/>
    </row>
    <row r="20607" spans="9:9" x14ac:dyDescent="0.3">
      <c r="I20607" s="101"/>
    </row>
    <row r="20608" spans="9:9" x14ac:dyDescent="0.3">
      <c r="I20608" s="101"/>
    </row>
    <row r="20609" spans="9:9" x14ac:dyDescent="0.3">
      <c r="I20609" s="101"/>
    </row>
    <row r="20610" spans="9:9" x14ac:dyDescent="0.3">
      <c r="I20610" s="101"/>
    </row>
    <row r="20611" spans="9:9" x14ac:dyDescent="0.3">
      <c r="I20611" s="101"/>
    </row>
    <row r="20612" spans="9:9" x14ac:dyDescent="0.3">
      <c r="I20612" s="101"/>
    </row>
    <row r="20613" spans="9:9" x14ac:dyDescent="0.3">
      <c r="I20613" s="101"/>
    </row>
    <row r="20614" spans="9:9" x14ac:dyDescent="0.3">
      <c r="I20614" s="101"/>
    </row>
    <row r="20615" spans="9:9" x14ac:dyDescent="0.3">
      <c r="I20615" s="101"/>
    </row>
    <row r="20616" spans="9:9" x14ac:dyDescent="0.3">
      <c r="I20616" s="101"/>
    </row>
    <row r="20617" spans="9:9" x14ac:dyDescent="0.3">
      <c r="I20617" s="101"/>
    </row>
    <row r="20618" spans="9:9" x14ac:dyDescent="0.3">
      <c r="I20618" s="101"/>
    </row>
    <row r="20619" spans="9:9" x14ac:dyDescent="0.3">
      <c r="I20619" s="101"/>
    </row>
    <row r="20620" spans="9:9" x14ac:dyDescent="0.3">
      <c r="I20620" s="101"/>
    </row>
    <row r="20621" spans="9:9" x14ac:dyDescent="0.3">
      <c r="I20621" s="101"/>
    </row>
    <row r="20622" spans="9:9" x14ac:dyDescent="0.3">
      <c r="I20622" s="101"/>
    </row>
    <row r="20623" spans="9:9" x14ac:dyDescent="0.3">
      <c r="I20623" s="101"/>
    </row>
    <row r="20624" spans="9:9" x14ac:dyDescent="0.3">
      <c r="I20624" s="101"/>
    </row>
    <row r="20625" spans="9:9" x14ac:dyDescent="0.3">
      <c r="I20625" s="101"/>
    </row>
    <row r="20626" spans="9:9" x14ac:dyDescent="0.3">
      <c r="I20626" s="101"/>
    </row>
    <row r="20627" spans="9:9" x14ac:dyDescent="0.3">
      <c r="I20627" s="101"/>
    </row>
    <row r="20628" spans="9:9" x14ac:dyDescent="0.3">
      <c r="I20628" s="101"/>
    </row>
    <row r="20629" spans="9:9" x14ac:dyDescent="0.3">
      <c r="I20629" s="101"/>
    </row>
    <row r="20630" spans="9:9" x14ac:dyDescent="0.3">
      <c r="I20630" s="101"/>
    </row>
    <row r="20631" spans="9:9" x14ac:dyDescent="0.3">
      <c r="I20631" s="101"/>
    </row>
    <row r="20632" spans="9:9" x14ac:dyDescent="0.3">
      <c r="I20632" s="101"/>
    </row>
    <row r="20633" spans="9:9" x14ac:dyDescent="0.3">
      <c r="I20633" s="101"/>
    </row>
    <row r="20634" spans="9:9" x14ac:dyDescent="0.3">
      <c r="I20634" s="101"/>
    </row>
    <row r="20635" spans="9:9" x14ac:dyDescent="0.3">
      <c r="I20635" s="101"/>
    </row>
    <row r="20636" spans="9:9" x14ac:dyDescent="0.3">
      <c r="I20636" s="101"/>
    </row>
    <row r="20637" spans="9:9" x14ac:dyDescent="0.3">
      <c r="I20637" s="101"/>
    </row>
    <row r="20638" spans="9:9" x14ac:dyDescent="0.3">
      <c r="I20638" s="101"/>
    </row>
    <row r="20639" spans="9:9" x14ac:dyDescent="0.3">
      <c r="I20639" s="101"/>
    </row>
    <row r="20640" spans="9:9" x14ac:dyDescent="0.3">
      <c r="I20640" s="101"/>
    </row>
    <row r="20641" spans="9:9" x14ac:dyDescent="0.3">
      <c r="I20641" s="101"/>
    </row>
    <row r="20642" spans="9:9" x14ac:dyDescent="0.3">
      <c r="I20642" s="101"/>
    </row>
    <row r="20643" spans="9:9" x14ac:dyDescent="0.3">
      <c r="I20643" s="101"/>
    </row>
    <row r="20644" spans="9:9" x14ac:dyDescent="0.3">
      <c r="I20644" s="101"/>
    </row>
    <row r="20645" spans="9:9" x14ac:dyDescent="0.3">
      <c r="I20645" s="101"/>
    </row>
    <row r="20646" spans="9:9" x14ac:dyDescent="0.3">
      <c r="I20646" s="101"/>
    </row>
    <row r="20647" spans="9:9" x14ac:dyDescent="0.3">
      <c r="I20647" s="101"/>
    </row>
    <row r="20648" spans="9:9" x14ac:dyDescent="0.3">
      <c r="I20648" s="101"/>
    </row>
    <row r="20649" spans="9:9" x14ac:dyDescent="0.3">
      <c r="I20649" s="101"/>
    </row>
    <row r="20650" spans="9:9" x14ac:dyDescent="0.3">
      <c r="I20650" s="101"/>
    </row>
    <row r="20651" spans="9:9" x14ac:dyDescent="0.3">
      <c r="I20651" s="101"/>
    </row>
    <row r="20652" spans="9:9" x14ac:dyDescent="0.3">
      <c r="I20652" s="101"/>
    </row>
    <row r="20653" spans="9:9" x14ac:dyDescent="0.3">
      <c r="I20653" s="101"/>
    </row>
    <row r="20654" spans="9:9" x14ac:dyDescent="0.3">
      <c r="I20654" s="101"/>
    </row>
    <row r="20655" spans="9:9" x14ac:dyDescent="0.3">
      <c r="I20655" s="101"/>
    </row>
    <row r="20656" spans="9:9" x14ac:dyDescent="0.3">
      <c r="I20656" s="101"/>
    </row>
    <row r="20657" spans="9:9" x14ac:dyDescent="0.3">
      <c r="I20657" s="101"/>
    </row>
    <row r="20658" spans="9:9" x14ac:dyDescent="0.3">
      <c r="I20658" s="101"/>
    </row>
    <row r="20659" spans="9:9" x14ac:dyDescent="0.3">
      <c r="I20659" s="101"/>
    </row>
    <row r="20660" spans="9:9" x14ac:dyDescent="0.3">
      <c r="I20660" s="101"/>
    </row>
    <row r="20661" spans="9:9" x14ac:dyDescent="0.3">
      <c r="I20661" s="101"/>
    </row>
    <row r="20662" spans="9:9" x14ac:dyDescent="0.3">
      <c r="I20662" s="101"/>
    </row>
    <row r="20663" spans="9:9" x14ac:dyDescent="0.3">
      <c r="I20663" s="101"/>
    </row>
    <row r="20664" spans="9:9" x14ac:dyDescent="0.3">
      <c r="I20664" s="101"/>
    </row>
    <row r="20665" spans="9:9" x14ac:dyDescent="0.3">
      <c r="I20665" s="101"/>
    </row>
    <row r="20666" spans="9:9" x14ac:dyDescent="0.3">
      <c r="I20666" s="101"/>
    </row>
    <row r="20667" spans="9:9" x14ac:dyDescent="0.3">
      <c r="I20667" s="101"/>
    </row>
    <row r="20668" spans="9:9" x14ac:dyDescent="0.3">
      <c r="I20668" s="101"/>
    </row>
    <row r="20669" spans="9:9" x14ac:dyDescent="0.3">
      <c r="I20669" s="101"/>
    </row>
    <row r="20670" spans="9:9" x14ac:dyDescent="0.3">
      <c r="I20670" s="101"/>
    </row>
    <row r="20671" spans="9:9" x14ac:dyDescent="0.3">
      <c r="I20671" s="101"/>
    </row>
    <row r="20672" spans="9:9" x14ac:dyDescent="0.3">
      <c r="I20672" s="101"/>
    </row>
    <row r="20673" spans="9:9" x14ac:dyDescent="0.3">
      <c r="I20673" s="101"/>
    </row>
    <row r="20674" spans="9:9" x14ac:dyDescent="0.3">
      <c r="I20674" s="101"/>
    </row>
    <row r="20675" spans="9:9" x14ac:dyDescent="0.3">
      <c r="I20675" s="101"/>
    </row>
    <row r="20676" spans="9:9" x14ac:dyDescent="0.3">
      <c r="I20676" s="101"/>
    </row>
    <row r="20677" spans="9:9" x14ac:dyDescent="0.3">
      <c r="I20677" s="101"/>
    </row>
    <row r="20678" spans="9:9" x14ac:dyDescent="0.3">
      <c r="I20678" s="101"/>
    </row>
    <row r="20679" spans="9:9" x14ac:dyDescent="0.3">
      <c r="I20679" s="101"/>
    </row>
    <row r="20680" spans="9:9" x14ac:dyDescent="0.3">
      <c r="I20680" s="101"/>
    </row>
    <row r="20681" spans="9:9" x14ac:dyDescent="0.3">
      <c r="I20681" s="101"/>
    </row>
    <row r="20682" spans="9:9" x14ac:dyDescent="0.3">
      <c r="I20682" s="101"/>
    </row>
    <row r="20683" spans="9:9" x14ac:dyDescent="0.3">
      <c r="I20683" s="101"/>
    </row>
    <row r="20684" spans="9:9" x14ac:dyDescent="0.3">
      <c r="I20684" s="101"/>
    </row>
    <row r="20685" spans="9:9" x14ac:dyDescent="0.3">
      <c r="I20685" s="101"/>
    </row>
    <row r="20686" spans="9:9" x14ac:dyDescent="0.3">
      <c r="I20686" s="101"/>
    </row>
    <row r="20687" spans="9:9" x14ac:dyDescent="0.3">
      <c r="I20687" s="101"/>
    </row>
    <row r="20688" spans="9:9" x14ac:dyDescent="0.3">
      <c r="I20688" s="101"/>
    </row>
    <row r="20689" spans="9:9" x14ac:dyDescent="0.3">
      <c r="I20689" s="101"/>
    </row>
    <row r="20690" spans="9:9" x14ac:dyDescent="0.3">
      <c r="I20690" s="101"/>
    </row>
    <row r="20691" spans="9:9" x14ac:dyDescent="0.3">
      <c r="I20691" s="101"/>
    </row>
    <row r="20692" spans="9:9" x14ac:dyDescent="0.3">
      <c r="I20692" s="101"/>
    </row>
    <row r="20693" spans="9:9" x14ac:dyDescent="0.3">
      <c r="I20693" s="101"/>
    </row>
    <row r="20694" spans="9:9" x14ac:dyDescent="0.3">
      <c r="I20694" s="101"/>
    </row>
    <row r="20695" spans="9:9" x14ac:dyDescent="0.3">
      <c r="I20695" s="101"/>
    </row>
    <row r="20696" spans="9:9" x14ac:dyDescent="0.3">
      <c r="I20696" s="101"/>
    </row>
    <row r="20697" spans="9:9" x14ac:dyDescent="0.3">
      <c r="I20697" s="101"/>
    </row>
    <row r="20698" spans="9:9" x14ac:dyDescent="0.3">
      <c r="I20698" s="101"/>
    </row>
    <row r="20699" spans="9:9" x14ac:dyDescent="0.3">
      <c r="I20699" s="101"/>
    </row>
    <row r="20700" spans="9:9" x14ac:dyDescent="0.3">
      <c r="I20700" s="101"/>
    </row>
    <row r="20701" spans="9:9" x14ac:dyDescent="0.3">
      <c r="I20701" s="101"/>
    </row>
    <row r="20702" spans="9:9" x14ac:dyDescent="0.3">
      <c r="I20702" s="101"/>
    </row>
    <row r="20703" spans="9:9" x14ac:dyDescent="0.3">
      <c r="I20703" s="101"/>
    </row>
    <row r="20704" spans="9:9" x14ac:dyDescent="0.3">
      <c r="I20704" s="101"/>
    </row>
    <row r="20705" spans="9:9" x14ac:dyDescent="0.3">
      <c r="I20705" s="101"/>
    </row>
    <row r="20706" spans="9:9" x14ac:dyDescent="0.3">
      <c r="I20706" s="101"/>
    </row>
    <row r="20707" spans="9:9" x14ac:dyDescent="0.3">
      <c r="I20707" s="101"/>
    </row>
    <row r="20708" spans="9:9" x14ac:dyDescent="0.3">
      <c r="I20708" s="101"/>
    </row>
    <row r="20709" spans="9:9" x14ac:dyDescent="0.3">
      <c r="I20709" s="101"/>
    </row>
    <row r="20710" spans="9:9" x14ac:dyDescent="0.3">
      <c r="I20710" s="101"/>
    </row>
    <row r="20711" spans="9:9" x14ac:dyDescent="0.3">
      <c r="I20711" s="101"/>
    </row>
    <row r="20712" spans="9:9" x14ac:dyDescent="0.3">
      <c r="I20712" s="101"/>
    </row>
    <row r="20713" spans="9:9" x14ac:dyDescent="0.3">
      <c r="I20713" s="101"/>
    </row>
    <row r="20714" spans="9:9" x14ac:dyDescent="0.3">
      <c r="I20714" s="101"/>
    </row>
    <row r="20715" spans="9:9" x14ac:dyDescent="0.3">
      <c r="I20715" s="101"/>
    </row>
    <row r="20716" spans="9:9" x14ac:dyDescent="0.3">
      <c r="I20716" s="101"/>
    </row>
    <row r="20717" spans="9:9" x14ac:dyDescent="0.3">
      <c r="I20717" s="101"/>
    </row>
    <row r="20718" spans="9:9" x14ac:dyDescent="0.3">
      <c r="I20718" s="101"/>
    </row>
    <row r="20719" spans="9:9" x14ac:dyDescent="0.3">
      <c r="I20719" s="101"/>
    </row>
    <row r="20720" spans="9:9" x14ac:dyDescent="0.3">
      <c r="I20720" s="101"/>
    </row>
    <row r="20721" spans="9:9" x14ac:dyDescent="0.3">
      <c r="I20721" s="101"/>
    </row>
    <row r="20722" spans="9:9" x14ac:dyDescent="0.3">
      <c r="I20722" s="101"/>
    </row>
    <row r="20723" spans="9:9" x14ac:dyDescent="0.3">
      <c r="I20723" s="101"/>
    </row>
    <row r="20724" spans="9:9" x14ac:dyDescent="0.3">
      <c r="I20724" s="101"/>
    </row>
    <row r="20725" spans="9:9" x14ac:dyDescent="0.3">
      <c r="I20725" s="101"/>
    </row>
    <row r="20726" spans="9:9" x14ac:dyDescent="0.3">
      <c r="I20726" s="101"/>
    </row>
    <row r="20727" spans="9:9" x14ac:dyDescent="0.3">
      <c r="I20727" s="101"/>
    </row>
    <row r="20728" spans="9:9" x14ac:dyDescent="0.3">
      <c r="I20728" s="101"/>
    </row>
    <row r="20729" spans="9:9" x14ac:dyDescent="0.3">
      <c r="I20729" s="101"/>
    </row>
    <row r="20730" spans="9:9" x14ac:dyDescent="0.3">
      <c r="I20730" s="101"/>
    </row>
    <row r="20731" spans="9:9" x14ac:dyDescent="0.3">
      <c r="I20731" s="101"/>
    </row>
    <row r="20732" spans="9:9" x14ac:dyDescent="0.3">
      <c r="I20732" s="101"/>
    </row>
    <row r="20733" spans="9:9" x14ac:dyDescent="0.3">
      <c r="I20733" s="101"/>
    </row>
    <row r="20734" spans="9:9" x14ac:dyDescent="0.3">
      <c r="I20734" s="101"/>
    </row>
    <row r="20735" spans="9:9" x14ac:dyDescent="0.3">
      <c r="I20735" s="101"/>
    </row>
    <row r="20736" spans="9:9" x14ac:dyDescent="0.3">
      <c r="I20736" s="101"/>
    </row>
    <row r="20737" spans="9:9" x14ac:dyDescent="0.3">
      <c r="I20737" s="101"/>
    </row>
    <row r="20738" spans="9:9" x14ac:dyDescent="0.3">
      <c r="I20738" s="101"/>
    </row>
    <row r="20739" spans="9:9" x14ac:dyDescent="0.3">
      <c r="I20739" s="101"/>
    </row>
    <row r="20740" spans="9:9" x14ac:dyDescent="0.3">
      <c r="I20740" s="101"/>
    </row>
    <row r="20741" spans="9:9" x14ac:dyDescent="0.3">
      <c r="I20741" s="101"/>
    </row>
    <row r="20742" spans="9:9" x14ac:dyDescent="0.3">
      <c r="I20742" s="101"/>
    </row>
    <row r="20743" spans="9:9" x14ac:dyDescent="0.3">
      <c r="I20743" s="101"/>
    </row>
    <row r="20744" spans="9:9" x14ac:dyDescent="0.3">
      <c r="I20744" s="101"/>
    </row>
    <row r="20745" spans="9:9" x14ac:dyDescent="0.3">
      <c r="I20745" s="101"/>
    </row>
    <row r="20746" spans="9:9" x14ac:dyDescent="0.3">
      <c r="I20746" s="101"/>
    </row>
    <row r="20747" spans="9:9" x14ac:dyDescent="0.3">
      <c r="I20747" s="101"/>
    </row>
    <row r="20748" spans="9:9" x14ac:dyDescent="0.3">
      <c r="I20748" s="101"/>
    </row>
    <row r="20749" spans="9:9" x14ac:dyDescent="0.3">
      <c r="I20749" s="101"/>
    </row>
    <row r="20750" spans="9:9" x14ac:dyDescent="0.3">
      <c r="I20750" s="101"/>
    </row>
    <row r="20751" spans="9:9" x14ac:dyDescent="0.3">
      <c r="I20751" s="101"/>
    </row>
    <row r="20752" spans="9:9" x14ac:dyDescent="0.3">
      <c r="I20752" s="101"/>
    </row>
    <row r="20753" spans="9:9" x14ac:dyDescent="0.3">
      <c r="I20753" s="101"/>
    </row>
    <row r="20754" spans="9:9" x14ac:dyDescent="0.3">
      <c r="I20754" s="101"/>
    </row>
    <row r="20755" spans="9:9" x14ac:dyDescent="0.3">
      <c r="I20755" s="101"/>
    </row>
    <row r="20756" spans="9:9" x14ac:dyDescent="0.3">
      <c r="I20756" s="101"/>
    </row>
    <row r="20757" spans="9:9" x14ac:dyDescent="0.3">
      <c r="I20757" s="101"/>
    </row>
    <row r="20758" spans="9:9" x14ac:dyDescent="0.3">
      <c r="I20758" s="101"/>
    </row>
    <row r="20759" spans="9:9" x14ac:dyDescent="0.3">
      <c r="I20759" s="101"/>
    </row>
    <row r="20760" spans="9:9" x14ac:dyDescent="0.3">
      <c r="I20760" s="101"/>
    </row>
    <row r="20761" spans="9:9" x14ac:dyDescent="0.3">
      <c r="I20761" s="101"/>
    </row>
    <row r="20762" spans="9:9" x14ac:dyDescent="0.3">
      <c r="I20762" s="101"/>
    </row>
    <row r="20763" spans="9:9" x14ac:dyDescent="0.3">
      <c r="I20763" s="101"/>
    </row>
    <row r="20764" spans="9:9" x14ac:dyDescent="0.3">
      <c r="I20764" s="101"/>
    </row>
    <row r="20765" spans="9:9" x14ac:dyDescent="0.3">
      <c r="I20765" s="101"/>
    </row>
    <row r="20766" spans="9:9" x14ac:dyDescent="0.3">
      <c r="I20766" s="101"/>
    </row>
    <row r="20767" spans="9:9" x14ac:dyDescent="0.3">
      <c r="I20767" s="101"/>
    </row>
    <row r="20768" spans="9:9" x14ac:dyDescent="0.3">
      <c r="I20768" s="101"/>
    </row>
    <row r="20769" spans="9:9" x14ac:dyDescent="0.3">
      <c r="I20769" s="101"/>
    </row>
    <row r="20770" spans="9:9" x14ac:dyDescent="0.3">
      <c r="I20770" s="101"/>
    </row>
    <row r="20771" spans="9:9" x14ac:dyDescent="0.3">
      <c r="I20771" s="101"/>
    </row>
    <row r="20772" spans="9:9" x14ac:dyDescent="0.3">
      <c r="I20772" s="101"/>
    </row>
    <row r="20773" spans="9:9" x14ac:dyDescent="0.3">
      <c r="I20773" s="101"/>
    </row>
    <row r="20774" spans="9:9" x14ac:dyDescent="0.3">
      <c r="I20774" s="101"/>
    </row>
    <row r="20775" spans="9:9" x14ac:dyDescent="0.3">
      <c r="I20775" s="101"/>
    </row>
    <row r="20776" spans="9:9" x14ac:dyDescent="0.3">
      <c r="I20776" s="101"/>
    </row>
    <row r="20777" spans="9:9" x14ac:dyDescent="0.3">
      <c r="I20777" s="101"/>
    </row>
    <row r="20778" spans="9:9" x14ac:dyDescent="0.3">
      <c r="I20778" s="101"/>
    </row>
    <row r="20779" spans="9:9" x14ac:dyDescent="0.3">
      <c r="I20779" s="101"/>
    </row>
    <row r="20780" spans="9:9" x14ac:dyDescent="0.3">
      <c r="I20780" s="101"/>
    </row>
    <row r="20781" spans="9:9" x14ac:dyDescent="0.3">
      <c r="I20781" s="101"/>
    </row>
    <row r="20782" spans="9:9" x14ac:dyDescent="0.3">
      <c r="I20782" s="101"/>
    </row>
    <row r="20783" spans="9:9" x14ac:dyDescent="0.3">
      <c r="I20783" s="101"/>
    </row>
    <row r="20784" spans="9:9" x14ac:dyDescent="0.3">
      <c r="I20784" s="101"/>
    </row>
    <row r="20785" spans="9:9" x14ac:dyDescent="0.3">
      <c r="I20785" s="101"/>
    </row>
    <row r="20786" spans="9:9" x14ac:dyDescent="0.3">
      <c r="I20786" s="101"/>
    </row>
    <row r="20787" spans="9:9" x14ac:dyDescent="0.3">
      <c r="I20787" s="101"/>
    </row>
    <row r="20788" spans="9:9" x14ac:dyDescent="0.3">
      <c r="I20788" s="101"/>
    </row>
    <row r="20789" spans="9:9" x14ac:dyDescent="0.3">
      <c r="I20789" s="101"/>
    </row>
    <row r="20790" spans="9:9" x14ac:dyDescent="0.3">
      <c r="I20790" s="101"/>
    </row>
    <row r="20791" spans="9:9" x14ac:dyDescent="0.3">
      <c r="I20791" s="101"/>
    </row>
    <row r="20792" spans="9:9" x14ac:dyDescent="0.3">
      <c r="I20792" s="101"/>
    </row>
    <row r="20793" spans="9:9" x14ac:dyDescent="0.3">
      <c r="I20793" s="101"/>
    </row>
    <row r="20794" spans="9:9" x14ac:dyDescent="0.3">
      <c r="I20794" s="101"/>
    </row>
    <row r="20795" spans="9:9" x14ac:dyDescent="0.3">
      <c r="I20795" s="101"/>
    </row>
    <row r="20796" spans="9:9" x14ac:dyDescent="0.3">
      <c r="I20796" s="101"/>
    </row>
    <row r="20797" spans="9:9" x14ac:dyDescent="0.3">
      <c r="I20797" s="101"/>
    </row>
    <row r="20798" spans="9:9" x14ac:dyDescent="0.3">
      <c r="I20798" s="101"/>
    </row>
    <row r="20799" spans="9:9" x14ac:dyDescent="0.3">
      <c r="I20799" s="101"/>
    </row>
    <row r="20800" spans="9:9" x14ac:dyDescent="0.3">
      <c r="I20800" s="101"/>
    </row>
    <row r="20801" spans="9:9" x14ac:dyDescent="0.3">
      <c r="I20801" s="101"/>
    </row>
    <row r="20802" spans="9:9" x14ac:dyDescent="0.3">
      <c r="I20802" s="101"/>
    </row>
    <row r="20803" spans="9:9" x14ac:dyDescent="0.3">
      <c r="I20803" s="101"/>
    </row>
    <row r="20804" spans="9:9" x14ac:dyDescent="0.3">
      <c r="I20804" s="101"/>
    </row>
    <row r="20805" spans="9:9" x14ac:dyDescent="0.3">
      <c r="I20805" s="101"/>
    </row>
    <row r="20806" spans="9:9" x14ac:dyDescent="0.3">
      <c r="I20806" s="101"/>
    </row>
    <row r="20807" spans="9:9" x14ac:dyDescent="0.3">
      <c r="I20807" s="101"/>
    </row>
    <row r="20808" spans="9:9" x14ac:dyDescent="0.3">
      <c r="I20808" s="101"/>
    </row>
    <row r="20809" spans="9:9" x14ac:dyDescent="0.3">
      <c r="I20809" s="101"/>
    </row>
    <row r="20810" spans="9:9" x14ac:dyDescent="0.3">
      <c r="I20810" s="101"/>
    </row>
    <row r="20811" spans="9:9" x14ac:dyDescent="0.3">
      <c r="I20811" s="101"/>
    </row>
    <row r="20812" spans="9:9" x14ac:dyDescent="0.3">
      <c r="I20812" s="101"/>
    </row>
    <row r="20813" spans="9:9" x14ac:dyDescent="0.3">
      <c r="I20813" s="101"/>
    </row>
    <row r="20814" spans="9:9" x14ac:dyDescent="0.3">
      <c r="I20814" s="101"/>
    </row>
    <row r="20815" spans="9:9" x14ac:dyDescent="0.3">
      <c r="I20815" s="101"/>
    </row>
    <row r="20816" spans="9:9" x14ac:dyDescent="0.3">
      <c r="I20816" s="101"/>
    </row>
    <row r="20817" spans="9:9" x14ac:dyDescent="0.3">
      <c r="I20817" s="101"/>
    </row>
    <row r="20818" spans="9:9" x14ac:dyDescent="0.3">
      <c r="I20818" s="101"/>
    </row>
    <row r="20819" spans="9:9" x14ac:dyDescent="0.3">
      <c r="I20819" s="101"/>
    </row>
    <row r="20820" spans="9:9" x14ac:dyDescent="0.3">
      <c r="I20820" s="101"/>
    </row>
    <row r="20821" spans="9:9" x14ac:dyDescent="0.3">
      <c r="I20821" s="101"/>
    </row>
    <row r="20822" spans="9:9" x14ac:dyDescent="0.3">
      <c r="I20822" s="101"/>
    </row>
    <row r="20823" spans="9:9" x14ac:dyDescent="0.3">
      <c r="I20823" s="101"/>
    </row>
    <row r="20824" spans="9:9" x14ac:dyDescent="0.3">
      <c r="I20824" s="101"/>
    </row>
    <row r="20825" spans="9:9" x14ac:dyDescent="0.3">
      <c r="I20825" s="101"/>
    </row>
    <row r="20826" spans="9:9" x14ac:dyDescent="0.3">
      <c r="I20826" s="101"/>
    </row>
    <row r="20827" spans="9:9" x14ac:dyDescent="0.3">
      <c r="I20827" s="101"/>
    </row>
    <row r="20828" spans="9:9" x14ac:dyDescent="0.3">
      <c r="I20828" s="101"/>
    </row>
    <row r="20829" spans="9:9" x14ac:dyDescent="0.3">
      <c r="I20829" s="101"/>
    </row>
    <row r="20830" spans="9:9" x14ac:dyDescent="0.3">
      <c r="I20830" s="101"/>
    </row>
    <row r="20831" spans="9:9" x14ac:dyDescent="0.3">
      <c r="I20831" s="101"/>
    </row>
    <row r="20832" spans="9:9" x14ac:dyDescent="0.3">
      <c r="I20832" s="101"/>
    </row>
    <row r="20833" spans="9:9" x14ac:dyDescent="0.3">
      <c r="I20833" s="101"/>
    </row>
    <row r="20834" spans="9:9" x14ac:dyDescent="0.3">
      <c r="I20834" s="101"/>
    </row>
    <row r="20835" spans="9:9" x14ac:dyDescent="0.3">
      <c r="I20835" s="101"/>
    </row>
    <row r="20836" spans="9:9" x14ac:dyDescent="0.3">
      <c r="I20836" s="101"/>
    </row>
    <row r="20837" spans="9:9" x14ac:dyDescent="0.3">
      <c r="I20837" s="101"/>
    </row>
    <row r="20838" spans="9:9" x14ac:dyDescent="0.3">
      <c r="I20838" s="101"/>
    </row>
    <row r="20839" spans="9:9" x14ac:dyDescent="0.3">
      <c r="I20839" s="101"/>
    </row>
    <row r="20840" spans="9:9" x14ac:dyDescent="0.3">
      <c r="I20840" s="101"/>
    </row>
    <row r="20841" spans="9:9" x14ac:dyDescent="0.3">
      <c r="I20841" s="101"/>
    </row>
    <row r="20842" spans="9:9" x14ac:dyDescent="0.3">
      <c r="I20842" s="101"/>
    </row>
    <row r="20843" spans="9:9" x14ac:dyDescent="0.3">
      <c r="I20843" s="101"/>
    </row>
    <row r="20844" spans="9:9" x14ac:dyDescent="0.3">
      <c r="I20844" s="101"/>
    </row>
    <row r="20845" spans="9:9" x14ac:dyDescent="0.3">
      <c r="I20845" s="101"/>
    </row>
    <row r="20846" spans="9:9" x14ac:dyDescent="0.3">
      <c r="I20846" s="101"/>
    </row>
    <row r="20847" spans="9:9" x14ac:dyDescent="0.3">
      <c r="I20847" s="101"/>
    </row>
    <row r="20848" spans="9:9" x14ac:dyDescent="0.3">
      <c r="I20848" s="101"/>
    </row>
    <row r="20849" spans="9:9" x14ac:dyDescent="0.3">
      <c r="I20849" s="101"/>
    </row>
    <row r="20850" spans="9:9" x14ac:dyDescent="0.3">
      <c r="I20850" s="101"/>
    </row>
    <row r="20851" spans="9:9" x14ac:dyDescent="0.3">
      <c r="I20851" s="101"/>
    </row>
    <row r="20852" spans="9:9" x14ac:dyDescent="0.3">
      <c r="I20852" s="101"/>
    </row>
    <row r="20853" spans="9:9" x14ac:dyDescent="0.3">
      <c r="I20853" s="101"/>
    </row>
    <row r="20854" spans="9:9" x14ac:dyDescent="0.3">
      <c r="I20854" s="101"/>
    </row>
    <row r="20855" spans="9:9" x14ac:dyDescent="0.3">
      <c r="I20855" s="101"/>
    </row>
    <row r="20856" spans="9:9" x14ac:dyDescent="0.3">
      <c r="I20856" s="101"/>
    </row>
    <row r="20857" spans="9:9" x14ac:dyDescent="0.3">
      <c r="I20857" s="101"/>
    </row>
    <row r="20858" spans="9:9" x14ac:dyDescent="0.3">
      <c r="I20858" s="101"/>
    </row>
    <row r="20859" spans="9:9" x14ac:dyDescent="0.3">
      <c r="I20859" s="101"/>
    </row>
    <row r="20860" spans="9:9" x14ac:dyDescent="0.3">
      <c r="I20860" s="101"/>
    </row>
    <row r="20861" spans="9:9" x14ac:dyDescent="0.3">
      <c r="I20861" s="101"/>
    </row>
    <row r="20862" spans="9:9" x14ac:dyDescent="0.3">
      <c r="I20862" s="101"/>
    </row>
    <row r="20863" spans="9:9" x14ac:dyDescent="0.3">
      <c r="I20863" s="101"/>
    </row>
    <row r="20864" spans="9:9" x14ac:dyDescent="0.3">
      <c r="I20864" s="101"/>
    </row>
    <row r="20865" spans="9:9" x14ac:dyDescent="0.3">
      <c r="I20865" s="101"/>
    </row>
    <row r="20866" spans="9:9" x14ac:dyDescent="0.3">
      <c r="I20866" s="101"/>
    </row>
    <row r="20867" spans="9:9" x14ac:dyDescent="0.3">
      <c r="I20867" s="101"/>
    </row>
    <row r="20868" spans="9:9" x14ac:dyDescent="0.3">
      <c r="I20868" s="101"/>
    </row>
    <row r="20869" spans="9:9" x14ac:dyDescent="0.3">
      <c r="I20869" s="101"/>
    </row>
    <row r="20870" spans="9:9" x14ac:dyDescent="0.3">
      <c r="I20870" s="101"/>
    </row>
    <row r="20871" spans="9:9" x14ac:dyDescent="0.3">
      <c r="I20871" s="101"/>
    </row>
    <row r="20872" spans="9:9" x14ac:dyDescent="0.3">
      <c r="I20872" s="101"/>
    </row>
    <row r="20873" spans="9:9" x14ac:dyDescent="0.3">
      <c r="I20873" s="101"/>
    </row>
    <row r="20874" spans="9:9" x14ac:dyDescent="0.3">
      <c r="I20874" s="101"/>
    </row>
    <row r="20875" spans="9:9" x14ac:dyDescent="0.3">
      <c r="I20875" s="101"/>
    </row>
    <row r="20876" spans="9:9" x14ac:dyDescent="0.3">
      <c r="I20876" s="101"/>
    </row>
    <row r="20877" spans="9:9" x14ac:dyDescent="0.3">
      <c r="I20877" s="101"/>
    </row>
    <row r="20878" spans="9:9" x14ac:dyDescent="0.3">
      <c r="I20878" s="101"/>
    </row>
    <row r="20879" spans="9:9" x14ac:dyDescent="0.3">
      <c r="I20879" s="101"/>
    </row>
    <row r="20880" spans="9:9" x14ac:dyDescent="0.3">
      <c r="I20880" s="101"/>
    </row>
    <row r="20881" spans="9:9" x14ac:dyDescent="0.3">
      <c r="I20881" s="101"/>
    </row>
    <row r="20882" spans="9:9" x14ac:dyDescent="0.3">
      <c r="I20882" s="101"/>
    </row>
    <row r="20883" spans="9:9" x14ac:dyDescent="0.3">
      <c r="I20883" s="101"/>
    </row>
    <row r="20884" spans="9:9" x14ac:dyDescent="0.3">
      <c r="I20884" s="101"/>
    </row>
    <row r="20885" spans="9:9" x14ac:dyDescent="0.3">
      <c r="I20885" s="101"/>
    </row>
    <row r="20886" spans="9:9" x14ac:dyDescent="0.3">
      <c r="I20886" s="101"/>
    </row>
    <row r="20887" spans="9:9" x14ac:dyDescent="0.3">
      <c r="I20887" s="101"/>
    </row>
    <row r="20888" spans="9:9" x14ac:dyDescent="0.3">
      <c r="I20888" s="101"/>
    </row>
    <row r="20889" spans="9:9" x14ac:dyDescent="0.3">
      <c r="I20889" s="101"/>
    </row>
    <row r="20890" spans="9:9" x14ac:dyDescent="0.3">
      <c r="I20890" s="101"/>
    </row>
    <row r="20891" spans="9:9" x14ac:dyDescent="0.3">
      <c r="I20891" s="101"/>
    </row>
    <row r="20892" spans="9:9" x14ac:dyDescent="0.3">
      <c r="I20892" s="101"/>
    </row>
    <row r="20893" spans="9:9" x14ac:dyDescent="0.3">
      <c r="I20893" s="101"/>
    </row>
    <row r="20894" spans="9:9" x14ac:dyDescent="0.3">
      <c r="I20894" s="101"/>
    </row>
    <row r="20895" spans="9:9" x14ac:dyDescent="0.3">
      <c r="I20895" s="101"/>
    </row>
    <row r="20896" spans="9:9" x14ac:dyDescent="0.3">
      <c r="I20896" s="101"/>
    </row>
    <row r="20897" spans="9:9" x14ac:dyDescent="0.3">
      <c r="I20897" s="101"/>
    </row>
    <row r="20898" spans="9:9" x14ac:dyDescent="0.3">
      <c r="I20898" s="101"/>
    </row>
    <row r="20899" spans="9:9" x14ac:dyDescent="0.3">
      <c r="I20899" s="101"/>
    </row>
    <row r="20900" spans="9:9" x14ac:dyDescent="0.3">
      <c r="I20900" s="101"/>
    </row>
    <row r="20901" spans="9:9" x14ac:dyDescent="0.3">
      <c r="I20901" s="101"/>
    </row>
    <row r="20902" spans="9:9" x14ac:dyDescent="0.3">
      <c r="I20902" s="101"/>
    </row>
    <row r="20903" spans="9:9" x14ac:dyDescent="0.3">
      <c r="I20903" s="101"/>
    </row>
    <row r="20904" spans="9:9" x14ac:dyDescent="0.3">
      <c r="I20904" s="101"/>
    </row>
    <row r="20905" spans="9:9" x14ac:dyDescent="0.3">
      <c r="I20905" s="101"/>
    </row>
    <row r="20906" spans="9:9" x14ac:dyDescent="0.3">
      <c r="I20906" s="101"/>
    </row>
    <row r="20907" spans="9:9" x14ac:dyDescent="0.3">
      <c r="I20907" s="101"/>
    </row>
    <row r="20908" spans="9:9" x14ac:dyDescent="0.3">
      <c r="I20908" s="101"/>
    </row>
    <row r="20909" spans="9:9" x14ac:dyDescent="0.3">
      <c r="I20909" s="101"/>
    </row>
    <row r="20910" spans="9:9" x14ac:dyDescent="0.3">
      <c r="I20910" s="101"/>
    </row>
    <row r="20911" spans="9:9" x14ac:dyDescent="0.3">
      <c r="I20911" s="101"/>
    </row>
    <row r="20912" spans="9:9" x14ac:dyDescent="0.3">
      <c r="I20912" s="101"/>
    </row>
    <row r="20913" spans="9:9" x14ac:dyDescent="0.3">
      <c r="I20913" s="101"/>
    </row>
    <row r="20914" spans="9:9" x14ac:dyDescent="0.3">
      <c r="I20914" s="101"/>
    </row>
    <row r="20915" spans="9:9" x14ac:dyDescent="0.3">
      <c r="I20915" s="101"/>
    </row>
    <row r="20916" spans="9:9" x14ac:dyDescent="0.3">
      <c r="I20916" s="101"/>
    </row>
    <row r="20917" spans="9:9" x14ac:dyDescent="0.3">
      <c r="I20917" s="101"/>
    </row>
    <row r="20918" spans="9:9" x14ac:dyDescent="0.3">
      <c r="I20918" s="101"/>
    </row>
    <row r="20919" spans="9:9" x14ac:dyDescent="0.3">
      <c r="I20919" s="101"/>
    </row>
    <row r="20920" spans="9:9" x14ac:dyDescent="0.3">
      <c r="I20920" s="101"/>
    </row>
    <row r="20921" spans="9:9" x14ac:dyDescent="0.3">
      <c r="I20921" s="101"/>
    </row>
    <row r="20922" spans="9:9" x14ac:dyDescent="0.3">
      <c r="I20922" s="101"/>
    </row>
    <row r="20923" spans="9:9" x14ac:dyDescent="0.3">
      <c r="I20923" s="101"/>
    </row>
    <row r="20924" spans="9:9" x14ac:dyDescent="0.3">
      <c r="I20924" s="101"/>
    </row>
    <row r="20925" spans="9:9" x14ac:dyDescent="0.3">
      <c r="I20925" s="101"/>
    </row>
    <row r="20926" spans="9:9" x14ac:dyDescent="0.3">
      <c r="I20926" s="101"/>
    </row>
    <row r="20927" spans="9:9" x14ac:dyDescent="0.3">
      <c r="I20927" s="101"/>
    </row>
    <row r="20928" spans="9:9" x14ac:dyDescent="0.3">
      <c r="I20928" s="101"/>
    </row>
    <row r="20929" spans="9:9" x14ac:dyDescent="0.3">
      <c r="I20929" s="101"/>
    </row>
    <row r="20930" spans="9:9" x14ac:dyDescent="0.3">
      <c r="I20930" s="101"/>
    </row>
    <row r="20931" spans="9:9" x14ac:dyDescent="0.3">
      <c r="I20931" s="101"/>
    </row>
    <row r="20932" spans="9:9" x14ac:dyDescent="0.3">
      <c r="I20932" s="101"/>
    </row>
    <row r="20933" spans="9:9" x14ac:dyDescent="0.3">
      <c r="I20933" s="101"/>
    </row>
    <row r="20934" spans="9:9" x14ac:dyDescent="0.3">
      <c r="I20934" s="101"/>
    </row>
    <row r="20935" spans="9:9" x14ac:dyDescent="0.3">
      <c r="I20935" s="101"/>
    </row>
    <row r="20936" spans="9:9" x14ac:dyDescent="0.3">
      <c r="I20936" s="101"/>
    </row>
    <row r="20937" spans="9:9" x14ac:dyDescent="0.3">
      <c r="I20937" s="101"/>
    </row>
    <row r="20938" spans="9:9" x14ac:dyDescent="0.3">
      <c r="I20938" s="101"/>
    </row>
    <row r="20939" spans="9:9" x14ac:dyDescent="0.3">
      <c r="I20939" s="101"/>
    </row>
    <row r="20940" spans="9:9" x14ac:dyDescent="0.3">
      <c r="I20940" s="101"/>
    </row>
    <row r="20941" spans="9:9" x14ac:dyDescent="0.3">
      <c r="I20941" s="101"/>
    </row>
    <row r="20942" spans="9:9" x14ac:dyDescent="0.3">
      <c r="I20942" s="101"/>
    </row>
    <row r="20943" spans="9:9" x14ac:dyDescent="0.3">
      <c r="I20943" s="101"/>
    </row>
    <row r="20944" spans="9:9" x14ac:dyDescent="0.3">
      <c r="I20944" s="101"/>
    </row>
    <row r="20945" spans="9:9" x14ac:dyDescent="0.3">
      <c r="I20945" s="101"/>
    </row>
    <row r="20946" spans="9:9" x14ac:dyDescent="0.3">
      <c r="I20946" s="101"/>
    </row>
    <row r="20947" spans="9:9" x14ac:dyDescent="0.3">
      <c r="I20947" s="101"/>
    </row>
    <row r="20948" spans="9:9" x14ac:dyDescent="0.3">
      <c r="I20948" s="101"/>
    </row>
    <row r="20949" spans="9:9" x14ac:dyDescent="0.3">
      <c r="I20949" s="101"/>
    </row>
    <row r="20950" spans="9:9" x14ac:dyDescent="0.3">
      <c r="I20950" s="101"/>
    </row>
    <row r="20951" spans="9:9" x14ac:dyDescent="0.3">
      <c r="I20951" s="101"/>
    </row>
    <row r="20952" spans="9:9" x14ac:dyDescent="0.3">
      <c r="I20952" s="101"/>
    </row>
    <row r="20953" spans="9:9" x14ac:dyDescent="0.3">
      <c r="I20953" s="101"/>
    </row>
    <row r="20954" spans="9:9" x14ac:dyDescent="0.3">
      <c r="I20954" s="101"/>
    </row>
    <row r="20955" spans="9:9" x14ac:dyDescent="0.3">
      <c r="I20955" s="101"/>
    </row>
    <row r="20956" spans="9:9" x14ac:dyDescent="0.3">
      <c r="I20956" s="101"/>
    </row>
    <row r="20957" spans="9:9" x14ac:dyDescent="0.3">
      <c r="I20957" s="101"/>
    </row>
    <row r="20958" spans="9:9" x14ac:dyDescent="0.3">
      <c r="I20958" s="101"/>
    </row>
    <row r="20959" spans="9:9" x14ac:dyDescent="0.3">
      <c r="I20959" s="101"/>
    </row>
    <row r="20960" spans="9:9" x14ac:dyDescent="0.3">
      <c r="I20960" s="101"/>
    </row>
    <row r="20961" spans="9:9" x14ac:dyDescent="0.3">
      <c r="I20961" s="101"/>
    </row>
    <row r="20962" spans="9:9" x14ac:dyDescent="0.3">
      <c r="I20962" s="101"/>
    </row>
    <row r="20963" spans="9:9" x14ac:dyDescent="0.3">
      <c r="I20963" s="101"/>
    </row>
    <row r="20964" spans="9:9" x14ac:dyDescent="0.3">
      <c r="I20964" s="101"/>
    </row>
    <row r="20965" spans="9:9" x14ac:dyDescent="0.3">
      <c r="I20965" s="101"/>
    </row>
    <row r="20966" spans="9:9" x14ac:dyDescent="0.3">
      <c r="I20966" s="101"/>
    </row>
    <row r="20967" spans="9:9" x14ac:dyDescent="0.3">
      <c r="I20967" s="101"/>
    </row>
    <row r="20968" spans="9:9" x14ac:dyDescent="0.3">
      <c r="I20968" s="101"/>
    </row>
    <row r="20969" spans="9:9" x14ac:dyDescent="0.3">
      <c r="I20969" s="101"/>
    </row>
    <row r="20970" spans="9:9" x14ac:dyDescent="0.3">
      <c r="I20970" s="101"/>
    </row>
    <row r="20971" spans="9:9" x14ac:dyDescent="0.3">
      <c r="I20971" s="101"/>
    </row>
    <row r="20972" spans="9:9" x14ac:dyDescent="0.3">
      <c r="I20972" s="101"/>
    </row>
    <row r="20973" spans="9:9" x14ac:dyDescent="0.3">
      <c r="I20973" s="101"/>
    </row>
    <row r="20974" spans="9:9" x14ac:dyDescent="0.3">
      <c r="I20974" s="101"/>
    </row>
    <row r="20975" spans="9:9" x14ac:dyDescent="0.3">
      <c r="I20975" s="101"/>
    </row>
    <row r="20976" spans="9:9" x14ac:dyDescent="0.3">
      <c r="I20976" s="101"/>
    </row>
    <row r="20977" spans="9:9" x14ac:dyDescent="0.3">
      <c r="I20977" s="101"/>
    </row>
    <row r="20978" spans="9:9" x14ac:dyDescent="0.3">
      <c r="I20978" s="101"/>
    </row>
    <row r="20979" spans="9:9" x14ac:dyDescent="0.3">
      <c r="I20979" s="101"/>
    </row>
    <row r="20980" spans="9:9" x14ac:dyDescent="0.3">
      <c r="I20980" s="101"/>
    </row>
    <row r="20981" spans="9:9" x14ac:dyDescent="0.3">
      <c r="I20981" s="101"/>
    </row>
    <row r="20982" spans="9:9" x14ac:dyDescent="0.3">
      <c r="I20982" s="101"/>
    </row>
    <row r="20983" spans="9:9" x14ac:dyDescent="0.3">
      <c r="I20983" s="101"/>
    </row>
    <row r="20984" spans="9:9" x14ac:dyDescent="0.3">
      <c r="I20984" s="101"/>
    </row>
    <row r="20985" spans="9:9" x14ac:dyDescent="0.3">
      <c r="I20985" s="101"/>
    </row>
    <row r="20986" spans="9:9" x14ac:dyDescent="0.3">
      <c r="I20986" s="101"/>
    </row>
    <row r="20987" spans="9:9" x14ac:dyDescent="0.3">
      <c r="I20987" s="101"/>
    </row>
    <row r="20988" spans="9:9" x14ac:dyDescent="0.3">
      <c r="I20988" s="101"/>
    </row>
    <row r="20989" spans="9:9" x14ac:dyDescent="0.3">
      <c r="I20989" s="101"/>
    </row>
    <row r="20990" spans="9:9" x14ac:dyDescent="0.3">
      <c r="I20990" s="101"/>
    </row>
    <row r="20991" spans="9:9" x14ac:dyDescent="0.3">
      <c r="I20991" s="101"/>
    </row>
    <row r="20992" spans="9:9" x14ac:dyDescent="0.3">
      <c r="I20992" s="101"/>
    </row>
    <row r="20993" spans="9:9" x14ac:dyDescent="0.3">
      <c r="I20993" s="101"/>
    </row>
    <row r="20994" spans="9:9" x14ac:dyDescent="0.3">
      <c r="I20994" s="101"/>
    </row>
    <row r="20995" spans="9:9" x14ac:dyDescent="0.3">
      <c r="I20995" s="101"/>
    </row>
    <row r="20996" spans="9:9" x14ac:dyDescent="0.3">
      <c r="I20996" s="101"/>
    </row>
    <row r="20997" spans="9:9" x14ac:dyDescent="0.3">
      <c r="I20997" s="101"/>
    </row>
    <row r="20998" spans="9:9" x14ac:dyDescent="0.3">
      <c r="I20998" s="101"/>
    </row>
    <row r="20999" spans="9:9" x14ac:dyDescent="0.3">
      <c r="I20999" s="101"/>
    </row>
    <row r="21000" spans="9:9" x14ac:dyDescent="0.3">
      <c r="I21000" s="101"/>
    </row>
    <row r="21001" spans="9:9" x14ac:dyDescent="0.3">
      <c r="I21001" s="101"/>
    </row>
    <row r="21002" spans="9:9" x14ac:dyDescent="0.3">
      <c r="I21002" s="101"/>
    </row>
    <row r="21003" spans="9:9" x14ac:dyDescent="0.3">
      <c r="I21003" s="101"/>
    </row>
    <row r="21004" spans="9:9" x14ac:dyDescent="0.3">
      <c r="I21004" s="101"/>
    </row>
    <row r="21005" spans="9:9" x14ac:dyDescent="0.3">
      <c r="I21005" s="101"/>
    </row>
    <row r="21006" spans="9:9" x14ac:dyDescent="0.3">
      <c r="I21006" s="101"/>
    </row>
    <row r="21007" spans="9:9" x14ac:dyDescent="0.3">
      <c r="I21007" s="101"/>
    </row>
    <row r="21008" spans="9:9" x14ac:dyDescent="0.3">
      <c r="I21008" s="101"/>
    </row>
    <row r="21009" spans="9:9" x14ac:dyDescent="0.3">
      <c r="I21009" s="101"/>
    </row>
    <row r="21010" spans="9:9" x14ac:dyDescent="0.3">
      <c r="I21010" s="101"/>
    </row>
    <row r="21011" spans="9:9" x14ac:dyDescent="0.3">
      <c r="I21011" s="101"/>
    </row>
    <row r="21012" spans="9:9" x14ac:dyDescent="0.3">
      <c r="I21012" s="101"/>
    </row>
    <row r="21013" spans="9:9" x14ac:dyDescent="0.3">
      <c r="I21013" s="101"/>
    </row>
    <row r="21014" spans="9:9" x14ac:dyDescent="0.3">
      <c r="I21014" s="101"/>
    </row>
    <row r="21015" spans="9:9" x14ac:dyDescent="0.3">
      <c r="I21015" s="101"/>
    </row>
    <row r="21016" spans="9:9" x14ac:dyDescent="0.3">
      <c r="I21016" s="101"/>
    </row>
    <row r="21017" spans="9:9" x14ac:dyDescent="0.3">
      <c r="I21017" s="101"/>
    </row>
    <row r="21018" spans="9:9" x14ac:dyDescent="0.3">
      <c r="I21018" s="101"/>
    </row>
    <row r="21019" spans="9:9" x14ac:dyDescent="0.3">
      <c r="I21019" s="101"/>
    </row>
    <row r="21020" spans="9:9" x14ac:dyDescent="0.3">
      <c r="I21020" s="101"/>
    </row>
    <row r="21021" spans="9:9" x14ac:dyDescent="0.3">
      <c r="I21021" s="101"/>
    </row>
    <row r="21022" spans="9:9" x14ac:dyDescent="0.3">
      <c r="I21022" s="101"/>
    </row>
    <row r="21023" spans="9:9" x14ac:dyDescent="0.3">
      <c r="I21023" s="101"/>
    </row>
    <row r="21024" spans="9:9" x14ac:dyDescent="0.3">
      <c r="I21024" s="101"/>
    </row>
    <row r="21025" spans="9:9" x14ac:dyDescent="0.3">
      <c r="I21025" s="101"/>
    </row>
    <row r="21026" spans="9:9" x14ac:dyDescent="0.3">
      <c r="I21026" s="101"/>
    </row>
    <row r="21027" spans="9:9" x14ac:dyDescent="0.3">
      <c r="I21027" s="101"/>
    </row>
    <row r="21028" spans="9:9" x14ac:dyDescent="0.3">
      <c r="I21028" s="101"/>
    </row>
    <row r="21029" spans="9:9" x14ac:dyDescent="0.3">
      <c r="I21029" s="101"/>
    </row>
    <row r="21030" spans="9:9" x14ac:dyDescent="0.3">
      <c r="I21030" s="101"/>
    </row>
    <row r="21031" spans="9:9" x14ac:dyDescent="0.3">
      <c r="I21031" s="101"/>
    </row>
    <row r="21032" spans="9:9" x14ac:dyDescent="0.3">
      <c r="I21032" s="101"/>
    </row>
    <row r="21033" spans="9:9" x14ac:dyDescent="0.3">
      <c r="I21033" s="101"/>
    </row>
    <row r="21034" spans="9:9" x14ac:dyDescent="0.3">
      <c r="I21034" s="101"/>
    </row>
    <row r="21035" spans="9:9" x14ac:dyDescent="0.3">
      <c r="I21035" s="101"/>
    </row>
    <row r="21036" spans="9:9" x14ac:dyDescent="0.3">
      <c r="I21036" s="101"/>
    </row>
    <row r="21037" spans="9:9" x14ac:dyDescent="0.3">
      <c r="I21037" s="101"/>
    </row>
    <row r="21038" spans="9:9" x14ac:dyDescent="0.3">
      <c r="I21038" s="101"/>
    </row>
    <row r="21039" spans="9:9" x14ac:dyDescent="0.3">
      <c r="I21039" s="101"/>
    </row>
    <row r="21040" spans="9:9" x14ac:dyDescent="0.3">
      <c r="I21040" s="101"/>
    </row>
    <row r="21041" spans="9:9" x14ac:dyDescent="0.3">
      <c r="I21041" s="101"/>
    </row>
    <row r="21042" spans="9:9" x14ac:dyDescent="0.3">
      <c r="I21042" s="101"/>
    </row>
    <row r="21043" spans="9:9" x14ac:dyDescent="0.3">
      <c r="I21043" s="101"/>
    </row>
    <row r="21044" spans="9:9" x14ac:dyDescent="0.3">
      <c r="I21044" s="101"/>
    </row>
    <row r="21045" spans="9:9" x14ac:dyDescent="0.3">
      <c r="I21045" s="101"/>
    </row>
    <row r="21046" spans="9:9" x14ac:dyDescent="0.3">
      <c r="I21046" s="101"/>
    </row>
    <row r="21047" spans="9:9" x14ac:dyDescent="0.3">
      <c r="I21047" s="101"/>
    </row>
    <row r="21048" spans="9:9" x14ac:dyDescent="0.3">
      <c r="I21048" s="101"/>
    </row>
    <row r="21049" spans="9:9" x14ac:dyDescent="0.3">
      <c r="I21049" s="101"/>
    </row>
    <row r="21050" spans="9:9" x14ac:dyDescent="0.3">
      <c r="I21050" s="101"/>
    </row>
    <row r="21051" spans="9:9" x14ac:dyDescent="0.3">
      <c r="I21051" s="101"/>
    </row>
    <row r="21052" spans="9:9" x14ac:dyDescent="0.3">
      <c r="I21052" s="101"/>
    </row>
    <row r="21053" spans="9:9" x14ac:dyDescent="0.3">
      <c r="I21053" s="101"/>
    </row>
    <row r="21054" spans="9:9" x14ac:dyDescent="0.3">
      <c r="I21054" s="101"/>
    </row>
    <row r="21055" spans="9:9" x14ac:dyDescent="0.3">
      <c r="I21055" s="101"/>
    </row>
    <row r="21056" spans="9:9" x14ac:dyDescent="0.3">
      <c r="I21056" s="101"/>
    </row>
    <row r="21057" spans="9:9" x14ac:dyDescent="0.3">
      <c r="I21057" s="101"/>
    </row>
    <row r="21058" spans="9:9" x14ac:dyDescent="0.3">
      <c r="I21058" s="101"/>
    </row>
    <row r="21059" spans="9:9" x14ac:dyDescent="0.3">
      <c r="I21059" s="101"/>
    </row>
    <row r="21060" spans="9:9" x14ac:dyDescent="0.3">
      <c r="I21060" s="101"/>
    </row>
    <row r="21061" spans="9:9" x14ac:dyDescent="0.3">
      <c r="I21061" s="101"/>
    </row>
    <row r="21062" spans="9:9" x14ac:dyDescent="0.3">
      <c r="I21062" s="101"/>
    </row>
    <row r="21063" spans="9:9" x14ac:dyDescent="0.3">
      <c r="I21063" s="101"/>
    </row>
    <row r="21064" spans="9:9" x14ac:dyDescent="0.3">
      <c r="I21064" s="101"/>
    </row>
    <row r="21065" spans="9:9" x14ac:dyDescent="0.3">
      <c r="I21065" s="101"/>
    </row>
    <row r="21066" spans="9:9" x14ac:dyDescent="0.3">
      <c r="I21066" s="101"/>
    </row>
    <row r="21067" spans="9:9" x14ac:dyDescent="0.3">
      <c r="I21067" s="101"/>
    </row>
    <row r="21068" spans="9:9" x14ac:dyDescent="0.3">
      <c r="I21068" s="101"/>
    </row>
    <row r="21069" spans="9:9" x14ac:dyDescent="0.3">
      <c r="I21069" s="101"/>
    </row>
    <row r="21070" spans="9:9" x14ac:dyDescent="0.3">
      <c r="I21070" s="101"/>
    </row>
    <row r="21071" spans="9:9" x14ac:dyDescent="0.3">
      <c r="I21071" s="101"/>
    </row>
    <row r="21072" spans="9:9" x14ac:dyDescent="0.3">
      <c r="I21072" s="101"/>
    </row>
    <row r="21073" spans="9:9" x14ac:dyDescent="0.3">
      <c r="I21073" s="101"/>
    </row>
    <row r="21074" spans="9:9" x14ac:dyDescent="0.3">
      <c r="I21074" s="101"/>
    </row>
    <row r="21075" spans="9:9" x14ac:dyDescent="0.3">
      <c r="I21075" s="101"/>
    </row>
    <row r="21076" spans="9:9" x14ac:dyDescent="0.3">
      <c r="I21076" s="101"/>
    </row>
    <row r="21077" spans="9:9" x14ac:dyDescent="0.3">
      <c r="I21077" s="101"/>
    </row>
    <row r="21078" spans="9:9" x14ac:dyDescent="0.3">
      <c r="I21078" s="101"/>
    </row>
    <row r="21079" spans="9:9" x14ac:dyDescent="0.3">
      <c r="I21079" s="101"/>
    </row>
    <row r="21080" spans="9:9" x14ac:dyDescent="0.3">
      <c r="I21080" s="101"/>
    </row>
    <row r="21081" spans="9:9" x14ac:dyDescent="0.3">
      <c r="I21081" s="101"/>
    </row>
    <row r="21082" spans="9:9" x14ac:dyDescent="0.3">
      <c r="I21082" s="101"/>
    </row>
    <row r="21083" spans="9:9" x14ac:dyDescent="0.3">
      <c r="I21083" s="101"/>
    </row>
    <row r="21084" spans="9:9" x14ac:dyDescent="0.3">
      <c r="I21084" s="101"/>
    </row>
    <row r="21085" spans="9:9" x14ac:dyDescent="0.3">
      <c r="I21085" s="101"/>
    </row>
    <row r="21086" spans="9:9" x14ac:dyDescent="0.3">
      <c r="I21086" s="101"/>
    </row>
    <row r="21087" spans="9:9" x14ac:dyDescent="0.3">
      <c r="I21087" s="101"/>
    </row>
    <row r="21088" spans="9:9" x14ac:dyDescent="0.3">
      <c r="I21088" s="101"/>
    </row>
    <row r="21089" spans="9:9" x14ac:dyDescent="0.3">
      <c r="I21089" s="101"/>
    </row>
    <row r="21090" spans="9:9" x14ac:dyDescent="0.3">
      <c r="I21090" s="101"/>
    </row>
    <row r="21091" spans="9:9" x14ac:dyDescent="0.3">
      <c r="I21091" s="101"/>
    </row>
    <row r="21092" spans="9:9" x14ac:dyDescent="0.3">
      <c r="I21092" s="101"/>
    </row>
    <row r="21093" spans="9:9" x14ac:dyDescent="0.3">
      <c r="I21093" s="101"/>
    </row>
    <row r="21094" spans="9:9" x14ac:dyDescent="0.3">
      <c r="I21094" s="101"/>
    </row>
    <row r="21095" spans="9:9" x14ac:dyDescent="0.3">
      <c r="I21095" s="101"/>
    </row>
    <row r="21096" spans="9:9" x14ac:dyDescent="0.3">
      <c r="I21096" s="101"/>
    </row>
    <row r="21097" spans="9:9" x14ac:dyDescent="0.3">
      <c r="I21097" s="101"/>
    </row>
    <row r="21098" spans="9:9" x14ac:dyDescent="0.3">
      <c r="I21098" s="101"/>
    </row>
    <row r="21099" spans="9:9" x14ac:dyDescent="0.3">
      <c r="I21099" s="101"/>
    </row>
    <row r="21100" spans="9:9" x14ac:dyDescent="0.3">
      <c r="I21100" s="101"/>
    </row>
    <row r="21101" spans="9:9" x14ac:dyDescent="0.3">
      <c r="I21101" s="101"/>
    </row>
    <row r="21102" spans="9:9" x14ac:dyDescent="0.3">
      <c r="I21102" s="101"/>
    </row>
    <row r="21103" spans="9:9" x14ac:dyDescent="0.3">
      <c r="I21103" s="101"/>
    </row>
    <row r="21104" spans="9:9" x14ac:dyDescent="0.3">
      <c r="I21104" s="101"/>
    </row>
    <row r="21105" spans="9:9" x14ac:dyDescent="0.3">
      <c r="I21105" s="101"/>
    </row>
    <row r="21106" spans="9:9" x14ac:dyDescent="0.3">
      <c r="I21106" s="101"/>
    </row>
    <row r="21107" spans="9:9" x14ac:dyDescent="0.3">
      <c r="I21107" s="101"/>
    </row>
    <row r="21108" spans="9:9" x14ac:dyDescent="0.3">
      <c r="I21108" s="101"/>
    </row>
    <row r="21109" spans="9:9" x14ac:dyDescent="0.3">
      <c r="I21109" s="101"/>
    </row>
    <row r="21110" spans="9:9" x14ac:dyDescent="0.3">
      <c r="I21110" s="101"/>
    </row>
    <row r="21111" spans="9:9" x14ac:dyDescent="0.3">
      <c r="I21111" s="101"/>
    </row>
    <row r="21112" spans="9:9" x14ac:dyDescent="0.3">
      <c r="I21112" s="101"/>
    </row>
    <row r="21113" spans="9:9" x14ac:dyDescent="0.3">
      <c r="I21113" s="101"/>
    </row>
    <row r="21114" spans="9:9" x14ac:dyDescent="0.3">
      <c r="I21114" s="101"/>
    </row>
    <row r="21115" spans="9:9" x14ac:dyDescent="0.3">
      <c r="I21115" s="101"/>
    </row>
    <row r="21116" spans="9:9" x14ac:dyDescent="0.3">
      <c r="I21116" s="101"/>
    </row>
    <row r="21117" spans="9:9" x14ac:dyDescent="0.3">
      <c r="I21117" s="101"/>
    </row>
    <row r="21118" spans="9:9" x14ac:dyDescent="0.3">
      <c r="I21118" s="101"/>
    </row>
    <row r="21119" spans="9:9" x14ac:dyDescent="0.3">
      <c r="I21119" s="101"/>
    </row>
    <row r="21120" spans="9:9" x14ac:dyDescent="0.3">
      <c r="I21120" s="101"/>
    </row>
    <row r="21121" spans="9:9" x14ac:dyDescent="0.3">
      <c r="I21121" s="101"/>
    </row>
    <row r="21122" spans="9:9" x14ac:dyDescent="0.3">
      <c r="I21122" s="101"/>
    </row>
    <row r="21123" spans="9:9" x14ac:dyDescent="0.3">
      <c r="I21123" s="101"/>
    </row>
    <row r="21124" spans="9:9" x14ac:dyDescent="0.3">
      <c r="I21124" s="101"/>
    </row>
    <row r="21125" spans="9:9" x14ac:dyDescent="0.3">
      <c r="I21125" s="101"/>
    </row>
    <row r="21126" spans="9:9" x14ac:dyDescent="0.3">
      <c r="I21126" s="101"/>
    </row>
    <row r="21127" spans="9:9" x14ac:dyDescent="0.3">
      <c r="I21127" s="101"/>
    </row>
    <row r="21128" spans="9:9" x14ac:dyDescent="0.3">
      <c r="I21128" s="101"/>
    </row>
    <row r="21129" spans="9:9" x14ac:dyDescent="0.3">
      <c r="I21129" s="101"/>
    </row>
    <row r="21130" spans="9:9" x14ac:dyDescent="0.3">
      <c r="I21130" s="101"/>
    </row>
    <row r="21131" spans="9:9" x14ac:dyDescent="0.3">
      <c r="I21131" s="101"/>
    </row>
    <row r="21132" spans="9:9" x14ac:dyDescent="0.3">
      <c r="I21132" s="101"/>
    </row>
    <row r="21133" spans="9:9" x14ac:dyDescent="0.3">
      <c r="I21133" s="101"/>
    </row>
    <row r="21134" spans="9:9" x14ac:dyDescent="0.3">
      <c r="I21134" s="101"/>
    </row>
    <row r="21135" spans="9:9" x14ac:dyDescent="0.3">
      <c r="I21135" s="101"/>
    </row>
    <row r="21136" spans="9:9" x14ac:dyDescent="0.3">
      <c r="I21136" s="101"/>
    </row>
    <row r="21137" spans="9:9" x14ac:dyDescent="0.3">
      <c r="I21137" s="101"/>
    </row>
    <row r="21138" spans="9:9" x14ac:dyDescent="0.3">
      <c r="I21138" s="101"/>
    </row>
    <row r="21139" spans="9:9" x14ac:dyDescent="0.3">
      <c r="I21139" s="101"/>
    </row>
    <row r="21140" spans="9:9" x14ac:dyDescent="0.3">
      <c r="I21140" s="101"/>
    </row>
    <row r="21141" spans="9:9" x14ac:dyDescent="0.3">
      <c r="I21141" s="101"/>
    </row>
    <row r="21142" spans="9:9" x14ac:dyDescent="0.3">
      <c r="I21142" s="101"/>
    </row>
    <row r="21143" spans="9:9" x14ac:dyDescent="0.3">
      <c r="I21143" s="101"/>
    </row>
    <row r="21144" spans="9:9" x14ac:dyDescent="0.3">
      <c r="I21144" s="101"/>
    </row>
    <row r="21145" spans="9:9" x14ac:dyDescent="0.3">
      <c r="I21145" s="101"/>
    </row>
    <row r="21146" spans="9:9" x14ac:dyDescent="0.3">
      <c r="I21146" s="101"/>
    </row>
    <row r="21147" spans="9:9" x14ac:dyDescent="0.3">
      <c r="I21147" s="101"/>
    </row>
    <row r="21148" spans="9:9" x14ac:dyDescent="0.3">
      <c r="I21148" s="101"/>
    </row>
    <row r="21149" spans="9:9" x14ac:dyDescent="0.3">
      <c r="I21149" s="101"/>
    </row>
    <row r="21150" spans="9:9" x14ac:dyDescent="0.3">
      <c r="I21150" s="101"/>
    </row>
    <row r="21151" spans="9:9" x14ac:dyDescent="0.3">
      <c r="I21151" s="101"/>
    </row>
    <row r="21152" spans="9:9" x14ac:dyDescent="0.3">
      <c r="I21152" s="101"/>
    </row>
    <row r="21153" spans="9:9" x14ac:dyDescent="0.3">
      <c r="I21153" s="101"/>
    </row>
    <row r="21154" spans="9:9" x14ac:dyDescent="0.3">
      <c r="I21154" s="101"/>
    </row>
    <row r="21155" spans="9:9" x14ac:dyDescent="0.3">
      <c r="I21155" s="101"/>
    </row>
    <row r="21156" spans="9:9" x14ac:dyDescent="0.3">
      <c r="I21156" s="101"/>
    </row>
    <row r="21157" spans="9:9" x14ac:dyDescent="0.3">
      <c r="I21157" s="101"/>
    </row>
    <row r="21158" spans="9:9" x14ac:dyDescent="0.3">
      <c r="I21158" s="101"/>
    </row>
    <row r="21159" spans="9:9" x14ac:dyDescent="0.3">
      <c r="I21159" s="101"/>
    </row>
    <row r="21160" spans="9:9" x14ac:dyDescent="0.3">
      <c r="I21160" s="101"/>
    </row>
    <row r="21161" spans="9:9" x14ac:dyDescent="0.3">
      <c r="I21161" s="101"/>
    </row>
    <row r="21162" spans="9:9" x14ac:dyDescent="0.3">
      <c r="I21162" s="101"/>
    </row>
    <row r="21163" spans="9:9" x14ac:dyDescent="0.3">
      <c r="I21163" s="101"/>
    </row>
    <row r="21164" spans="9:9" x14ac:dyDescent="0.3">
      <c r="I21164" s="101"/>
    </row>
    <row r="21165" spans="9:9" x14ac:dyDescent="0.3">
      <c r="I21165" s="101"/>
    </row>
    <row r="21166" spans="9:9" x14ac:dyDescent="0.3">
      <c r="I21166" s="101"/>
    </row>
    <row r="21167" spans="9:9" x14ac:dyDescent="0.3">
      <c r="I21167" s="101"/>
    </row>
    <row r="21168" spans="9:9" x14ac:dyDescent="0.3">
      <c r="I21168" s="101"/>
    </row>
    <row r="21169" spans="9:9" x14ac:dyDescent="0.3">
      <c r="I21169" s="101"/>
    </row>
    <row r="21170" spans="9:9" x14ac:dyDescent="0.3">
      <c r="I21170" s="101"/>
    </row>
    <row r="21171" spans="9:9" x14ac:dyDescent="0.3">
      <c r="I21171" s="101"/>
    </row>
    <row r="21172" spans="9:9" x14ac:dyDescent="0.3">
      <c r="I21172" s="101"/>
    </row>
    <row r="21173" spans="9:9" x14ac:dyDescent="0.3">
      <c r="I21173" s="101"/>
    </row>
    <row r="21174" spans="9:9" x14ac:dyDescent="0.3">
      <c r="I21174" s="101"/>
    </row>
    <row r="21175" spans="9:9" x14ac:dyDescent="0.3">
      <c r="I21175" s="101"/>
    </row>
    <row r="21176" spans="9:9" x14ac:dyDescent="0.3">
      <c r="I21176" s="101"/>
    </row>
    <row r="21177" spans="9:9" x14ac:dyDescent="0.3">
      <c r="I21177" s="101"/>
    </row>
    <row r="21178" spans="9:9" x14ac:dyDescent="0.3">
      <c r="I21178" s="101"/>
    </row>
    <row r="21179" spans="9:9" x14ac:dyDescent="0.3">
      <c r="I21179" s="101"/>
    </row>
    <row r="21180" spans="9:9" x14ac:dyDescent="0.3">
      <c r="I21180" s="101"/>
    </row>
    <row r="21181" spans="9:9" x14ac:dyDescent="0.3">
      <c r="I21181" s="101"/>
    </row>
    <row r="21182" spans="9:9" x14ac:dyDescent="0.3">
      <c r="I21182" s="101"/>
    </row>
    <row r="21183" spans="9:9" x14ac:dyDescent="0.3">
      <c r="I21183" s="101"/>
    </row>
    <row r="21184" spans="9:9" x14ac:dyDescent="0.3">
      <c r="I21184" s="101"/>
    </row>
    <row r="21185" spans="9:9" x14ac:dyDescent="0.3">
      <c r="I21185" s="101"/>
    </row>
    <row r="21186" spans="9:9" x14ac:dyDescent="0.3">
      <c r="I21186" s="101"/>
    </row>
    <row r="21187" spans="9:9" x14ac:dyDescent="0.3">
      <c r="I21187" s="101"/>
    </row>
    <row r="21188" spans="9:9" x14ac:dyDescent="0.3">
      <c r="I21188" s="101"/>
    </row>
    <row r="21189" spans="9:9" x14ac:dyDescent="0.3">
      <c r="I21189" s="101"/>
    </row>
    <row r="21190" spans="9:9" x14ac:dyDescent="0.3">
      <c r="I21190" s="101"/>
    </row>
    <row r="21191" spans="9:9" x14ac:dyDescent="0.3">
      <c r="I21191" s="101"/>
    </row>
    <row r="21192" spans="9:9" x14ac:dyDescent="0.3">
      <c r="I21192" s="101"/>
    </row>
    <row r="21193" spans="9:9" x14ac:dyDescent="0.3">
      <c r="I21193" s="101"/>
    </row>
    <row r="21194" spans="9:9" x14ac:dyDescent="0.3">
      <c r="I21194" s="101"/>
    </row>
    <row r="21195" spans="9:9" x14ac:dyDescent="0.3">
      <c r="I21195" s="101"/>
    </row>
    <row r="21196" spans="9:9" x14ac:dyDescent="0.3">
      <c r="I21196" s="101"/>
    </row>
    <row r="21197" spans="9:9" x14ac:dyDescent="0.3">
      <c r="I21197" s="101"/>
    </row>
    <row r="21198" spans="9:9" x14ac:dyDescent="0.3">
      <c r="I21198" s="101"/>
    </row>
    <row r="21199" spans="9:9" x14ac:dyDescent="0.3">
      <c r="I21199" s="101"/>
    </row>
    <row r="21200" spans="9:9" x14ac:dyDescent="0.3">
      <c r="I21200" s="101"/>
    </row>
    <row r="21201" spans="9:9" x14ac:dyDescent="0.3">
      <c r="I21201" s="101"/>
    </row>
    <row r="21202" spans="9:9" x14ac:dyDescent="0.3">
      <c r="I21202" s="101"/>
    </row>
    <row r="21203" spans="9:9" x14ac:dyDescent="0.3">
      <c r="I21203" s="101"/>
    </row>
    <row r="21204" spans="9:9" x14ac:dyDescent="0.3">
      <c r="I21204" s="101"/>
    </row>
    <row r="21205" spans="9:9" x14ac:dyDescent="0.3">
      <c r="I21205" s="101"/>
    </row>
    <row r="21206" spans="9:9" x14ac:dyDescent="0.3">
      <c r="I21206" s="101"/>
    </row>
    <row r="21207" spans="9:9" x14ac:dyDescent="0.3">
      <c r="I21207" s="101"/>
    </row>
    <row r="21208" spans="9:9" x14ac:dyDescent="0.3">
      <c r="I21208" s="101"/>
    </row>
    <row r="21209" spans="9:9" x14ac:dyDescent="0.3">
      <c r="I21209" s="101"/>
    </row>
    <row r="21210" spans="9:9" x14ac:dyDescent="0.3">
      <c r="I21210" s="101"/>
    </row>
    <row r="21211" spans="9:9" x14ac:dyDescent="0.3">
      <c r="I21211" s="101"/>
    </row>
    <row r="21212" spans="9:9" x14ac:dyDescent="0.3">
      <c r="I21212" s="101"/>
    </row>
    <row r="21213" spans="9:9" x14ac:dyDescent="0.3">
      <c r="I21213" s="101"/>
    </row>
    <row r="21214" spans="9:9" x14ac:dyDescent="0.3">
      <c r="I21214" s="101"/>
    </row>
    <row r="21215" spans="9:9" x14ac:dyDescent="0.3">
      <c r="I21215" s="101"/>
    </row>
    <row r="21216" spans="9:9" x14ac:dyDescent="0.3">
      <c r="I21216" s="101"/>
    </row>
    <row r="21217" spans="9:9" x14ac:dyDescent="0.3">
      <c r="I21217" s="101"/>
    </row>
    <row r="21218" spans="9:9" x14ac:dyDescent="0.3">
      <c r="I21218" s="101"/>
    </row>
    <row r="21219" spans="9:9" x14ac:dyDescent="0.3">
      <c r="I21219" s="101"/>
    </row>
    <row r="21220" spans="9:9" x14ac:dyDescent="0.3">
      <c r="I21220" s="101"/>
    </row>
    <row r="21221" spans="9:9" x14ac:dyDescent="0.3">
      <c r="I21221" s="101"/>
    </row>
    <row r="21222" spans="9:9" x14ac:dyDescent="0.3">
      <c r="I21222" s="101"/>
    </row>
    <row r="21223" spans="9:9" x14ac:dyDescent="0.3">
      <c r="I21223" s="101"/>
    </row>
    <row r="21224" spans="9:9" x14ac:dyDescent="0.3">
      <c r="I21224" s="101"/>
    </row>
    <row r="21225" spans="9:9" x14ac:dyDescent="0.3">
      <c r="I21225" s="101"/>
    </row>
    <row r="21226" spans="9:9" x14ac:dyDescent="0.3">
      <c r="I21226" s="101"/>
    </row>
    <row r="21227" spans="9:9" x14ac:dyDescent="0.3">
      <c r="I21227" s="101"/>
    </row>
    <row r="21228" spans="9:9" x14ac:dyDescent="0.3">
      <c r="I21228" s="101"/>
    </row>
    <row r="21229" spans="9:9" x14ac:dyDescent="0.3">
      <c r="I21229" s="101"/>
    </row>
    <row r="21230" spans="9:9" x14ac:dyDescent="0.3">
      <c r="I21230" s="101"/>
    </row>
    <row r="21231" spans="9:9" x14ac:dyDescent="0.3">
      <c r="I21231" s="101"/>
    </row>
    <row r="21232" spans="9:9" x14ac:dyDescent="0.3">
      <c r="I21232" s="101"/>
    </row>
    <row r="21233" spans="9:9" x14ac:dyDescent="0.3">
      <c r="I21233" s="101"/>
    </row>
    <row r="21234" spans="9:9" x14ac:dyDescent="0.3">
      <c r="I21234" s="101"/>
    </row>
    <row r="21235" spans="9:9" x14ac:dyDescent="0.3">
      <c r="I21235" s="101"/>
    </row>
    <row r="21236" spans="9:9" x14ac:dyDescent="0.3">
      <c r="I21236" s="101"/>
    </row>
    <row r="21237" spans="9:9" x14ac:dyDescent="0.3">
      <c r="I21237" s="101"/>
    </row>
    <row r="21238" spans="9:9" x14ac:dyDescent="0.3">
      <c r="I21238" s="101"/>
    </row>
    <row r="21239" spans="9:9" x14ac:dyDescent="0.3">
      <c r="I21239" s="101"/>
    </row>
    <row r="21240" spans="9:9" x14ac:dyDescent="0.3">
      <c r="I21240" s="101"/>
    </row>
    <row r="21241" spans="9:9" x14ac:dyDescent="0.3">
      <c r="I21241" s="101"/>
    </row>
    <row r="21242" spans="9:9" x14ac:dyDescent="0.3">
      <c r="I21242" s="101"/>
    </row>
    <row r="21243" spans="9:9" x14ac:dyDescent="0.3">
      <c r="I21243" s="101"/>
    </row>
    <row r="21244" spans="9:9" x14ac:dyDescent="0.3">
      <c r="I21244" s="101"/>
    </row>
    <row r="21245" spans="9:9" x14ac:dyDescent="0.3">
      <c r="I21245" s="101"/>
    </row>
    <row r="21246" spans="9:9" x14ac:dyDescent="0.3">
      <c r="I21246" s="101"/>
    </row>
    <row r="21247" spans="9:9" x14ac:dyDescent="0.3">
      <c r="I21247" s="101"/>
    </row>
    <row r="21248" spans="9:9" x14ac:dyDescent="0.3">
      <c r="I21248" s="101"/>
    </row>
    <row r="21249" spans="9:9" x14ac:dyDescent="0.3">
      <c r="I21249" s="101"/>
    </row>
    <row r="21250" spans="9:9" x14ac:dyDescent="0.3">
      <c r="I21250" s="101"/>
    </row>
    <row r="21251" spans="9:9" x14ac:dyDescent="0.3">
      <c r="I21251" s="101"/>
    </row>
    <row r="21252" spans="9:9" x14ac:dyDescent="0.3">
      <c r="I21252" s="101"/>
    </row>
    <row r="21253" spans="9:9" x14ac:dyDescent="0.3">
      <c r="I21253" s="101"/>
    </row>
    <row r="21254" spans="9:9" x14ac:dyDescent="0.3">
      <c r="I21254" s="101"/>
    </row>
    <row r="21255" spans="9:9" x14ac:dyDescent="0.3">
      <c r="I21255" s="101"/>
    </row>
    <row r="21256" spans="9:9" x14ac:dyDescent="0.3">
      <c r="I21256" s="101"/>
    </row>
    <row r="21257" spans="9:9" x14ac:dyDescent="0.3">
      <c r="I21257" s="101"/>
    </row>
    <row r="21258" spans="9:9" x14ac:dyDescent="0.3">
      <c r="I21258" s="101"/>
    </row>
    <row r="21259" spans="9:9" x14ac:dyDescent="0.3">
      <c r="I21259" s="101"/>
    </row>
    <row r="21260" spans="9:9" x14ac:dyDescent="0.3">
      <c r="I21260" s="101"/>
    </row>
    <row r="21261" spans="9:9" x14ac:dyDescent="0.3">
      <c r="I21261" s="101"/>
    </row>
    <row r="21262" spans="9:9" x14ac:dyDescent="0.3">
      <c r="I21262" s="101"/>
    </row>
    <row r="21263" spans="9:9" x14ac:dyDescent="0.3">
      <c r="I21263" s="101"/>
    </row>
    <row r="21264" spans="9:9" x14ac:dyDescent="0.3">
      <c r="I21264" s="101"/>
    </row>
    <row r="21265" spans="9:9" x14ac:dyDescent="0.3">
      <c r="I21265" s="101"/>
    </row>
    <row r="21266" spans="9:9" x14ac:dyDescent="0.3">
      <c r="I21266" s="101"/>
    </row>
    <row r="21267" spans="9:9" x14ac:dyDescent="0.3">
      <c r="I21267" s="101"/>
    </row>
    <row r="21268" spans="9:9" x14ac:dyDescent="0.3">
      <c r="I21268" s="101"/>
    </row>
    <row r="21269" spans="9:9" x14ac:dyDescent="0.3">
      <c r="I21269" s="101"/>
    </row>
    <row r="21270" spans="9:9" x14ac:dyDescent="0.3">
      <c r="I21270" s="101"/>
    </row>
    <row r="21271" spans="9:9" x14ac:dyDescent="0.3">
      <c r="I21271" s="101"/>
    </row>
    <row r="21272" spans="9:9" x14ac:dyDescent="0.3">
      <c r="I21272" s="101"/>
    </row>
    <row r="21273" spans="9:9" x14ac:dyDescent="0.3">
      <c r="I21273" s="101"/>
    </row>
    <row r="21274" spans="9:9" x14ac:dyDescent="0.3">
      <c r="I21274" s="101"/>
    </row>
    <row r="21275" spans="9:9" x14ac:dyDescent="0.3">
      <c r="I21275" s="101"/>
    </row>
    <row r="21276" spans="9:9" x14ac:dyDescent="0.3">
      <c r="I21276" s="101"/>
    </row>
    <row r="21277" spans="9:9" x14ac:dyDescent="0.3">
      <c r="I21277" s="101"/>
    </row>
    <row r="21278" spans="9:9" x14ac:dyDescent="0.3">
      <c r="I21278" s="101"/>
    </row>
    <row r="21279" spans="9:9" x14ac:dyDescent="0.3">
      <c r="I21279" s="101"/>
    </row>
    <row r="21280" spans="9:9" x14ac:dyDescent="0.3">
      <c r="I21280" s="101"/>
    </row>
    <row r="21281" spans="9:9" x14ac:dyDescent="0.3">
      <c r="I21281" s="101"/>
    </row>
    <row r="21282" spans="9:9" x14ac:dyDescent="0.3">
      <c r="I21282" s="101"/>
    </row>
    <row r="21283" spans="9:9" x14ac:dyDescent="0.3">
      <c r="I21283" s="101"/>
    </row>
    <row r="21284" spans="9:9" x14ac:dyDescent="0.3">
      <c r="I21284" s="101"/>
    </row>
    <row r="21285" spans="9:9" x14ac:dyDescent="0.3">
      <c r="I21285" s="101"/>
    </row>
    <row r="21286" spans="9:9" x14ac:dyDescent="0.3">
      <c r="I21286" s="101"/>
    </row>
    <row r="21287" spans="9:9" x14ac:dyDescent="0.3">
      <c r="I21287" s="101"/>
    </row>
    <row r="21288" spans="9:9" x14ac:dyDescent="0.3">
      <c r="I21288" s="101"/>
    </row>
    <row r="21289" spans="9:9" x14ac:dyDescent="0.3">
      <c r="I21289" s="101"/>
    </row>
    <row r="21290" spans="9:9" x14ac:dyDescent="0.3">
      <c r="I21290" s="101"/>
    </row>
    <row r="21291" spans="9:9" x14ac:dyDescent="0.3">
      <c r="I21291" s="101"/>
    </row>
    <row r="21292" spans="9:9" x14ac:dyDescent="0.3">
      <c r="I21292" s="101"/>
    </row>
    <row r="21293" spans="9:9" x14ac:dyDescent="0.3">
      <c r="I21293" s="101"/>
    </row>
    <row r="21294" spans="9:9" x14ac:dyDescent="0.3">
      <c r="I21294" s="101"/>
    </row>
    <row r="21295" spans="9:9" x14ac:dyDescent="0.3">
      <c r="I21295" s="101"/>
    </row>
    <row r="21296" spans="9:9" x14ac:dyDescent="0.3">
      <c r="I21296" s="101"/>
    </row>
    <row r="21297" spans="9:9" x14ac:dyDescent="0.3">
      <c r="I21297" s="101"/>
    </row>
    <row r="21298" spans="9:9" x14ac:dyDescent="0.3">
      <c r="I21298" s="101"/>
    </row>
    <row r="21299" spans="9:9" x14ac:dyDescent="0.3">
      <c r="I21299" s="101"/>
    </row>
    <row r="21300" spans="9:9" x14ac:dyDescent="0.3">
      <c r="I21300" s="101"/>
    </row>
    <row r="21301" spans="9:9" x14ac:dyDescent="0.3">
      <c r="I21301" s="101"/>
    </row>
    <row r="21302" spans="9:9" x14ac:dyDescent="0.3">
      <c r="I21302" s="101"/>
    </row>
    <row r="21303" spans="9:9" x14ac:dyDescent="0.3">
      <c r="I21303" s="101"/>
    </row>
    <row r="21304" spans="9:9" x14ac:dyDescent="0.3">
      <c r="I21304" s="101"/>
    </row>
    <row r="21305" spans="9:9" x14ac:dyDescent="0.3">
      <c r="I21305" s="101"/>
    </row>
    <row r="21306" spans="9:9" x14ac:dyDescent="0.3">
      <c r="I21306" s="101"/>
    </row>
    <row r="21307" spans="9:9" x14ac:dyDescent="0.3">
      <c r="I21307" s="101"/>
    </row>
    <row r="21308" spans="9:9" x14ac:dyDescent="0.3">
      <c r="I21308" s="101"/>
    </row>
    <row r="21309" spans="9:9" x14ac:dyDescent="0.3">
      <c r="I21309" s="101"/>
    </row>
    <row r="21310" spans="9:9" x14ac:dyDescent="0.3">
      <c r="I21310" s="101"/>
    </row>
    <row r="21311" spans="9:9" x14ac:dyDescent="0.3">
      <c r="I21311" s="101"/>
    </row>
    <row r="21312" spans="9:9" x14ac:dyDescent="0.3">
      <c r="I21312" s="101"/>
    </row>
    <row r="21313" spans="9:9" x14ac:dyDescent="0.3">
      <c r="I21313" s="101"/>
    </row>
    <row r="21314" spans="9:9" x14ac:dyDescent="0.3">
      <c r="I21314" s="101"/>
    </row>
    <row r="21315" spans="9:9" x14ac:dyDescent="0.3">
      <c r="I21315" s="101"/>
    </row>
    <row r="21316" spans="9:9" x14ac:dyDescent="0.3">
      <c r="I21316" s="101"/>
    </row>
    <row r="21317" spans="9:9" x14ac:dyDescent="0.3">
      <c r="I21317" s="101"/>
    </row>
    <row r="21318" spans="9:9" x14ac:dyDescent="0.3">
      <c r="I21318" s="101"/>
    </row>
    <row r="21319" spans="9:9" x14ac:dyDescent="0.3">
      <c r="I21319" s="101"/>
    </row>
    <row r="21320" spans="9:9" x14ac:dyDescent="0.3">
      <c r="I21320" s="101"/>
    </row>
    <row r="21321" spans="9:9" x14ac:dyDescent="0.3">
      <c r="I21321" s="101"/>
    </row>
    <row r="21322" spans="9:9" x14ac:dyDescent="0.3">
      <c r="I21322" s="101"/>
    </row>
    <row r="21323" spans="9:9" x14ac:dyDescent="0.3">
      <c r="I21323" s="101"/>
    </row>
    <row r="21324" spans="9:9" x14ac:dyDescent="0.3">
      <c r="I21324" s="101"/>
    </row>
    <row r="21325" spans="9:9" x14ac:dyDescent="0.3">
      <c r="I21325" s="101"/>
    </row>
    <row r="21326" spans="9:9" x14ac:dyDescent="0.3">
      <c r="I21326" s="101"/>
    </row>
    <row r="21327" spans="9:9" x14ac:dyDescent="0.3">
      <c r="I21327" s="101"/>
    </row>
    <row r="21328" spans="9:9" x14ac:dyDescent="0.3">
      <c r="I21328" s="101"/>
    </row>
    <row r="21329" spans="9:9" x14ac:dyDescent="0.3">
      <c r="I21329" s="101"/>
    </row>
    <row r="21330" spans="9:9" x14ac:dyDescent="0.3">
      <c r="I21330" s="101"/>
    </row>
    <row r="21331" spans="9:9" x14ac:dyDescent="0.3">
      <c r="I21331" s="101"/>
    </row>
    <row r="21332" spans="9:9" x14ac:dyDescent="0.3">
      <c r="I21332" s="101"/>
    </row>
    <row r="21333" spans="9:9" x14ac:dyDescent="0.3">
      <c r="I21333" s="101"/>
    </row>
    <row r="21334" spans="9:9" x14ac:dyDescent="0.3">
      <c r="I21334" s="101"/>
    </row>
    <row r="21335" spans="9:9" x14ac:dyDescent="0.3">
      <c r="I21335" s="101"/>
    </row>
    <row r="21336" spans="9:9" x14ac:dyDescent="0.3">
      <c r="I21336" s="101"/>
    </row>
    <row r="21337" spans="9:9" x14ac:dyDescent="0.3">
      <c r="I21337" s="101"/>
    </row>
    <row r="21338" spans="9:9" x14ac:dyDescent="0.3">
      <c r="I21338" s="101"/>
    </row>
    <row r="21339" spans="9:9" x14ac:dyDescent="0.3">
      <c r="I21339" s="101"/>
    </row>
    <row r="21340" spans="9:9" x14ac:dyDescent="0.3">
      <c r="I21340" s="101"/>
    </row>
    <row r="21341" spans="9:9" x14ac:dyDescent="0.3">
      <c r="I21341" s="101"/>
    </row>
    <row r="21342" spans="9:9" x14ac:dyDescent="0.3">
      <c r="I21342" s="101"/>
    </row>
    <row r="21343" spans="9:9" x14ac:dyDescent="0.3">
      <c r="I21343" s="101"/>
    </row>
    <row r="21344" spans="9:9" x14ac:dyDescent="0.3">
      <c r="I21344" s="101"/>
    </row>
    <row r="21345" spans="9:9" x14ac:dyDescent="0.3">
      <c r="I21345" s="101"/>
    </row>
    <row r="21346" spans="9:9" x14ac:dyDescent="0.3">
      <c r="I21346" s="101"/>
    </row>
    <row r="21347" spans="9:9" x14ac:dyDescent="0.3">
      <c r="I21347" s="101"/>
    </row>
    <row r="21348" spans="9:9" x14ac:dyDescent="0.3">
      <c r="I21348" s="101"/>
    </row>
    <row r="21349" spans="9:9" x14ac:dyDescent="0.3">
      <c r="I21349" s="101"/>
    </row>
    <row r="21350" spans="9:9" x14ac:dyDescent="0.3">
      <c r="I21350" s="101"/>
    </row>
    <row r="21351" spans="9:9" x14ac:dyDescent="0.3">
      <c r="I21351" s="101"/>
    </row>
    <row r="21352" spans="9:9" x14ac:dyDescent="0.3">
      <c r="I21352" s="101"/>
    </row>
    <row r="21353" spans="9:9" x14ac:dyDescent="0.3">
      <c r="I21353" s="101"/>
    </row>
    <row r="21354" spans="9:9" x14ac:dyDescent="0.3">
      <c r="I21354" s="101"/>
    </row>
    <row r="21355" spans="9:9" x14ac:dyDescent="0.3">
      <c r="I21355" s="101"/>
    </row>
    <row r="21356" spans="9:9" x14ac:dyDescent="0.3">
      <c r="I21356" s="101"/>
    </row>
    <row r="21357" spans="9:9" x14ac:dyDescent="0.3">
      <c r="I21357" s="101"/>
    </row>
    <row r="21358" spans="9:9" x14ac:dyDescent="0.3">
      <c r="I21358" s="101"/>
    </row>
    <row r="21359" spans="9:9" x14ac:dyDescent="0.3">
      <c r="I21359" s="101"/>
    </row>
    <row r="21360" spans="9:9" x14ac:dyDescent="0.3">
      <c r="I21360" s="101"/>
    </row>
    <row r="21361" spans="9:9" x14ac:dyDescent="0.3">
      <c r="I21361" s="101"/>
    </row>
    <row r="21362" spans="9:9" x14ac:dyDescent="0.3">
      <c r="I21362" s="101"/>
    </row>
    <row r="21363" spans="9:9" x14ac:dyDescent="0.3">
      <c r="I21363" s="101"/>
    </row>
    <row r="21364" spans="9:9" x14ac:dyDescent="0.3">
      <c r="I21364" s="101"/>
    </row>
    <row r="21365" spans="9:9" x14ac:dyDescent="0.3">
      <c r="I21365" s="101"/>
    </row>
    <row r="21366" spans="9:9" x14ac:dyDescent="0.3">
      <c r="I21366" s="101"/>
    </row>
    <row r="21367" spans="9:9" x14ac:dyDescent="0.3">
      <c r="I21367" s="101"/>
    </row>
    <row r="21368" spans="9:9" x14ac:dyDescent="0.3">
      <c r="I21368" s="101"/>
    </row>
    <row r="21369" spans="9:9" x14ac:dyDescent="0.3">
      <c r="I21369" s="101"/>
    </row>
    <row r="21370" spans="9:9" x14ac:dyDescent="0.3">
      <c r="I21370" s="101"/>
    </row>
    <row r="21371" spans="9:9" x14ac:dyDescent="0.3">
      <c r="I21371" s="101"/>
    </row>
    <row r="21372" spans="9:9" x14ac:dyDescent="0.3">
      <c r="I21372" s="101"/>
    </row>
    <row r="21373" spans="9:9" x14ac:dyDescent="0.3">
      <c r="I21373" s="101"/>
    </row>
    <row r="21374" spans="9:9" x14ac:dyDescent="0.3">
      <c r="I21374" s="101"/>
    </row>
    <row r="21375" spans="9:9" x14ac:dyDescent="0.3">
      <c r="I21375" s="101"/>
    </row>
    <row r="21376" spans="9:9" x14ac:dyDescent="0.3">
      <c r="I21376" s="101"/>
    </row>
    <row r="21377" spans="9:9" x14ac:dyDescent="0.3">
      <c r="I21377" s="101"/>
    </row>
    <row r="21378" spans="9:9" x14ac:dyDescent="0.3">
      <c r="I21378" s="101"/>
    </row>
    <row r="21379" spans="9:9" x14ac:dyDescent="0.3">
      <c r="I21379" s="101"/>
    </row>
    <row r="21380" spans="9:9" x14ac:dyDescent="0.3">
      <c r="I21380" s="101"/>
    </row>
    <row r="21381" spans="9:9" x14ac:dyDescent="0.3">
      <c r="I21381" s="101"/>
    </row>
    <row r="21382" spans="9:9" x14ac:dyDescent="0.3">
      <c r="I21382" s="101"/>
    </row>
    <row r="21383" spans="9:9" x14ac:dyDescent="0.3">
      <c r="I21383" s="101"/>
    </row>
    <row r="21384" spans="9:9" x14ac:dyDescent="0.3">
      <c r="I21384" s="101"/>
    </row>
    <row r="21385" spans="9:9" x14ac:dyDescent="0.3">
      <c r="I21385" s="101"/>
    </row>
    <row r="21386" spans="9:9" x14ac:dyDescent="0.3">
      <c r="I21386" s="101"/>
    </row>
    <row r="21387" spans="9:9" x14ac:dyDescent="0.3">
      <c r="I21387" s="101"/>
    </row>
    <row r="21388" spans="9:9" x14ac:dyDescent="0.3">
      <c r="I21388" s="101"/>
    </row>
    <row r="21389" spans="9:9" x14ac:dyDescent="0.3">
      <c r="I21389" s="101"/>
    </row>
    <row r="21390" spans="9:9" x14ac:dyDescent="0.3">
      <c r="I21390" s="101"/>
    </row>
    <row r="21391" spans="9:9" x14ac:dyDescent="0.3">
      <c r="I21391" s="101"/>
    </row>
    <row r="21392" spans="9:9" x14ac:dyDescent="0.3">
      <c r="I21392" s="101"/>
    </row>
    <row r="21393" spans="9:9" x14ac:dyDescent="0.3">
      <c r="I21393" s="101"/>
    </row>
    <row r="21394" spans="9:9" x14ac:dyDescent="0.3">
      <c r="I21394" s="101"/>
    </row>
    <row r="21395" spans="9:9" x14ac:dyDescent="0.3">
      <c r="I21395" s="101"/>
    </row>
    <row r="21396" spans="9:9" x14ac:dyDescent="0.3">
      <c r="I21396" s="101"/>
    </row>
    <row r="21397" spans="9:9" x14ac:dyDescent="0.3">
      <c r="I21397" s="101"/>
    </row>
    <row r="21398" spans="9:9" x14ac:dyDescent="0.3">
      <c r="I21398" s="101"/>
    </row>
    <row r="21399" spans="9:9" x14ac:dyDescent="0.3">
      <c r="I21399" s="101"/>
    </row>
    <row r="21400" spans="9:9" x14ac:dyDescent="0.3">
      <c r="I21400" s="101"/>
    </row>
    <row r="21401" spans="9:9" x14ac:dyDescent="0.3">
      <c r="I21401" s="101"/>
    </row>
    <row r="21402" spans="9:9" x14ac:dyDescent="0.3">
      <c r="I21402" s="101"/>
    </row>
    <row r="21403" spans="9:9" x14ac:dyDescent="0.3">
      <c r="I21403" s="101"/>
    </row>
    <row r="21404" spans="9:9" x14ac:dyDescent="0.3">
      <c r="I21404" s="101"/>
    </row>
    <row r="21405" spans="9:9" x14ac:dyDescent="0.3">
      <c r="I21405" s="101"/>
    </row>
    <row r="21406" spans="9:9" x14ac:dyDescent="0.3">
      <c r="I21406" s="101"/>
    </row>
    <row r="21407" spans="9:9" x14ac:dyDescent="0.3">
      <c r="I21407" s="101"/>
    </row>
    <row r="21408" spans="9:9" x14ac:dyDescent="0.3">
      <c r="I21408" s="101"/>
    </row>
    <row r="21409" spans="9:9" x14ac:dyDescent="0.3">
      <c r="I21409" s="101"/>
    </row>
    <row r="21410" spans="9:9" x14ac:dyDescent="0.3">
      <c r="I21410" s="101"/>
    </row>
    <row r="21411" spans="9:9" x14ac:dyDescent="0.3">
      <c r="I21411" s="101"/>
    </row>
    <row r="21412" spans="9:9" x14ac:dyDescent="0.3">
      <c r="I21412" s="101"/>
    </row>
    <row r="21413" spans="9:9" x14ac:dyDescent="0.3">
      <c r="I21413" s="101"/>
    </row>
    <row r="21414" spans="9:9" x14ac:dyDescent="0.3">
      <c r="I21414" s="101"/>
    </row>
    <row r="21415" spans="9:9" x14ac:dyDescent="0.3">
      <c r="I21415" s="101"/>
    </row>
    <row r="21416" spans="9:9" x14ac:dyDescent="0.3">
      <c r="I21416" s="101"/>
    </row>
    <row r="21417" spans="9:9" x14ac:dyDescent="0.3">
      <c r="I21417" s="101"/>
    </row>
    <row r="21418" spans="9:9" x14ac:dyDescent="0.3">
      <c r="I21418" s="101"/>
    </row>
    <row r="21419" spans="9:9" x14ac:dyDescent="0.3">
      <c r="I21419" s="101"/>
    </row>
    <row r="21420" spans="9:9" x14ac:dyDescent="0.3">
      <c r="I21420" s="101"/>
    </row>
    <row r="21421" spans="9:9" x14ac:dyDescent="0.3">
      <c r="I21421" s="101"/>
    </row>
    <row r="21422" spans="9:9" x14ac:dyDescent="0.3">
      <c r="I21422" s="101"/>
    </row>
    <row r="21423" spans="9:9" x14ac:dyDescent="0.3">
      <c r="I21423" s="101"/>
    </row>
    <row r="21424" spans="9:9" x14ac:dyDescent="0.3">
      <c r="I21424" s="101"/>
    </row>
    <row r="21425" spans="9:9" x14ac:dyDescent="0.3">
      <c r="I21425" s="101"/>
    </row>
    <row r="21426" spans="9:9" x14ac:dyDescent="0.3">
      <c r="I21426" s="101"/>
    </row>
    <row r="21427" spans="9:9" x14ac:dyDescent="0.3">
      <c r="I21427" s="101"/>
    </row>
    <row r="21428" spans="9:9" x14ac:dyDescent="0.3">
      <c r="I21428" s="101"/>
    </row>
    <row r="21429" spans="9:9" x14ac:dyDescent="0.3">
      <c r="I21429" s="101"/>
    </row>
    <row r="21430" spans="9:9" x14ac:dyDescent="0.3">
      <c r="I21430" s="101"/>
    </row>
    <row r="21431" spans="9:9" x14ac:dyDescent="0.3">
      <c r="I21431" s="101"/>
    </row>
    <row r="21432" spans="9:9" x14ac:dyDescent="0.3">
      <c r="I21432" s="101"/>
    </row>
    <row r="21433" spans="9:9" x14ac:dyDescent="0.3">
      <c r="I21433" s="101"/>
    </row>
    <row r="21434" spans="9:9" x14ac:dyDescent="0.3">
      <c r="I21434" s="101"/>
    </row>
    <row r="21435" spans="9:9" x14ac:dyDescent="0.3">
      <c r="I21435" s="101"/>
    </row>
    <row r="21436" spans="9:9" x14ac:dyDescent="0.3">
      <c r="I21436" s="101"/>
    </row>
    <row r="21437" spans="9:9" x14ac:dyDescent="0.3">
      <c r="I21437" s="101"/>
    </row>
    <row r="21438" spans="9:9" x14ac:dyDescent="0.3">
      <c r="I21438" s="101"/>
    </row>
    <row r="21439" spans="9:9" x14ac:dyDescent="0.3">
      <c r="I21439" s="101"/>
    </row>
    <row r="21440" spans="9:9" x14ac:dyDescent="0.3">
      <c r="I21440" s="101"/>
    </row>
    <row r="21441" spans="9:9" x14ac:dyDescent="0.3">
      <c r="I21441" s="101"/>
    </row>
    <row r="21442" spans="9:9" x14ac:dyDescent="0.3">
      <c r="I21442" s="101"/>
    </row>
    <row r="21443" spans="9:9" x14ac:dyDescent="0.3">
      <c r="I21443" s="101"/>
    </row>
    <row r="21444" spans="9:9" x14ac:dyDescent="0.3">
      <c r="I21444" s="101"/>
    </row>
    <row r="21445" spans="9:9" x14ac:dyDescent="0.3">
      <c r="I21445" s="101"/>
    </row>
    <row r="21446" spans="9:9" x14ac:dyDescent="0.3">
      <c r="I21446" s="101"/>
    </row>
    <row r="21447" spans="9:9" x14ac:dyDescent="0.3">
      <c r="I21447" s="101"/>
    </row>
    <row r="21448" spans="9:9" x14ac:dyDescent="0.3">
      <c r="I21448" s="101"/>
    </row>
    <row r="21449" spans="9:9" x14ac:dyDescent="0.3">
      <c r="I21449" s="101"/>
    </row>
    <row r="21450" spans="9:9" x14ac:dyDescent="0.3">
      <c r="I21450" s="101"/>
    </row>
    <row r="21451" spans="9:9" x14ac:dyDescent="0.3">
      <c r="I21451" s="101"/>
    </row>
    <row r="21452" spans="9:9" x14ac:dyDescent="0.3">
      <c r="I21452" s="101"/>
    </row>
    <row r="21453" spans="9:9" x14ac:dyDescent="0.3">
      <c r="I21453" s="101"/>
    </row>
    <row r="21454" spans="9:9" x14ac:dyDescent="0.3">
      <c r="I21454" s="101"/>
    </row>
    <row r="21455" spans="9:9" x14ac:dyDescent="0.3">
      <c r="I21455" s="101"/>
    </row>
    <row r="21456" spans="9:9" x14ac:dyDescent="0.3">
      <c r="I21456" s="101"/>
    </row>
    <row r="21457" spans="9:9" x14ac:dyDescent="0.3">
      <c r="I21457" s="101"/>
    </row>
    <row r="21458" spans="9:9" x14ac:dyDescent="0.3">
      <c r="I21458" s="101"/>
    </row>
    <row r="21459" spans="9:9" x14ac:dyDescent="0.3">
      <c r="I21459" s="101"/>
    </row>
    <row r="21460" spans="9:9" x14ac:dyDescent="0.3">
      <c r="I21460" s="101"/>
    </row>
    <row r="21461" spans="9:9" x14ac:dyDescent="0.3">
      <c r="I21461" s="101"/>
    </row>
    <row r="21462" spans="9:9" x14ac:dyDescent="0.3">
      <c r="I21462" s="101"/>
    </row>
    <row r="21463" spans="9:9" x14ac:dyDescent="0.3">
      <c r="I21463" s="101"/>
    </row>
    <row r="21464" spans="9:9" x14ac:dyDescent="0.3">
      <c r="I21464" s="101"/>
    </row>
    <row r="21465" spans="9:9" x14ac:dyDescent="0.3">
      <c r="I21465" s="101"/>
    </row>
    <row r="21466" spans="9:9" x14ac:dyDescent="0.3">
      <c r="I21466" s="101"/>
    </row>
    <row r="21467" spans="9:9" x14ac:dyDescent="0.3">
      <c r="I21467" s="101"/>
    </row>
    <row r="21468" spans="9:9" x14ac:dyDescent="0.3">
      <c r="I21468" s="101"/>
    </row>
    <row r="21469" spans="9:9" x14ac:dyDescent="0.3">
      <c r="I21469" s="101"/>
    </row>
    <row r="21470" spans="9:9" x14ac:dyDescent="0.3">
      <c r="I21470" s="101"/>
    </row>
    <row r="21471" spans="9:9" x14ac:dyDescent="0.3">
      <c r="I21471" s="101"/>
    </row>
    <row r="21472" spans="9:9" x14ac:dyDescent="0.3">
      <c r="I21472" s="101"/>
    </row>
    <row r="21473" spans="9:9" x14ac:dyDescent="0.3">
      <c r="I21473" s="101"/>
    </row>
    <row r="21474" spans="9:9" x14ac:dyDescent="0.3">
      <c r="I21474" s="101"/>
    </row>
    <row r="21475" spans="9:9" x14ac:dyDescent="0.3">
      <c r="I21475" s="101"/>
    </row>
    <row r="21476" spans="9:9" x14ac:dyDescent="0.3">
      <c r="I21476" s="101"/>
    </row>
    <row r="21477" spans="9:9" x14ac:dyDescent="0.3">
      <c r="I21477" s="101"/>
    </row>
    <row r="21478" spans="9:9" x14ac:dyDescent="0.3">
      <c r="I21478" s="101"/>
    </row>
    <row r="21479" spans="9:9" x14ac:dyDescent="0.3">
      <c r="I21479" s="101"/>
    </row>
    <row r="21480" spans="9:9" x14ac:dyDescent="0.3">
      <c r="I21480" s="101"/>
    </row>
    <row r="21481" spans="9:9" x14ac:dyDescent="0.3">
      <c r="I21481" s="101"/>
    </row>
    <row r="21482" spans="9:9" x14ac:dyDescent="0.3">
      <c r="I21482" s="101"/>
    </row>
    <row r="21483" spans="9:9" x14ac:dyDescent="0.3">
      <c r="I21483" s="101"/>
    </row>
    <row r="21484" spans="9:9" x14ac:dyDescent="0.3">
      <c r="I21484" s="101"/>
    </row>
    <row r="21485" spans="9:9" x14ac:dyDescent="0.3">
      <c r="I21485" s="101"/>
    </row>
    <row r="21486" spans="9:9" x14ac:dyDescent="0.3">
      <c r="I21486" s="101"/>
    </row>
    <row r="21487" spans="9:9" x14ac:dyDescent="0.3">
      <c r="I21487" s="101"/>
    </row>
    <row r="21488" spans="9:9" x14ac:dyDescent="0.3">
      <c r="I21488" s="101"/>
    </row>
    <row r="21489" spans="9:9" x14ac:dyDescent="0.3">
      <c r="I21489" s="101"/>
    </row>
    <row r="21490" spans="9:9" x14ac:dyDescent="0.3">
      <c r="I21490" s="101"/>
    </row>
    <row r="21491" spans="9:9" x14ac:dyDescent="0.3">
      <c r="I21491" s="101"/>
    </row>
    <row r="21492" spans="9:9" x14ac:dyDescent="0.3">
      <c r="I21492" s="101"/>
    </row>
    <row r="21493" spans="9:9" x14ac:dyDescent="0.3">
      <c r="I21493" s="101"/>
    </row>
    <row r="21494" spans="9:9" x14ac:dyDescent="0.3">
      <c r="I21494" s="101"/>
    </row>
    <row r="21495" spans="9:9" x14ac:dyDescent="0.3">
      <c r="I21495" s="101"/>
    </row>
    <row r="21496" spans="9:9" x14ac:dyDescent="0.3">
      <c r="I21496" s="101"/>
    </row>
    <row r="21497" spans="9:9" x14ac:dyDescent="0.3">
      <c r="I21497" s="101"/>
    </row>
    <row r="21498" spans="9:9" x14ac:dyDescent="0.3">
      <c r="I21498" s="101"/>
    </row>
    <row r="21499" spans="9:9" x14ac:dyDescent="0.3">
      <c r="I21499" s="101"/>
    </row>
    <row r="21500" spans="9:9" x14ac:dyDescent="0.3">
      <c r="I21500" s="101"/>
    </row>
    <row r="21501" spans="9:9" x14ac:dyDescent="0.3">
      <c r="I21501" s="101"/>
    </row>
    <row r="21502" spans="9:9" x14ac:dyDescent="0.3">
      <c r="I21502" s="101"/>
    </row>
    <row r="21503" spans="9:9" x14ac:dyDescent="0.3">
      <c r="I21503" s="101"/>
    </row>
    <row r="21504" spans="9:9" x14ac:dyDescent="0.3">
      <c r="I21504" s="101"/>
    </row>
    <row r="21505" spans="9:9" x14ac:dyDescent="0.3">
      <c r="I21505" s="101"/>
    </row>
    <row r="21506" spans="9:9" x14ac:dyDescent="0.3">
      <c r="I21506" s="101"/>
    </row>
    <row r="21507" spans="9:9" x14ac:dyDescent="0.3">
      <c r="I21507" s="101"/>
    </row>
    <row r="21508" spans="9:9" x14ac:dyDescent="0.3">
      <c r="I21508" s="101"/>
    </row>
    <row r="21509" spans="9:9" x14ac:dyDescent="0.3">
      <c r="I21509" s="101"/>
    </row>
    <row r="21510" spans="9:9" x14ac:dyDescent="0.3">
      <c r="I21510" s="101"/>
    </row>
    <row r="21511" spans="9:9" x14ac:dyDescent="0.3">
      <c r="I21511" s="101"/>
    </row>
    <row r="21512" spans="9:9" x14ac:dyDescent="0.3">
      <c r="I21512" s="101"/>
    </row>
    <row r="21513" spans="9:9" x14ac:dyDescent="0.3">
      <c r="I21513" s="101"/>
    </row>
    <row r="21514" spans="9:9" x14ac:dyDescent="0.3">
      <c r="I21514" s="101"/>
    </row>
    <row r="21515" spans="9:9" x14ac:dyDescent="0.3">
      <c r="I21515" s="101"/>
    </row>
    <row r="21516" spans="9:9" x14ac:dyDescent="0.3">
      <c r="I21516" s="101"/>
    </row>
    <row r="21517" spans="9:9" x14ac:dyDescent="0.3">
      <c r="I21517" s="101"/>
    </row>
    <row r="21518" spans="9:9" x14ac:dyDescent="0.3">
      <c r="I21518" s="101"/>
    </row>
    <row r="21519" spans="9:9" x14ac:dyDescent="0.3">
      <c r="I21519" s="101"/>
    </row>
    <row r="21520" spans="9:9" x14ac:dyDescent="0.3">
      <c r="I21520" s="101"/>
    </row>
    <row r="21521" spans="9:9" x14ac:dyDescent="0.3">
      <c r="I21521" s="101"/>
    </row>
    <row r="21522" spans="9:9" x14ac:dyDescent="0.3">
      <c r="I21522" s="101"/>
    </row>
    <row r="21523" spans="9:9" x14ac:dyDescent="0.3">
      <c r="I21523" s="101"/>
    </row>
    <row r="21524" spans="9:9" x14ac:dyDescent="0.3">
      <c r="I21524" s="101"/>
    </row>
    <row r="21525" spans="9:9" x14ac:dyDescent="0.3">
      <c r="I21525" s="101"/>
    </row>
    <row r="21526" spans="9:9" x14ac:dyDescent="0.3">
      <c r="I21526" s="101"/>
    </row>
    <row r="21527" spans="9:9" x14ac:dyDescent="0.3">
      <c r="I21527" s="101"/>
    </row>
    <row r="21528" spans="9:9" x14ac:dyDescent="0.3">
      <c r="I21528" s="101"/>
    </row>
    <row r="21529" spans="9:9" x14ac:dyDescent="0.3">
      <c r="I21529" s="101"/>
    </row>
    <row r="21530" spans="9:9" x14ac:dyDescent="0.3">
      <c r="I21530" s="101"/>
    </row>
    <row r="21531" spans="9:9" x14ac:dyDescent="0.3">
      <c r="I21531" s="101"/>
    </row>
    <row r="21532" spans="9:9" x14ac:dyDescent="0.3">
      <c r="I21532" s="101"/>
    </row>
    <row r="21533" spans="9:9" x14ac:dyDescent="0.3">
      <c r="I21533" s="101"/>
    </row>
    <row r="21534" spans="9:9" x14ac:dyDescent="0.3">
      <c r="I21534" s="101"/>
    </row>
    <row r="21535" spans="9:9" x14ac:dyDescent="0.3">
      <c r="I21535" s="101"/>
    </row>
    <row r="21536" spans="9:9" x14ac:dyDescent="0.3">
      <c r="I21536" s="101"/>
    </row>
    <row r="21537" spans="9:9" x14ac:dyDescent="0.3">
      <c r="I21537" s="101"/>
    </row>
    <row r="21538" spans="9:9" x14ac:dyDescent="0.3">
      <c r="I21538" s="101"/>
    </row>
    <row r="21539" spans="9:9" x14ac:dyDescent="0.3">
      <c r="I21539" s="101"/>
    </row>
    <row r="21540" spans="9:9" x14ac:dyDescent="0.3">
      <c r="I21540" s="101"/>
    </row>
    <row r="21541" spans="9:9" x14ac:dyDescent="0.3">
      <c r="I21541" s="101"/>
    </row>
    <row r="21542" spans="9:9" x14ac:dyDescent="0.3">
      <c r="I21542" s="101"/>
    </row>
    <row r="21543" spans="9:9" x14ac:dyDescent="0.3">
      <c r="I21543" s="101"/>
    </row>
    <row r="21544" spans="9:9" x14ac:dyDescent="0.3">
      <c r="I21544" s="101"/>
    </row>
    <row r="21545" spans="9:9" x14ac:dyDescent="0.3">
      <c r="I21545" s="101"/>
    </row>
    <row r="21546" spans="9:9" x14ac:dyDescent="0.3">
      <c r="I21546" s="101"/>
    </row>
    <row r="21547" spans="9:9" x14ac:dyDescent="0.3">
      <c r="I21547" s="101"/>
    </row>
    <row r="21548" spans="9:9" x14ac:dyDescent="0.3">
      <c r="I21548" s="101"/>
    </row>
    <row r="21549" spans="9:9" x14ac:dyDescent="0.3">
      <c r="I21549" s="101"/>
    </row>
    <row r="21550" spans="9:9" x14ac:dyDescent="0.3">
      <c r="I21550" s="101"/>
    </row>
    <row r="21551" spans="9:9" x14ac:dyDescent="0.3">
      <c r="I21551" s="101"/>
    </row>
    <row r="21552" spans="9:9" x14ac:dyDescent="0.3">
      <c r="I21552" s="101"/>
    </row>
    <row r="21553" spans="9:9" x14ac:dyDescent="0.3">
      <c r="I21553" s="101"/>
    </row>
    <row r="21554" spans="9:9" x14ac:dyDescent="0.3">
      <c r="I21554" s="101"/>
    </row>
    <row r="21555" spans="9:9" x14ac:dyDescent="0.3">
      <c r="I21555" s="101"/>
    </row>
    <row r="21556" spans="9:9" x14ac:dyDescent="0.3">
      <c r="I21556" s="101"/>
    </row>
    <row r="21557" spans="9:9" x14ac:dyDescent="0.3">
      <c r="I21557" s="101"/>
    </row>
    <row r="21558" spans="9:9" x14ac:dyDescent="0.3">
      <c r="I21558" s="101"/>
    </row>
    <row r="21559" spans="9:9" x14ac:dyDescent="0.3">
      <c r="I21559" s="101"/>
    </row>
    <row r="21560" spans="9:9" x14ac:dyDescent="0.3">
      <c r="I21560" s="101"/>
    </row>
    <row r="21561" spans="9:9" x14ac:dyDescent="0.3">
      <c r="I21561" s="101"/>
    </row>
    <row r="21562" spans="9:9" x14ac:dyDescent="0.3">
      <c r="I21562" s="101"/>
    </row>
    <row r="21563" spans="9:9" x14ac:dyDescent="0.3">
      <c r="I21563" s="101"/>
    </row>
    <row r="21564" spans="9:9" x14ac:dyDescent="0.3">
      <c r="I21564" s="101"/>
    </row>
    <row r="21565" spans="9:9" x14ac:dyDescent="0.3">
      <c r="I21565" s="101"/>
    </row>
    <row r="21566" spans="9:9" x14ac:dyDescent="0.3">
      <c r="I21566" s="101"/>
    </row>
    <row r="21567" spans="9:9" x14ac:dyDescent="0.3">
      <c r="I21567" s="101"/>
    </row>
    <row r="21568" spans="9:9" x14ac:dyDescent="0.3">
      <c r="I21568" s="101"/>
    </row>
    <row r="21569" spans="9:9" x14ac:dyDescent="0.3">
      <c r="I21569" s="101"/>
    </row>
    <row r="21570" spans="9:9" x14ac:dyDescent="0.3">
      <c r="I21570" s="101"/>
    </row>
    <row r="21571" spans="9:9" x14ac:dyDescent="0.3">
      <c r="I21571" s="101"/>
    </row>
    <row r="21572" spans="9:9" x14ac:dyDescent="0.3">
      <c r="I21572" s="101"/>
    </row>
    <row r="21573" spans="9:9" x14ac:dyDescent="0.3">
      <c r="I21573" s="101"/>
    </row>
    <row r="21574" spans="9:9" x14ac:dyDescent="0.3">
      <c r="I21574" s="101"/>
    </row>
    <row r="21575" spans="9:9" x14ac:dyDescent="0.3">
      <c r="I21575" s="101"/>
    </row>
    <row r="21576" spans="9:9" x14ac:dyDescent="0.3">
      <c r="I21576" s="101"/>
    </row>
    <row r="21577" spans="9:9" x14ac:dyDescent="0.3">
      <c r="I21577" s="101"/>
    </row>
    <row r="21578" spans="9:9" x14ac:dyDescent="0.3">
      <c r="I21578" s="101"/>
    </row>
    <row r="21579" spans="9:9" x14ac:dyDescent="0.3">
      <c r="I21579" s="101"/>
    </row>
    <row r="21580" spans="9:9" x14ac:dyDescent="0.3">
      <c r="I21580" s="101"/>
    </row>
    <row r="21581" spans="9:9" x14ac:dyDescent="0.3">
      <c r="I21581" s="101"/>
    </row>
    <row r="21582" spans="9:9" x14ac:dyDescent="0.3">
      <c r="I21582" s="101"/>
    </row>
    <row r="21583" spans="9:9" x14ac:dyDescent="0.3">
      <c r="I21583" s="101"/>
    </row>
    <row r="21584" spans="9:9" x14ac:dyDescent="0.3">
      <c r="I21584" s="101"/>
    </row>
    <row r="21585" spans="9:9" x14ac:dyDescent="0.3">
      <c r="I21585" s="101"/>
    </row>
    <row r="21586" spans="9:9" x14ac:dyDescent="0.3">
      <c r="I21586" s="101"/>
    </row>
    <row r="21587" spans="9:9" x14ac:dyDescent="0.3">
      <c r="I21587" s="101"/>
    </row>
    <row r="21588" spans="9:9" x14ac:dyDescent="0.3">
      <c r="I21588" s="101"/>
    </row>
    <row r="21589" spans="9:9" x14ac:dyDescent="0.3">
      <c r="I21589" s="101"/>
    </row>
    <row r="21590" spans="9:9" x14ac:dyDescent="0.3">
      <c r="I21590" s="101"/>
    </row>
    <row r="21591" spans="9:9" x14ac:dyDescent="0.3">
      <c r="I21591" s="101"/>
    </row>
    <row r="21592" spans="9:9" x14ac:dyDescent="0.3">
      <c r="I21592" s="101"/>
    </row>
    <row r="21593" spans="9:9" x14ac:dyDescent="0.3">
      <c r="I21593" s="101"/>
    </row>
    <row r="21594" spans="9:9" x14ac:dyDescent="0.3">
      <c r="I21594" s="101"/>
    </row>
    <row r="21595" spans="9:9" x14ac:dyDescent="0.3">
      <c r="I21595" s="101"/>
    </row>
    <row r="21596" spans="9:9" x14ac:dyDescent="0.3">
      <c r="I21596" s="101"/>
    </row>
    <row r="21597" spans="9:9" x14ac:dyDescent="0.3">
      <c r="I21597" s="101"/>
    </row>
    <row r="21598" spans="9:9" x14ac:dyDescent="0.3">
      <c r="I21598" s="101"/>
    </row>
    <row r="21599" spans="9:9" x14ac:dyDescent="0.3">
      <c r="I21599" s="101"/>
    </row>
    <row r="21600" spans="9:9" x14ac:dyDescent="0.3">
      <c r="I21600" s="101"/>
    </row>
    <row r="21601" spans="9:9" x14ac:dyDescent="0.3">
      <c r="I21601" s="101"/>
    </row>
    <row r="21602" spans="9:9" x14ac:dyDescent="0.3">
      <c r="I21602" s="101"/>
    </row>
    <row r="21603" spans="9:9" x14ac:dyDescent="0.3">
      <c r="I21603" s="101"/>
    </row>
    <row r="21604" spans="9:9" x14ac:dyDescent="0.3">
      <c r="I21604" s="101"/>
    </row>
    <row r="21605" spans="9:9" x14ac:dyDescent="0.3">
      <c r="I21605" s="101"/>
    </row>
    <row r="21606" spans="9:9" x14ac:dyDescent="0.3">
      <c r="I21606" s="101"/>
    </row>
    <row r="21607" spans="9:9" x14ac:dyDescent="0.3">
      <c r="I21607" s="101"/>
    </row>
    <row r="21608" spans="9:9" x14ac:dyDescent="0.3">
      <c r="I21608" s="101"/>
    </row>
    <row r="21609" spans="9:9" x14ac:dyDescent="0.3">
      <c r="I21609" s="101"/>
    </row>
    <row r="21610" spans="9:9" x14ac:dyDescent="0.3">
      <c r="I21610" s="101"/>
    </row>
    <row r="21611" spans="9:9" x14ac:dyDescent="0.3">
      <c r="I21611" s="101"/>
    </row>
    <row r="21612" spans="9:9" x14ac:dyDescent="0.3">
      <c r="I21612" s="101"/>
    </row>
    <row r="21613" spans="9:9" x14ac:dyDescent="0.3">
      <c r="I21613" s="101"/>
    </row>
    <row r="21614" spans="9:9" x14ac:dyDescent="0.3">
      <c r="I21614" s="101"/>
    </row>
    <row r="21615" spans="9:9" x14ac:dyDescent="0.3">
      <c r="I21615" s="101"/>
    </row>
    <row r="21616" spans="9:9" x14ac:dyDescent="0.3">
      <c r="I21616" s="101"/>
    </row>
    <row r="21617" spans="9:9" x14ac:dyDescent="0.3">
      <c r="I21617" s="101"/>
    </row>
    <row r="21618" spans="9:9" x14ac:dyDescent="0.3">
      <c r="I21618" s="101"/>
    </row>
    <row r="21619" spans="9:9" x14ac:dyDescent="0.3">
      <c r="I21619" s="101"/>
    </row>
    <row r="21620" spans="9:9" x14ac:dyDescent="0.3">
      <c r="I21620" s="101"/>
    </row>
    <row r="21621" spans="9:9" x14ac:dyDescent="0.3">
      <c r="I21621" s="101"/>
    </row>
    <row r="21622" spans="9:9" x14ac:dyDescent="0.3">
      <c r="I21622" s="101"/>
    </row>
    <row r="21623" spans="9:9" x14ac:dyDescent="0.3">
      <c r="I21623" s="101"/>
    </row>
    <row r="21624" spans="9:9" x14ac:dyDescent="0.3">
      <c r="I21624" s="101"/>
    </row>
    <row r="21625" spans="9:9" x14ac:dyDescent="0.3">
      <c r="I21625" s="101"/>
    </row>
    <row r="21626" spans="9:9" x14ac:dyDescent="0.3">
      <c r="I21626" s="101"/>
    </row>
    <row r="21627" spans="9:9" x14ac:dyDescent="0.3">
      <c r="I21627" s="101"/>
    </row>
    <row r="21628" spans="9:9" x14ac:dyDescent="0.3">
      <c r="I21628" s="101"/>
    </row>
    <row r="21629" spans="9:9" x14ac:dyDescent="0.3">
      <c r="I21629" s="101"/>
    </row>
    <row r="21630" spans="9:9" x14ac:dyDescent="0.3">
      <c r="I21630" s="101"/>
    </row>
    <row r="21631" spans="9:9" x14ac:dyDescent="0.3">
      <c r="I21631" s="101"/>
    </row>
    <row r="21632" spans="9:9" x14ac:dyDescent="0.3">
      <c r="I21632" s="101"/>
    </row>
    <row r="21633" spans="9:9" x14ac:dyDescent="0.3">
      <c r="I21633" s="101"/>
    </row>
    <row r="21634" spans="9:9" x14ac:dyDescent="0.3">
      <c r="I21634" s="101"/>
    </row>
    <row r="21635" spans="9:9" x14ac:dyDescent="0.3">
      <c r="I21635" s="101"/>
    </row>
    <row r="21636" spans="9:9" x14ac:dyDescent="0.3">
      <c r="I21636" s="101"/>
    </row>
    <row r="21637" spans="9:9" x14ac:dyDescent="0.3">
      <c r="I21637" s="101"/>
    </row>
    <row r="21638" spans="9:9" x14ac:dyDescent="0.3">
      <c r="I21638" s="101"/>
    </row>
    <row r="21639" spans="9:9" x14ac:dyDescent="0.3">
      <c r="I21639" s="101"/>
    </row>
    <row r="21640" spans="9:9" x14ac:dyDescent="0.3">
      <c r="I21640" s="101"/>
    </row>
    <row r="21641" spans="9:9" x14ac:dyDescent="0.3">
      <c r="I21641" s="101"/>
    </row>
    <row r="21642" spans="9:9" x14ac:dyDescent="0.3">
      <c r="I21642" s="101"/>
    </row>
    <row r="21643" spans="9:9" x14ac:dyDescent="0.3">
      <c r="I21643" s="101"/>
    </row>
    <row r="21644" spans="9:9" x14ac:dyDescent="0.3">
      <c r="I21644" s="101"/>
    </row>
    <row r="21645" spans="9:9" x14ac:dyDescent="0.3">
      <c r="I21645" s="101"/>
    </row>
    <row r="21646" spans="9:9" x14ac:dyDescent="0.3">
      <c r="I21646" s="101"/>
    </row>
    <row r="21647" spans="9:9" x14ac:dyDescent="0.3">
      <c r="I21647" s="101"/>
    </row>
    <row r="21648" spans="9:9" x14ac:dyDescent="0.3">
      <c r="I21648" s="101"/>
    </row>
    <row r="21649" spans="9:9" x14ac:dyDescent="0.3">
      <c r="I21649" s="101"/>
    </row>
    <row r="21650" spans="9:9" x14ac:dyDescent="0.3">
      <c r="I21650" s="101"/>
    </row>
    <row r="21651" spans="9:9" x14ac:dyDescent="0.3">
      <c r="I21651" s="101"/>
    </row>
    <row r="21652" spans="9:9" x14ac:dyDescent="0.3">
      <c r="I21652" s="101"/>
    </row>
    <row r="21653" spans="9:9" x14ac:dyDescent="0.3">
      <c r="I21653" s="101"/>
    </row>
    <row r="21654" spans="9:9" x14ac:dyDescent="0.3">
      <c r="I21654" s="101"/>
    </row>
    <row r="21655" spans="9:9" x14ac:dyDescent="0.3">
      <c r="I21655" s="101"/>
    </row>
    <row r="21656" spans="9:9" x14ac:dyDescent="0.3">
      <c r="I21656" s="101"/>
    </row>
    <row r="21657" spans="9:9" x14ac:dyDescent="0.3">
      <c r="I21657" s="101"/>
    </row>
    <row r="21658" spans="9:9" x14ac:dyDescent="0.3">
      <c r="I21658" s="101"/>
    </row>
    <row r="21659" spans="9:9" x14ac:dyDescent="0.3">
      <c r="I21659" s="101"/>
    </row>
    <row r="21660" spans="9:9" x14ac:dyDescent="0.3">
      <c r="I21660" s="101"/>
    </row>
    <row r="21661" spans="9:9" x14ac:dyDescent="0.3">
      <c r="I21661" s="101"/>
    </row>
    <row r="21662" spans="9:9" x14ac:dyDescent="0.3">
      <c r="I21662" s="101"/>
    </row>
    <row r="21663" spans="9:9" x14ac:dyDescent="0.3">
      <c r="I21663" s="101"/>
    </row>
    <row r="21664" spans="9:9" x14ac:dyDescent="0.3">
      <c r="I21664" s="101"/>
    </row>
    <row r="21665" spans="9:9" x14ac:dyDescent="0.3">
      <c r="I21665" s="101"/>
    </row>
    <row r="21666" spans="9:9" x14ac:dyDescent="0.3">
      <c r="I21666" s="101"/>
    </row>
    <row r="21667" spans="9:9" x14ac:dyDescent="0.3">
      <c r="I21667" s="101"/>
    </row>
    <row r="21668" spans="9:9" x14ac:dyDescent="0.3">
      <c r="I21668" s="101"/>
    </row>
    <row r="21669" spans="9:9" x14ac:dyDescent="0.3">
      <c r="I21669" s="101"/>
    </row>
    <row r="21670" spans="9:9" x14ac:dyDescent="0.3">
      <c r="I21670" s="101"/>
    </row>
    <row r="21671" spans="9:9" x14ac:dyDescent="0.3">
      <c r="I21671" s="101"/>
    </row>
    <row r="21672" spans="9:9" x14ac:dyDescent="0.3">
      <c r="I21672" s="101"/>
    </row>
    <row r="21673" spans="9:9" x14ac:dyDescent="0.3">
      <c r="I21673" s="101"/>
    </row>
    <row r="21674" spans="9:9" x14ac:dyDescent="0.3">
      <c r="I21674" s="101"/>
    </row>
    <row r="21675" spans="9:9" x14ac:dyDescent="0.3">
      <c r="I21675" s="101"/>
    </row>
    <row r="21676" spans="9:9" x14ac:dyDescent="0.3">
      <c r="I21676" s="101"/>
    </row>
    <row r="21677" spans="9:9" x14ac:dyDescent="0.3">
      <c r="I21677" s="101"/>
    </row>
    <row r="21678" spans="9:9" x14ac:dyDescent="0.3">
      <c r="I21678" s="101"/>
    </row>
    <row r="21679" spans="9:9" x14ac:dyDescent="0.3">
      <c r="I21679" s="101"/>
    </row>
    <row r="21680" spans="9:9" x14ac:dyDescent="0.3">
      <c r="I21680" s="101"/>
    </row>
    <row r="21681" spans="9:9" x14ac:dyDescent="0.3">
      <c r="I21681" s="101"/>
    </row>
    <row r="21682" spans="9:9" x14ac:dyDescent="0.3">
      <c r="I21682" s="101"/>
    </row>
    <row r="21683" spans="9:9" x14ac:dyDescent="0.3">
      <c r="I21683" s="101"/>
    </row>
    <row r="21684" spans="9:9" x14ac:dyDescent="0.3">
      <c r="I21684" s="101"/>
    </row>
    <row r="21685" spans="9:9" x14ac:dyDescent="0.3">
      <c r="I21685" s="101"/>
    </row>
    <row r="21686" spans="9:9" x14ac:dyDescent="0.3">
      <c r="I21686" s="101"/>
    </row>
    <row r="21687" spans="9:9" x14ac:dyDescent="0.3">
      <c r="I21687" s="101"/>
    </row>
    <row r="21688" spans="9:9" x14ac:dyDescent="0.3">
      <c r="I21688" s="101"/>
    </row>
    <row r="21689" spans="9:9" x14ac:dyDescent="0.3">
      <c r="I21689" s="101"/>
    </row>
    <row r="21690" spans="9:9" x14ac:dyDescent="0.3">
      <c r="I21690" s="101"/>
    </row>
    <row r="21691" spans="9:9" x14ac:dyDescent="0.3">
      <c r="I21691" s="101"/>
    </row>
    <row r="21692" spans="9:9" x14ac:dyDescent="0.3">
      <c r="I21692" s="101"/>
    </row>
    <row r="21693" spans="9:9" x14ac:dyDescent="0.3">
      <c r="I21693" s="101"/>
    </row>
    <row r="21694" spans="9:9" x14ac:dyDescent="0.3">
      <c r="I21694" s="101"/>
    </row>
    <row r="21695" spans="9:9" x14ac:dyDescent="0.3">
      <c r="I21695" s="101"/>
    </row>
    <row r="21696" spans="9:9" x14ac:dyDescent="0.3">
      <c r="I21696" s="101"/>
    </row>
    <row r="21697" spans="9:9" x14ac:dyDescent="0.3">
      <c r="I21697" s="101"/>
    </row>
    <row r="21698" spans="9:9" x14ac:dyDescent="0.3">
      <c r="I21698" s="101"/>
    </row>
    <row r="21699" spans="9:9" x14ac:dyDescent="0.3">
      <c r="I21699" s="101"/>
    </row>
    <row r="21700" spans="9:9" x14ac:dyDescent="0.3">
      <c r="I21700" s="101"/>
    </row>
    <row r="21701" spans="9:9" x14ac:dyDescent="0.3">
      <c r="I21701" s="101"/>
    </row>
    <row r="21702" spans="9:9" x14ac:dyDescent="0.3">
      <c r="I21702" s="101"/>
    </row>
    <row r="21703" spans="9:9" x14ac:dyDescent="0.3">
      <c r="I21703" s="101"/>
    </row>
    <row r="21704" spans="9:9" x14ac:dyDescent="0.3">
      <c r="I21704" s="101"/>
    </row>
    <row r="21705" spans="9:9" x14ac:dyDescent="0.3">
      <c r="I21705" s="101"/>
    </row>
    <row r="21706" spans="9:9" x14ac:dyDescent="0.3">
      <c r="I21706" s="101"/>
    </row>
    <row r="21707" spans="9:9" x14ac:dyDescent="0.3">
      <c r="I21707" s="101"/>
    </row>
    <row r="21708" spans="9:9" x14ac:dyDescent="0.3">
      <c r="I21708" s="101"/>
    </row>
    <row r="21709" spans="9:9" x14ac:dyDescent="0.3">
      <c r="I21709" s="101"/>
    </row>
    <row r="21710" spans="9:9" x14ac:dyDescent="0.3">
      <c r="I21710" s="101"/>
    </row>
    <row r="21711" spans="9:9" x14ac:dyDescent="0.3">
      <c r="I21711" s="101"/>
    </row>
    <row r="21712" spans="9:9" x14ac:dyDescent="0.3">
      <c r="I21712" s="101"/>
    </row>
    <row r="21713" spans="9:9" x14ac:dyDescent="0.3">
      <c r="I21713" s="101"/>
    </row>
    <row r="21714" spans="9:9" x14ac:dyDescent="0.3">
      <c r="I21714" s="101"/>
    </row>
    <row r="21715" spans="9:9" x14ac:dyDescent="0.3">
      <c r="I21715" s="101"/>
    </row>
    <row r="21716" spans="9:9" x14ac:dyDescent="0.3">
      <c r="I21716" s="101"/>
    </row>
    <row r="21717" spans="9:9" x14ac:dyDescent="0.3">
      <c r="I21717" s="101"/>
    </row>
    <row r="21718" spans="9:9" x14ac:dyDescent="0.3">
      <c r="I21718" s="101"/>
    </row>
    <row r="21719" spans="9:9" x14ac:dyDescent="0.3">
      <c r="I21719" s="101"/>
    </row>
    <row r="21720" spans="9:9" x14ac:dyDescent="0.3">
      <c r="I21720" s="101"/>
    </row>
    <row r="21721" spans="9:9" x14ac:dyDescent="0.3">
      <c r="I21721" s="101"/>
    </row>
    <row r="21722" spans="9:9" x14ac:dyDescent="0.3">
      <c r="I21722" s="101"/>
    </row>
    <row r="21723" spans="9:9" x14ac:dyDescent="0.3">
      <c r="I21723" s="101"/>
    </row>
    <row r="21724" spans="9:9" x14ac:dyDescent="0.3">
      <c r="I21724" s="101"/>
    </row>
    <row r="21725" spans="9:9" x14ac:dyDescent="0.3">
      <c r="I21725" s="101"/>
    </row>
    <row r="21726" spans="9:9" x14ac:dyDescent="0.3">
      <c r="I21726" s="101"/>
    </row>
    <row r="21727" spans="9:9" x14ac:dyDescent="0.3">
      <c r="I21727" s="101"/>
    </row>
    <row r="21728" spans="9:9" x14ac:dyDescent="0.3">
      <c r="I21728" s="101"/>
    </row>
    <row r="21729" spans="9:9" x14ac:dyDescent="0.3">
      <c r="I21729" s="101"/>
    </row>
    <row r="21730" spans="9:9" x14ac:dyDescent="0.3">
      <c r="I21730" s="101"/>
    </row>
    <row r="21731" spans="9:9" x14ac:dyDescent="0.3">
      <c r="I21731" s="101"/>
    </row>
    <row r="21732" spans="9:9" x14ac:dyDescent="0.3">
      <c r="I21732" s="101"/>
    </row>
    <row r="21733" spans="9:9" x14ac:dyDescent="0.3">
      <c r="I21733" s="101"/>
    </row>
    <row r="21734" spans="9:9" x14ac:dyDescent="0.3">
      <c r="I21734" s="101"/>
    </row>
    <row r="21735" spans="9:9" x14ac:dyDescent="0.3">
      <c r="I21735" s="101"/>
    </row>
    <row r="21736" spans="9:9" x14ac:dyDescent="0.3">
      <c r="I21736" s="101"/>
    </row>
    <row r="21737" spans="9:9" x14ac:dyDescent="0.3">
      <c r="I21737" s="101"/>
    </row>
    <row r="21738" spans="9:9" x14ac:dyDescent="0.3">
      <c r="I21738" s="101"/>
    </row>
    <row r="21739" spans="9:9" x14ac:dyDescent="0.3">
      <c r="I21739" s="101"/>
    </row>
    <row r="21740" spans="9:9" x14ac:dyDescent="0.3">
      <c r="I21740" s="101"/>
    </row>
    <row r="21741" spans="9:9" x14ac:dyDescent="0.3">
      <c r="I21741" s="101"/>
    </row>
    <row r="21742" spans="9:9" x14ac:dyDescent="0.3">
      <c r="I21742" s="101"/>
    </row>
    <row r="21743" spans="9:9" x14ac:dyDescent="0.3">
      <c r="I21743" s="101"/>
    </row>
    <row r="21744" spans="9:9" x14ac:dyDescent="0.3">
      <c r="I21744" s="101"/>
    </row>
    <row r="21745" spans="9:9" x14ac:dyDescent="0.3">
      <c r="I21745" s="101"/>
    </row>
    <row r="21746" spans="9:9" x14ac:dyDescent="0.3">
      <c r="I21746" s="101"/>
    </row>
    <row r="21747" spans="9:9" x14ac:dyDescent="0.3">
      <c r="I21747" s="101"/>
    </row>
    <row r="21748" spans="9:9" x14ac:dyDescent="0.3">
      <c r="I21748" s="101"/>
    </row>
    <row r="21749" spans="9:9" x14ac:dyDescent="0.3">
      <c r="I21749" s="101"/>
    </row>
    <row r="21750" spans="9:9" x14ac:dyDescent="0.3">
      <c r="I21750" s="101"/>
    </row>
    <row r="21751" spans="9:9" x14ac:dyDescent="0.3">
      <c r="I21751" s="101"/>
    </row>
    <row r="21752" spans="9:9" x14ac:dyDescent="0.3">
      <c r="I21752" s="101"/>
    </row>
    <row r="21753" spans="9:9" x14ac:dyDescent="0.3">
      <c r="I21753" s="101"/>
    </row>
    <row r="21754" spans="9:9" x14ac:dyDescent="0.3">
      <c r="I21754" s="101"/>
    </row>
    <row r="21755" spans="9:9" x14ac:dyDescent="0.3">
      <c r="I21755" s="101"/>
    </row>
    <row r="21756" spans="9:9" x14ac:dyDescent="0.3">
      <c r="I21756" s="101"/>
    </row>
    <row r="21757" spans="9:9" x14ac:dyDescent="0.3">
      <c r="I21757" s="101"/>
    </row>
    <row r="21758" spans="9:9" x14ac:dyDescent="0.3">
      <c r="I21758" s="101"/>
    </row>
    <row r="21759" spans="9:9" x14ac:dyDescent="0.3">
      <c r="I21759" s="101"/>
    </row>
    <row r="21760" spans="9:9" x14ac:dyDescent="0.3">
      <c r="I21760" s="101"/>
    </row>
    <row r="21761" spans="9:9" x14ac:dyDescent="0.3">
      <c r="I21761" s="101"/>
    </row>
    <row r="21762" spans="9:9" x14ac:dyDescent="0.3">
      <c r="I21762" s="101"/>
    </row>
    <row r="21763" spans="9:9" x14ac:dyDescent="0.3">
      <c r="I21763" s="101"/>
    </row>
    <row r="21764" spans="9:9" x14ac:dyDescent="0.3">
      <c r="I21764" s="101"/>
    </row>
    <row r="21765" spans="9:9" x14ac:dyDescent="0.3">
      <c r="I21765" s="101"/>
    </row>
    <row r="21766" spans="9:9" x14ac:dyDescent="0.3">
      <c r="I21766" s="101"/>
    </row>
    <row r="21767" spans="9:9" x14ac:dyDescent="0.3">
      <c r="I21767" s="101"/>
    </row>
    <row r="21768" spans="9:9" x14ac:dyDescent="0.3">
      <c r="I21768" s="101"/>
    </row>
    <row r="21769" spans="9:9" x14ac:dyDescent="0.3">
      <c r="I21769" s="101"/>
    </row>
    <row r="21770" spans="9:9" x14ac:dyDescent="0.3">
      <c r="I21770" s="101"/>
    </row>
    <row r="21771" spans="9:9" x14ac:dyDescent="0.3">
      <c r="I21771" s="101"/>
    </row>
    <row r="21772" spans="9:9" x14ac:dyDescent="0.3">
      <c r="I21772" s="101"/>
    </row>
    <row r="21773" spans="9:9" x14ac:dyDescent="0.3">
      <c r="I21773" s="101"/>
    </row>
    <row r="21774" spans="9:9" x14ac:dyDescent="0.3">
      <c r="I21774" s="101"/>
    </row>
    <row r="21775" spans="9:9" x14ac:dyDescent="0.3">
      <c r="I21775" s="101"/>
    </row>
    <row r="21776" spans="9:9" x14ac:dyDescent="0.3">
      <c r="I21776" s="101"/>
    </row>
    <row r="21777" spans="9:9" x14ac:dyDescent="0.3">
      <c r="I21777" s="101"/>
    </row>
    <row r="21778" spans="9:9" x14ac:dyDescent="0.3">
      <c r="I21778" s="101"/>
    </row>
    <row r="21779" spans="9:9" x14ac:dyDescent="0.3">
      <c r="I21779" s="101"/>
    </row>
    <row r="21780" spans="9:9" x14ac:dyDescent="0.3">
      <c r="I21780" s="101"/>
    </row>
    <row r="21781" spans="9:9" x14ac:dyDescent="0.3">
      <c r="I21781" s="101"/>
    </row>
    <row r="21782" spans="9:9" x14ac:dyDescent="0.3">
      <c r="I21782" s="101"/>
    </row>
    <row r="21783" spans="9:9" x14ac:dyDescent="0.3">
      <c r="I21783" s="101"/>
    </row>
    <row r="21784" spans="9:9" x14ac:dyDescent="0.3">
      <c r="I21784" s="101"/>
    </row>
    <row r="21785" spans="9:9" x14ac:dyDescent="0.3">
      <c r="I21785" s="101"/>
    </row>
    <row r="21786" spans="9:9" x14ac:dyDescent="0.3">
      <c r="I21786" s="101"/>
    </row>
    <row r="21787" spans="9:9" x14ac:dyDescent="0.3">
      <c r="I21787" s="101"/>
    </row>
    <row r="21788" spans="9:9" x14ac:dyDescent="0.3">
      <c r="I21788" s="101"/>
    </row>
    <row r="21789" spans="9:9" x14ac:dyDescent="0.3">
      <c r="I21789" s="101"/>
    </row>
    <row r="21790" spans="9:9" x14ac:dyDescent="0.3">
      <c r="I21790" s="101"/>
    </row>
    <row r="21791" spans="9:9" x14ac:dyDescent="0.3">
      <c r="I21791" s="101"/>
    </row>
    <row r="21792" spans="9:9" x14ac:dyDescent="0.3">
      <c r="I21792" s="101"/>
    </row>
    <row r="21793" spans="9:9" x14ac:dyDescent="0.3">
      <c r="I21793" s="101"/>
    </row>
    <row r="21794" spans="9:9" x14ac:dyDescent="0.3">
      <c r="I21794" s="101"/>
    </row>
    <row r="21795" spans="9:9" x14ac:dyDescent="0.3">
      <c r="I21795" s="101"/>
    </row>
    <row r="21796" spans="9:9" x14ac:dyDescent="0.3">
      <c r="I21796" s="101"/>
    </row>
    <row r="21797" spans="9:9" x14ac:dyDescent="0.3">
      <c r="I21797" s="101"/>
    </row>
    <row r="21798" spans="9:9" x14ac:dyDescent="0.3">
      <c r="I21798" s="101"/>
    </row>
    <row r="21799" spans="9:9" x14ac:dyDescent="0.3">
      <c r="I21799" s="101"/>
    </row>
    <row r="21800" spans="9:9" x14ac:dyDescent="0.3">
      <c r="I21800" s="101"/>
    </row>
    <row r="21801" spans="9:9" x14ac:dyDescent="0.3">
      <c r="I21801" s="101"/>
    </row>
    <row r="21802" spans="9:9" x14ac:dyDescent="0.3">
      <c r="I21802" s="101"/>
    </row>
    <row r="21803" spans="9:9" x14ac:dyDescent="0.3">
      <c r="I21803" s="101"/>
    </row>
    <row r="21804" spans="9:9" x14ac:dyDescent="0.3">
      <c r="I21804" s="101"/>
    </row>
    <row r="21805" spans="9:9" x14ac:dyDescent="0.3">
      <c r="I21805" s="101"/>
    </row>
    <row r="21806" spans="9:9" x14ac:dyDescent="0.3">
      <c r="I21806" s="101"/>
    </row>
    <row r="21807" spans="9:9" x14ac:dyDescent="0.3">
      <c r="I21807" s="101"/>
    </row>
    <row r="21808" spans="9:9" x14ac:dyDescent="0.3">
      <c r="I21808" s="101"/>
    </row>
    <row r="21809" spans="9:9" x14ac:dyDescent="0.3">
      <c r="I21809" s="101"/>
    </row>
    <row r="21810" spans="9:9" x14ac:dyDescent="0.3">
      <c r="I21810" s="101"/>
    </row>
    <row r="21811" spans="9:9" x14ac:dyDescent="0.3">
      <c r="I21811" s="101"/>
    </row>
    <row r="21812" spans="9:9" x14ac:dyDescent="0.3">
      <c r="I21812" s="101"/>
    </row>
    <row r="21813" spans="9:9" x14ac:dyDescent="0.3">
      <c r="I21813" s="101"/>
    </row>
    <row r="21814" spans="9:9" x14ac:dyDescent="0.3">
      <c r="I21814" s="101"/>
    </row>
    <row r="21815" spans="9:9" x14ac:dyDescent="0.3">
      <c r="I21815" s="101"/>
    </row>
    <row r="21816" spans="9:9" x14ac:dyDescent="0.3">
      <c r="I21816" s="101"/>
    </row>
    <row r="21817" spans="9:9" x14ac:dyDescent="0.3">
      <c r="I21817" s="101"/>
    </row>
    <row r="21818" spans="9:9" x14ac:dyDescent="0.3">
      <c r="I21818" s="101"/>
    </row>
    <row r="21819" spans="9:9" x14ac:dyDescent="0.3">
      <c r="I21819" s="101"/>
    </row>
    <row r="21820" spans="9:9" x14ac:dyDescent="0.3">
      <c r="I21820" s="101"/>
    </row>
    <row r="21821" spans="9:9" x14ac:dyDescent="0.3">
      <c r="I21821" s="101"/>
    </row>
    <row r="21822" spans="9:9" x14ac:dyDescent="0.3">
      <c r="I21822" s="101"/>
    </row>
    <row r="21823" spans="9:9" x14ac:dyDescent="0.3">
      <c r="I21823" s="101"/>
    </row>
    <row r="21824" spans="9:9" x14ac:dyDescent="0.3">
      <c r="I21824" s="101"/>
    </row>
    <row r="21825" spans="9:9" x14ac:dyDescent="0.3">
      <c r="I21825" s="101"/>
    </row>
    <row r="21826" spans="9:9" x14ac:dyDescent="0.3">
      <c r="I21826" s="101"/>
    </row>
    <row r="21827" spans="9:9" x14ac:dyDescent="0.3">
      <c r="I21827" s="101"/>
    </row>
    <row r="21828" spans="9:9" x14ac:dyDescent="0.3">
      <c r="I21828" s="101"/>
    </row>
    <row r="21829" spans="9:9" x14ac:dyDescent="0.3">
      <c r="I21829" s="101"/>
    </row>
    <row r="21830" spans="9:9" x14ac:dyDescent="0.3">
      <c r="I21830" s="101"/>
    </row>
    <row r="21831" spans="9:9" x14ac:dyDescent="0.3">
      <c r="I21831" s="101"/>
    </row>
    <row r="21832" spans="9:9" x14ac:dyDescent="0.3">
      <c r="I21832" s="101"/>
    </row>
    <row r="21833" spans="9:9" x14ac:dyDescent="0.3">
      <c r="I21833" s="101"/>
    </row>
    <row r="21834" spans="9:9" x14ac:dyDescent="0.3">
      <c r="I21834" s="101"/>
    </row>
    <row r="21835" spans="9:9" x14ac:dyDescent="0.3">
      <c r="I21835" s="101"/>
    </row>
    <row r="21836" spans="9:9" x14ac:dyDescent="0.3">
      <c r="I21836" s="101"/>
    </row>
    <row r="21837" spans="9:9" x14ac:dyDescent="0.3">
      <c r="I21837" s="101"/>
    </row>
    <row r="21838" spans="9:9" x14ac:dyDescent="0.3">
      <c r="I21838" s="101"/>
    </row>
    <row r="21839" spans="9:9" x14ac:dyDescent="0.3">
      <c r="I21839" s="101"/>
    </row>
    <row r="21840" spans="9:9" x14ac:dyDescent="0.3">
      <c r="I21840" s="101"/>
    </row>
    <row r="21841" spans="9:9" x14ac:dyDescent="0.3">
      <c r="I21841" s="101"/>
    </row>
    <row r="21842" spans="9:9" x14ac:dyDescent="0.3">
      <c r="I21842" s="101"/>
    </row>
    <row r="21843" spans="9:9" x14ac:dyDescent="0.3">
      <c r="I21843" s="101"/>
    </row>
    <row r="21844" spans="9:9" x14ac:dyDescent="0.3">
      <c r="I21844" s="101"/>
    </row>
    <row r="21845" spans="9:9" x14ac:dyDescent="0.3">
      <c r="I21845" s="101"/>
    </row>
    <row r="21846" spans="9:9" x14ac:dyDescent="0.3">
      <c r="I21846" s="101"/>
    </row>
    <row r="21847" spans="9:9" x14ac:dyDescent="0.3">
      <c r="I21847" s="101"/>
    </row>
    <row r="21848" spans="9:9" x14ac:dyDescent="0.3">
      <c r="I21848" s="101"/>
    </row>
    <row r="21849" spans="9:9" x14ac:dyDescent="0.3">
      <c r="I21849" s="101"/>
    </row>
    <row r="21850" spans="9:9" x14ac:dyDescent="0.3">
      <c r="I21850" s="101"/>
    </row>
    <row r="21851" spans="9:9" x14ac:dyDescent="0.3">
      <c r="I21851" s="101"/>
    </row>
    <row r="21852" spans="9:9" x14ac:dyDescent="0.3">
      <c r="I21852" s="101"/>
    </row>
    <row r="21853" spans="9:9" x14ac:dyDescent="0.3">
      <c r="I21853" s="101"/>
    </row>
    <row r="21854" spans="9:9" x14ac:dyDescent="0.3">
      <c r="I21854" s="101"/>
    </row>
    <row r="21855" spans="9:9" x14ac:dyDescent="0.3">
      <c r="I21855" s="101"/>
    </row>
    <row r="21856" spans="9:9" x14ac:dyDescent="0.3">
      <c r="I21856" s="101"/>
    </row>
    <row r="21857" spans="9:9" x14ac:dyDescent="0.3">
      <c r="I21857" s="101"/>
    </row>
    <row r="21858" spans="9:9" x14ac:dyDescent="0.3">
      <c r="I21858" s="101"/>
    </row>
    <row r="21859" spans="9:9" x14ac:dyDescent="0.3">
      <c r="I21859" s="101"/>
    </row>
    <row r="21860" spans="9:9" x14ac:dyDescent="0.3">
      <c r="I21860" s="101"/>
    </row>
    <row r="21861" spans="9:9" x14ac:dyDescent="0.3">
      <c r="I21861" s="101"/>
    </row>
    <row r="21862" spans="9:9" x14ac:dyDescent="0.3">
      <c r="I21862" s="101"/>
    </row>
    <row r="21863" spans="9:9" x14ac:dyDescent="0.3">
      <c r="I21863" s="101"/>
    </row>
    <row r="21864" spans="9:9" x14ac:dyDescent="0.3">
      <c r="I21864" s="101"/>
    </row>
    <row r="21865" spans="9:9" x14ac:dyDescent="0.3">
      <c r="I21865" s="101"/>
    </row>
    <row r="21866" spans="9:9" x14ac:dyDescent="0.3">
      <c r="I21866" s="101"/>
    </row>
    <row r="21867" spans="9:9" x14ac:dyDescent="0.3">
      <c r="I21867" s="101"/>
    </row>
    <row r="21868" spans="9:9" x14ac:dyDescent="0.3">
      <c r="I21868" s="101"/>
    </row>
    <row r="21869" spans="9:9" x14ac:dyDescent="0.3">
      <c r="I21869" s="101"/>
    </row>
    <row r="21870" spans="9:9" x14ac:dyDescent="0.3">
      <c r="I21870" s="101"/>
    </row>
    <row r="21871" spans="9:9" x14ac:dyDescent="0.3">
      <c r="I21871" s="101"/>
    </row>
    <row r="21872" spans="9:9" x14ac:dyDescent="0.3">
      <c r="I21872" s="101"/>
    </row>
    <row r="21873" spans="9:9" x14ac:dyDescent="0.3">
      <c r="I21873" s="101"/>
    </row>
    <row r="21874" spans="9:9" x14ac:dyDescent="0.3">
      <c r="I21874" s="101"/>
    </row>
    <row r="21875" spans="9:9" x14ac:dyDescent="0.3">
      <c r="I21875" s="101"/>
    </row>
    <row r="21876" spans="9:9" x14ac:dyDescent="0.3">
      <c r="I21876" s="101"/>
    </row>
    <row r="21877" spans="9:9" x14ac:dyDescent="0.3">
      <c r="I21877" s="101"/>
    </row>
    <row r="21878" spans="9:9" x14ac:dyDescent="0.3">
      <c r="I21878" s="101"/>
    </row>
    <row r="21879" spans="9:9" x14ac:dyDescent="0.3">
      <c r="I21879" s="101"/>
    </row>
    <row r="21880" spans="9:9" x14ac:dyDescent="0.3">
      <c r="I21880" s="101"/>
    </row>
    <row r="21881" spans="9:9" x14ac:dyDescent="0.3">
      <c r="I21881" s="101"/>
    </row>
    <row r="21882" spans="9:9" x14ac:dyDescent="0.3">
      <c r="I21882" s="101"/>
    </row>
    <row r="21883" spans="9:9" x14ac:dyDescent="0.3">
      <c r="I21883" s="101"/>
    </row>
    <row r="21884" spans="9:9" x14ac:dyDescent="0.3">
      <c r="I21884" s="101"/>
    </row>
    <row r="21885" spans="9:9" x14ac:dyDescent="0.3">
      <c r="I21885" s="101"/>
    </row>
    <row r="21886" spans="9:9" x14ac:dyDescent="0.3">
      <c r="I21886" s="101"/>
    </row>
    <row r="21887" spans="9:9" x14ac:dyDescent="0.3">
      <c r="I21887" s="101"/>
    </row>
    <row r="21888" spans="9:9" x14ac:dyDescent="0.3">
      <c r="I21888" s="101"/>
    </row>
    <row r="21889" spans="9:9" x14ac:dyDescent="0.3">
      <c r="I21889" s="101"/>
    </row>
    <row r="21890" spans="9:9" x14ac:dyDescent="0.3">
      <c r="I21890" s="101"/>
    </row>
    <row r="21891" spans="9:9" x14ac:dyDescent="0.3">
      <c r="I21891" s="101"/>
    </row>
    <row r="21892" spans="9:9" x14ac:dyDescent="0.3">
      <c r="I21892" s="101"/>
    </row>
    <row r="21893" spans="9:9" x14ac:dyDescent="0.3">
      <c r="I21893" s="101"/>
    </row>
    <row r="21894" spans="9:9" x14ac:dyDescent="0.3">
      <c r="I21894" s="101"/>
    </row>
    <row r="21895" spans="9:9" x14ac:dyDescent="0.3">
      <c r="I21895" s="101"/>
    </row>
    <row r="21896" spans="9:9" x14ac:dyDescent="0.3">
      <c r="I21896" s="101"/>
    </row>
    <row r="21897" spans="9:9" x14ac:dyDescent="0.3">
      <c r="I21897" s="101"/>
    </row>
    <row r="21898" spans="9:9" x14ac:dyDescent="0.3">
      <c r="I21898" s="101"/>
    </row>
    <row r="21899" spans="9:9" x14ac:dyDescent="0.3">
      <c r="I21899" s="101"/>
    </row>
    <row r="21900" spans="9:9" x14ac:dyDescent="0.3">
      <c r="I21900" s="101"/>
    </row>
    <row r="21901" spans="9:9" x14ac:dyDescent="0.3">
      <c r="I21901" s="101"/>
    </row>
    <row r="21902" spans="9:9" x14ac:dyDescent="0.3">
      <c r="I21902" s="101"/>
    </row>
    <row r="21903" spans="9:9" x14ac:dyDescent="0.3">
      <c r="I21903" s="101"/>
    </row>
    <row r="21904" spans="9:9" x14ac:dyDescent="0.3">
      <c r="I21904" s="101"/>
    </row>
    <row r="21905" spans="9:9" x14ac:dyDescent="0.3">
      <c r="I21905" s="101"/>
    </row>
    <row r="21906" spans="9:9" x14ac:dyDescent="0.3">
      <c r="I21906" s="101"/>
    </row>
    <row r="21907" spans="9:9" x14ac:dyDescent="0.3">
      <c r="I21907" s="101"/>
    </row>
    <row r="21908" spans="9:9" x14ac:dyDescent="0.3">
      <c r="I21908" s="101"/>
    </row>
    <row r="21909" spans="9:9" x14ac:dyDescent="0.3">
      <c r="I21909" s="101"/>
    </row>
    <row r="21910" spans="9:9" x14ac:dyDescent="0.3">
      <c r="I21910" s="101"/>
    </row>
    <row r="21911" spans="9:9" x14ac:dyDescent="0.3">
      <c r="I21911" s="101"/>
    </row>
    <row r="21912" spans="9:9" x14ac:dyDescent="0.3">
      <c r="I21912" s="101"/>
    </row>
    <row r="21913" spans="9:9" x14ac:dyDescent="0.3">
      <c r="I21913" s="101"/>
    </row>
    <row r="21914" spans="9:9" x14ac:dyDescent="0.3">
      <c r="I21914" s="101"/>
    </row>
    <row r="21915" spans="9:9" x14ac:dyDescent="0.3">
      <c r="I21915" s="101"/>
    </row>
    <row r="21916" spans="9:9" x14ac:dyDescent="0.3">
      <c r="I21916" s="101"/>
    </row>
    <row r="21917" spans="9:9" x14ac:dyDescent="0.3">
      <c r="I21917" s="101"/>
    </row>
    <row r="21918" spans="9:9" x14ac:dyDescent="0.3">
      <c r="I21918" s="101"/>
    </row>
    <row r="21919" spans="9:9" x14ac:dyDescent="0.3">
      <c r="I21919" s="101"/>
    </row>
    <row r="21920" spans="9:9" x14ac:dyDescent="0.3">
      <c r="I21920" s="101"/>
    </row>
    <row r="21921" spans="9:9" x14ac:dyDescent="0.3">
      <c r="I21921" s="101"/>
    </row>
    <row r="21922" spans="9:9" x14ac:dyDescent="0.3">
      <c r="I21922" s="101"/>
    </row>
    <row r="21923" spans="9:9" x14ac:dyDescent="0.3">
      <c r="I21923" s="101"/>
    </row>
    <row r="21924" spans="9:9" x14ac:dyDescent="0.3">
      <c r="I21924" s="101"/>
    </row>
    <row r="21925" spans="9:9" x14ac:dyDescent="0.3">
      <c r="I21925" s="101"/>
    </row>
    <row r="21926" spans="9:9" x14ac:dyDescent="0.3">
      <c r="I21926" s="101"/>
    </row>
    <row r="21927" spans="9:9" x14ac:dyDescent="0.3">
      <c r="I21927" s="101"/>
    </row>
    <row r="21928" spans="9:9" x14ac:dyDescent="0.3">
      <c r="I21928" s="101"/>
    </row>
    <row r="21929" spans="9:9" x14ac:dyDescent="0.3">
      <c r="I21929" s="101"/>
    </row>
    <row r="21930" spans="9:9" x14ac:dyDescent="0.3">
      <c r="I21930" s="101"/>
    </row>
    <row r="21931" spans="9:9" x14ac:dyDescent="0.3">
      <c r="I21931" s="101"/>
    </row>
    <row r="21932" spans="9:9" x14ac:dyDescent="0.3">
      <c r="I21932" s="101"/>
    </row>
    <row r="21933" spans="9:9" x14ac:dyDescent="0.3">
      <c r="I21933" s="101"/>
    </row>
    <row r="21934" spans="9:9" x14ac:dyDescent="0.3">
      <c r="I21934" s="101"/>
    </row>
    <row r="21935" spans="9:9" x14ac:dyDescent="0.3">
      <c r="I21935" s="101"/>
    </row>
    <row r="21936" spans="9:9" x14ac:dyDescent="0.3">
      <c r="I21936" s="101"/>
    </row>
    <row r="21937" spans="9:9" x14ac:dyDescent="0.3">
      <c r="I21937" s="101"/>
    </row>
    <row r="21938" spans="9:9" x14ac:dyDescent="0.3">
      <c r="I21938" s="101"/>
    </row>
    <row r="21939" spans="9:9" x14ac:dyDescent="0.3">
      <c r="I21939" s="101"/>
    </row>
    <row r="21940" spans="9:9" x14ac:dyDescent="0.3">
      <c r="I21940" s="101"/>
    </row>
    <row r="21941" spans="9:9" x14ac:dyDescent="0.3">
      <c r="I21941" s="101"/>
    </row>
    <row r="21942" spans="9:9" x14ac:dyDescent="0.3">
      <c r="I21942" s="101"/>
    </row>
    <row r="21943" spans="9:9" x14ac:dyDescent="0.3">
      <c r="I21943" s="101"/>
    </row>
    <row r="21944" spans="9:9" x14ac:dyDescent="0.3">
      <c r="I21944" s="101"/>
    </row>
    <row r="21945" spans="9:9" x14ac:dyDescent="0.3">
      <c r="I21945" s="101"/>
    </row>
    <row r="21946" spans="9:9" x14ac:dyDescent="0.3">
      <c r="I21946" s="101"/>
    </row>
    <row r="21947" spans="9:9" x14ac:dyDescent="0.3">
      <c r="I21947" s="101"/>
    </row>
    <row r="21948" spans="9:9" x14ac:dyDescent="0.3">
      <c r="I21948" s="101"/>
    </row>
    <row r="21949" spans="9:9" x14ac:dyDescent="0.3">
      <c r="I21949" s="101"/>
    </row>
    <row r="21950" spans="9:9" x14ac:dyDescent="0.3">
      <c r="I21950" s="101"/>
    </row>
    <row r="21951" spans="9:9" x14ac:dyDescent="0.3">
      <c r="I21951" s="101"/>
    </row>
    <row r="21952" spans="9:9" x14ac:dyDescent="0.3">
      <c r="I21952" s="101"/>
    </row>
    <row r="21953" spans="9:9" x14ac:dyDescent="0.3">
      <c r="I21953" s="101"/>
    </row>
    <row r="21954" spans="9:9" x14ac:dyDescent="0.3">
      <c r="I21954" s="101"/>
    </row>
    <row r="21955" spans="9:9" x14ac:dyDescent="0.3">
      <c r="I21955" s="101"/>
    </row>
    <row r="21956" spans="9:9" x14ac:dyDescent="0.3">
      <c r="I21956" s="101"/>
    </row>
    <row r="21957" spans="9:9" x14ac:dyDescent="0.3">
      <c r="I21957" s="101"/>
    </row>
    <row r="21958" spans="9:9" x14ac:dyDescent="0.3">
      <c r="I21958" s="101"/>
    </row>
    <row r="21959" spans="9:9" x14ac:dyDescent="0.3">
      <c r="I21959" s="101"/>
    </row>
    <row r="21960" spans="9:9" x14ac:dyDescent="0.3">
      <c r="I21960" s="101"/>
    </row>
    <row r="21961" spans="9:9" x14ac:dyDescent="0.3">
      <c r="I21961" s="101"/>
    </row>
    <row r="21962" spans="9:9" x14ac:dyDescent="0.3">
      <c r="I21962" s="101"/>
    </row>
    <row r="21963" spans="9:9" x14ac:dyDescent="0.3">
      <c r="I21963" s="101"/>
    </row>
    <row r="21964" spans="9:9" x14ac:dyDescent="0.3">
      <c r="I21964" s="101"/>
    </row>
    <row r="21965" spans="9:9" x14ac:dyDescent="0.3">
      <c r="I21965" s="101"/>
    </row>
    <row r="21966" spans="9:9" x14ac:dyDescent="0.3">
      <c r="I21966" s="101"/>
    </row>
    <row r="21967" spans="9:9" x14ac:dyDescent="0.3">
      <c r="I21967" s="101"/>
    </row>
    <row r="21968" spans="9:9" x14ac:dyDescent="0.3">
      <c r="I21968" s="101"/>
    </row>
    <row r="21969" spans="9:9" x14ac:dyDescent="0.3">
      <c r="I21969" s="101"/>
    </row>
    <row r="21970" spans="9:9" x14ac:dyDescent="0.3">
      <c r="I21970" s="101"/>
    </row>
    <row r="21971" spans="9:9" x14ac:dyDescent="0.3">
      <c r="I21971" s="101"/>
    </row>
    <row r="21972" spans="9:9" x14ac:dyDescent="0.3">
      <c r="I21972" s="101"/>
    </row>
    <row r="21973" spans="9:9" x14ac:dyDescent="0.3">
      <c r="I21973" s="101"/>
    </row>
    <row r="21974" spans="9:9" x14ac:dyDescent="0.3">
      <c r="I21974" s="101"/>
    </row>
    <row r="21975" spans="9:9" x14ac:dyDescent="0.3">
      <c r="I21975" s="101"/>
    </row>
    <row r="21976" spans="9:9" x14ac:dyDescent="0.3">
      <c r="I21976" s="101"/>
    </row>
    <row r="21977" spans="9:9" x14ac:dyDescent="0.3">
      <c r="I21977" s="101"/>
    </row>
    <row r="21978" spans="9:9" x14ac:dyDescent="0.3">
      <c r="I21978" s="101"/>
    </row>
    <row r="21979" spans="9:9" x14ac:dyDescent="0.3">
      <c r="I21979" s="101"/>
    </row>
    <row r="21980" spans="9:9" x14ac:dyDescent="0.3">
      <c r="I21980" s="101"/>
    </row>
    <row r="21981" spans="9:9" x14ac:dyDescent="0.3">
      <c r="I21981" s="101"/>
    </row>
    <row r="21982" spans="9:9" x14ac:dyDescent="0.3">
      <c r="I21982" s="101"/>
    </row>
    <row r="21983" spans="9:9" x14ac:dyDescent="0.3">
      <c r="I21983" s="101"/>
    </row>
    <row r="21984" spans="9:9" x14ac:dyDescent="0.3">
      <c r="I21984" s="101"/>
    </row>
    <row r="21985" spans="9:9" x14ac:dyDescent="0.3">
      <c r="I21985" s="101"/>
    </row>
    <row r="21986" spans="9:9" x14ac:dyDescent="0.3">
      <c r="I21986" s="101"/>
    </row>
    <row r="21987" spans="9:9" x14ac:dyDescent="0.3">
      <c r="I21987" s="101"/>
    </row>
    <row r="21988" spans="9:9" x14ac:dyDescent="0.3">
      <c r="I21988" s="101"/>
    </row>
    <row r="21989" spans="9:9" x14ac:dyDescent="0.3">
      <c r="I21989" s="101"/>
    </row>
    <row r="21990" spans="9:9" x14ac:dyDescent="0.3">
      <c r="I21990" s="101"/>
    </row>
    <row r="21991" spans="9:9" x14ac:dyDescent="0.3">
      <c r="I21991" s="101"/>
    </row>
    <row r="21992" spans="9:9" x14ac:dyDescent="0.3">
      <c r="I21992" s="101"/>
    </row>
    <row r="21993" spans="9:9" x14ac:dyDescent="0.3">
      <c r="I21993" s="101"/>
    </row>
    <row r="21994" spans="9:9" x14ac:dyDescent="0.3">
      <c r="I21994" s="101"/>
    </row>
    <row r="21995" spans="9:9" x14ac:dyDescent="0.3">
      <c r="I21995" s="101"/>
    </row>
    <row r="21996" spans="9:9" x14ac:dyDescent="0.3">
      <c r="I21996" s="101"/>
    </row>
    <row r="21997" spans="9:9" x14ac:dyDescent="0.3">
      <c r="I21997" s="101"/>
    </row>
    <row r="21998" spans="9:9" x14ac:dyDescent="0.3">
      <c r="I21998" s="101"/>
    </row>
    <row r="21999" spans="9:9" x14ac:dyDescent="0.3">
      <c r="I21999" s="101"/>
    </row>
    <row r="22000" spans="9:9" x14ac:dyDescent="0.3">
      <c r="I22000" s="101"/>
    </row>
    <row r="22001" spans="9:9" x14ac:dyDescent="0.3">
      <c r="I22001" s="101"/>
    </row>
    <row r="22002" spans="9:9" x14ac:dyDescent="0.3">
      <c r="I22002" s="101"/>
    </row>
    <row r="22003" spans="9:9" x14ac:dyDescent="0.3">
      <c r="I22003" s="101"/>
    </row>
    <row r="22004" spans="9:9" x14ac:dyDescent="0.3">
      <c r="I22004" s="101"/>
    </row>
    <row r="22005" spans="9:9" x14ac:dyDescent="0.3">
      <c r="I22005" s="101"/>
    </row>
    <row r="22006" spans="9:9" x14ac:dyDescent="0.3">
      <c r="I22006" s="101"/>
    </row>
    <row r="22007" spans="9:9" x14ac:dyDescent="0.3">
      <c r="I22007" s="101"/>
    </row>
    <row r="22008" spans="9:9" x14ac:dyDescent="0.3">
      <c r="I22008" s="101"/>
    </row>
    <row r="22009" spans="9:9" x14ac:dyDescent="0.3">
      <c r="I22009" s="101"/>
    </row>
    <row r="22010" spans="9:9" x14ac:dyDescent="0.3">
      <c r="I22010" s="101"/>
    </row>
    <row r="22011" spans="9:9" x14ac:dyDescent="0.3">
      <c r="I22011" s="101"/>
    </row>
    <row r="22012" spans="9:9" x14ac:dyDescent="0.3">
      <c r="I22012" s="101"/>
    </row>
    <row r="22013" spans="9:9" x14ac:dyDescent="0.3">
      <c r="I22013" s="101"/>
    </row>
    <row r="22014" spans="9:9" x14ac:dyDescent="0.3">
      <c r="I22014" s="101"/>
    </row>
    <row r="22015" spans="9:9" x14ac:dyDescent="0.3">
      <c r="I22015" s="101"/>
    </row>
    <row r="22016" spans="9:9" x14ac:dyDescent="0.3">
      <c r="I22016" s="101"/>
    </row>
    <row r="22017" spans="9:9" x14ac:dyDescent="0.3">
      <c r="I22017" s="101"/>
    </row>
    <row r="22018" spans="9:9" x14ac:dyDescent="0.3">
      <c r="I22018" s="101"/>
    </row>
    <row r="22019" spans="9:9" x14ac:dyDescent="0.3">
      <c r="I22019" s="101"/>
    </row>
    <row r="22020" spans="9:9" x14ac:dyDescent="0.3">
      <c r="I22020" s="101"/>
    </row>
    <row r="22021" spans="9:9" x14ac:dyDescent="0.3">
      <c r="I22021" s="101"/>
    </row>
    <row r="22022" spans="9:9" x14ac:dyDescent="0.3">
      <c r="I22022" s="101"/>
    </row>
    <row r="22023" spans="9:9" x14ac:dyDescent="0.3">
      <c r="I22023" s="101"/>
    </row>
    <row r="22024" spans="9:9" x14ac:dyDescent="0.3">
      <c r="I22024" s="101"/>
    </row>
    <row r="22025" spans="9:9" x14ac:dyDescent="0.3">
      <c r="I22025" s="101"/>
    </row>
    <row r="22026" spans="9:9" x14ac:dyDescent="0.3">
      <c r="I22026" s="101"/>
    </row>
    <row r="22027" spans="9:9" x14ac:dyDescent="0.3">
      <c r="I22027" s="101"/>
    </row>
    <row r="22028" spans="9:9" x14ac:dyDescent="0.3">
      <c r="I22028" s="101"/>
    </row>
    <row r="22029" spans="9:9" x14ac:dyDescent="0.3">
      <c r="I22029" s="101"/>
    </row>
    <row r="22030" spans="9:9" x14ac:dyDescent="0.3">
      <c r="I22030" s="101"/>
    </row>
    <row r="22031" spans="9:9" x14ac:dyDescent="0.3">
      <c r="I22031" s="101"/>
    </row>
    <row r="22032" spans="9:9" x14ac:dyDescent="0.3">
      <c r="I22032" s="101"/>
    </row>
    <row r="22033" spans="9:9" x14ac:dyDescent="0.3">
      <c r="I22033" s="101"/>
    </row>
    <row r="22034" spans="9:9" x14ac:dyDescent="0.3">
      <c r="I22034" s="101"/>
    </row>
    <row r="22035" spans="9:9" x14ac:dyDescent="0.3">
      <c r="I22035" s="101"/>
    </row>
    <row r="22036" spans="9:9" x14ac:dyDescent="0.3">
      <c r="I22036" s="101"/>
    </row>
    <row r="22037" spans="9:9" x14ac:dyDescent="0.3">
      <c r="I22037" s="101"/>
    </row>
    <row r="22038" spans="9:9" x14ac:dyDescent="0.3">
      <c r="I22038" s="101"/>
    </row>
    <row r="22039" spans="9:9" x14ac:dyDescent="0.3">
      <c r="I22039" s="101"/>
    </row>
    <row r="22040" spans="9:9" x14ac:dyDescent="0.3">
      <c r="I22040" s="101"/>
    </row>
    <row r="22041" spans="9:9" x14ac:dyDescent="0.3">
      <c r="I22041" s="101"/>
    </row>
    <row r="22042" spans="9:9" x14ac:dyDescent="0.3">
      <c r="I22042" s="101"/>
    </row>
    <row r="22043" spans="9:9" x14ac:dyDescent="0.3">
      <c r="I22043" s="101"/>
    </row>
    <row r="22044" spans="9:9" x14ac:dyDescent="0.3">
      <c r="I22044" s="101"/>
    </row>
    <row r="22045" spans="9:9" x14ac:dyDescent="0.3">
      <c r="I22045" s="101"/>
    </row>
    <row r="22046" spans="9:9" x14ac:dyDescent="0.3">
      <c r="I22046" s="101"/>
    </row>
    <row r="22047" spans="9:9" x14ac:dyDescent="0.3">
      <c r="I22047" s="101"/>
    </row>
    <row r="22048" spans="9:9" x14ac:dyDescent="0.3">
      <c r="I22048" s="101"/>
    </row>
    <row r="22049" spans="9:9" x14ac:dyDescent="0.3">
      <c r="I22049" s="101"/>
    </row>
    <row r="22050" spans="9:9" x14ac:dyDescent="0.3">
      <c r="I22050" s="101"/>
    </row>
    <row r="22051" spans="9:9" x14ac:dyDescent="0.3">
      <c r="I22051" s="101"/>
    </row>
    <row r="22052" spans="9:9" x14ac:dyDescent="0.3">
      <c r="I22052" s="101"/>
    </row>
    <row r="22053" spans="9:9" x14ac:dyDescent="0.3">
      <c r="I22053" s="101"/>
    </row>
    <row r="22054" spans="9:9" x14ac:dyDescent="0.3">
      <c r="I22054" s="101"/>
    </row>
    <row r="22055" spans="9:9" x14ac:dyDescent="0.3">
      <c r="I22055" s="101"/>
    </row>
    <row r="22056" spans="9:9" x14ac:dyDescent="0.3">
      <c r="I22056" s="101"/>
    </row>
    <row r="22057" spans="9:9" x14ac:dyDescent="0.3">
      <c r="I22057" s="101"/>
    </row>
    <row r="22058" spans="9:9" x14ac:dyDescent="0.3">
      <c r="I22058" s="101"/>
    </row>
    <row r="22059" spans="9:9" x14ac:dyDescent="0.3">
      <c r="I22059" s="101"/>
    </row>
    <row r="22060" spans="9:9" x14ac:dyDescent="0.3">
      <c r="I22060" s="101"/>
    </row>
    <row r="22061" spans="9:9" x14ac:dyDescent="0.3">
      <c r="I22061" s="101"/>
    </row>
    <row r="22062" spans="9:9" x14ac:dyDescent="0.3">
      <c r="I22062" s="101"/>
    </row>
    <row r="22063" spans="9:9" x14ac:dyDescent="0.3">
      <c r="I22063" s="101"/>
    </row>
    <row r="22064" spans="9:9" x14ac:dyDescent="0.3">
      <c r="I22064" s="101"/>
    </row>
    <row r="22065" spans="9:9" x14ac:dyDescent="0.3">
      <c r="I22065" s="101"/>
    </row>
    <row r="22066" spans="9:9" x14ac:dyDescent="0.3">
      <c r="I22066" s="101"/>
    </row>
    <row r="22067" spans="9:9" x14ac:dyDescent="0.3">
      <c r="I22067" s="101"/>
    </row>
    <row r="22068" spans="9:9" x14ac:dyDescent="0.3">
      <c r="I22068" s="101"/>
    </row>
    <row r="22069" spans="9:9" x14ac:dyDescent="0.3">
      <c r="I22069" s="101"/>
    </row>
    <row r="22070" spans="9:9" x14ac:dyDescent="0.3">
      <c r="I22070" s="101"/>
    </row>
    <row r="22071" spans="9:9" x14ac:dyDescent="0.3">
      <c r="I22071" s="101"/>
    </row>
    <row r="22072" spans="9:9" x14ac:dyDescent="0.3">
      <c r="I22072" s="101"/>
    </row>
    <row r="22073" spans="9:9" x14ac:dyDescent="0.3">
      <c r="I22073" s="101"/>
    </row>
    <row r="22074" spans="9:9" x14ac:dyDescent="0.3">
      <c r="I22074" s="101"/>
    </row>
    <row r="22075" spans="9:9" x14ac:dyDescent="0.3">
      <c r="I22075" s="101"/>
    </row>
    <row r="22076" spans="9:9" x14ac:dyDescent="0.3">
      <c r="I22076" s="101"/>
    </row>
    <row r="22077" spans="9:9" x14ac:dyDescent="0.3">
      <c r="I22077" s="101"/>
    </row>
    <row r="22078" spans="9:9" x14ac:dyDescent="0.3">
      <c r="I22078" s="101"/>
    </row>
    <row r="22079" spans="9:9" x14ac:dyDescent="0.3">
      <c r="I22079" s="101"/>
    </row>
    <row r="22080" spans="9:9" x14ac:dyDescent="0.3">
      <c r="I22080" s="101"/>
    </row>
    <row r="22081" spans="9:9" x14ac:dyDescent="0.3">
      <c r="I22081" s="101"/>
    </row>
    <row r="22082" spans="9:9" x14ac:dyDescent="0.3">
      <c r="I22082" s="101"/>
    </row>
    <row r="22083" spans="9:9" x14ac:dyDescent="0.3">
      <c r="I22083" s="101"/>
    </row>
    <row r="22084" spans="9:9" x14ac:dyDescent="0.3">
      <c r="I22084" s="101"/>
    </row>
    <row r="22085" spans="9:9" x14ac:dyDescent="0.3">
      <c r="I22085" s="101"/>
    </row>
    <row r="22086" spans="9:9" x14ac:dyDescent="0.3">
      <c r="I22086" s="101"/>
    </row>
    <row r="22087" spans="9:9" x14ac:dyDescent="0.3">
      <c r="I22087" s="101"/>
    </row>
    <row r="22088" spans="9:9" x14ac:dyDescent="0.3">
      <c r="I22088" s="101"/>
    </row>
    <row r="22089" spans="9:9" x14ac:dyDescent="0.3">
      <c r="I22089" s="101"/>
    </row>
    <row r="22090" spans="9:9" x14ac:dyDescent="0.3">
      <c r="I22090" s="101"/>
    </row>
    <row r="22091" spans="9:9" x14ac:dyDescent="0.3">
      <c r="I22091" s="101"/>
    </row>
    <row r="22092" spans="9:9" x14ac:dyDescent="0.3">
      <c r="I22092" s="101"/>
    </row>
    <row r="22093" spans="9:9" x14ac:dyDescent="0.3">
      <c r="I22093" s="101"/>
    </row>
    <row r="22094" spans="9:9" x14ac:dyDescent="0.3">
      <c r="I22094" s="101"/>
    </row>
    <row r="22095" spans="9:9" x14ac:dyDescent="0.3">
      <c r="I22095" s="101"/>
    </row>
    <row r="22096" spans="9:9" x14ac:dyDescent="0.3">
      <c r="I22096" s="101"/>
    </row>
    <row r="22097" spans="9:9" x14ac:dyDescent="0.3">
      <c r="I22097" s="101"/>
    </row>
    <row r="22098" spans="9:9" x14ac:dyDescent="0.3">
      <c r="I22098" s="101"/>
    </row>
    <row r="22099" spans="9:9" x14ac:dyDescent="0.3">
      <c r="I22099" s="101"/>
    </row>
    <row r="22100" spans="9:9" x14ac:dyDescent="0.3">
      <c r="I22100" s="101"/>
    </row>
    <row r="22101" spans="9:9" x14ac:dyDescent="0.3">
      <c r="I22101" s="101"/>
    </row>
    <row r="22102" spans="9:9" x14ac:dyDescent="0.3">
      <c r="I22102" s="101"/>
    </row>
    <row r="22103" spans="9:9" x14ac:dyDescent="0.3">
      <c r="I22103" s="101"/>
    </row>
    <row r="22104" spans="9:9" x14ac:dyDescent="0.3">
      <c r="I22104" s="101"/>
    </row>
    <row r="22105" spans="9:9" x14ac:dyDescent="0.3">
      <c r="I22105" s="101"/>
    </row>
    <row r="22106" spans="9:9" x14ac:dyDescent="0.3">
      <c r="I22106" s="101"/>
    </row>
    <row r="22107" spans="9:9" x14ac:dyDescent="0.3">
      <c r="I22107" s="101"/>
    </row>
    <row r="22108" spans="9:9" x14ac:dyDescent="0.3">
      <c r="I22108" s="101"/>
    </row>
    <row r="22109" spans="9:9" x14ac:dyDescent="0.3">
      <c r="I22109" s="101"/>
    </row>
    <row r="22110" spans="9:9" x14ac:dyDescent="0.3">
      <c r="I22110" s="101"/>
    </row>
    <row r="22111" spans="9:9" x14ac:dyDescent="0.3">
      <c r="I22111" s="101"/>
    </row>
    <row r="22112" spans="9:9" x14ac:dyDescent="0.3">
      <c r="I22112" s="101"/>
    </row>
    <row r="22113" spans="9:9" x14ac:dyDescent="0.3">
      <c r="I22113" s="101"/>
    </row>
    <row r="22114" spans="9:9" x14ac:dyDescent="0.3">
      <c r="I22114" s="101"/>
    </row>
    <row r="22115" spans="9:9" x14ac:dyDescent="0.3">
      <c r="I22115" s="101"/>
    </row>
    <row r="22116" spans="9:9" x14ac:dyDescent="0.3">
      <c r="I22116" s="101"/>
    </row>
    <row r="22117" spans="9:9" x14ac:dyDescent="0.3">
      <c r="I22117" s="101"/>
    </row>
    <row r="22118" spans="9:9" x14ac:dyDescent="0.3">
      <c r="I22118" s="101"/>
    </row>
    <row r="22119" spans="9:9" x14ac:dyDescent="0.3">
      <c r="I22119" s="101"/>
    </row>
    <row r="22120" spans="9:9" x14ac:dyDescent="0.3">
      <c r="I22120" s="101"/>
    </row>
    <row r="22121" spans="9:9" x14ac:dyDescent="0.3">
      <c r="I22121" s="101"/>
    </row>
    <row r="22122" spans="9:9" x14ac:dyDescent="0.3">
      <c r="I22122" s="101"/>
    </row>
    <row r="22123" spans="9:9" x14ac:dyDescent="0.3">
      <c r="I22123" s="101"/>
    </row>
    <row r="22124" spans="9:9" x14ac:dyDescent="0.3">
      <c r="I22124" s="101"/>
    </row>
    <row r="22125" spans="9:9" x14ac:dyDescent="0.3">
      <c r="I22125" s="101"/>
    </row>
    <row r="22126" spans="9:9" x14ac:dyDescent="0.3">
      <c r="I22126" s="101"/>
    </row>
    <row r="22127" spans="9:9" x14ac:dyDescent="0.3">
      <c r="I22127" s="101"/>
    </row>
    <row r="22128" spans="9:9" x14ac:dyDescent="0.3">
      <c r="I22128" s="101"/>
    </row>
    <row r="22129" spans="9:9" x14ac:dyDescent="0.3">
      <c r="I22129" s="101"/>
    </row>
    <row r="22130" spans="9:9" x14ac:dyDescent="0.3">
      <c r="I22130" s="101"/>
    </row>
    <row r="22131" spans="9:9" x14ac:dyDescent="0.3">
      <c r="I22131" s="101"/>
    </row>
    <row r="22132" spans="9:9" x14ac:dyDescent="0.3">
      <c r="I22132" s="101"/>
    </row>
    <row r="22133" spans="9:9" x14ac:dyDescent="0.3">
      <c r="I22133" s="101"/>
    </row>
    <row r="22134" spans="9:9" x14ac:dyDescent="0.3">
      <c r="I22134" s="101"/>
    </row>
    <row r="22135" spans="9:9" x14ac:dyDescent="0.3">
      <c r="I22135" s="101"/>
    </row>
    <row r="22136" spans="9:9" x14ac:dyDescent="0.3">
      <c r="I22136" s="101"/>
    </row>
    <row r="22137" spans="9:9" x14ac:dyDescent="0.3">
      <c r="I22137" s="101"/>
    </row>
    <row r="22138" spans="9:9" x14ac:dyDescent="0.3">
      <c r="I22138" s="101"/>
    </row>
    <row r="22139" spans="9:9" x14ac:dyDescent="0.3">
      <c r="I22139" s="101"/>
    </row>
    <row r="22140" spans="9:9" x14ac:dyDescent="0.3">
      <c r="I22140" s="101"/>
    </row>
    <row r="22141" spans="9:9" x14ac:dyDescent="0.3">
      <c r="I22141" s="101"/>
    </row>
    <row r="22142" spans="9:9" x14ac:dyDescent="0.3">
      <c r="I22142" s="101"/>
    </row>
    <row r="22143" spans="9:9" x14ac:dyDescent="0.3">
      <c r="I22143" s="101"/>
    </row>
    <row r="22144" spans="9:9" x14ac:dyDescent="0.3">
      <c r="I22144" s="101"/>
    </row>
    <row r="22145" spans="9:9" x14ac:dyDescent="0.3">
      <c r="I22145" s="101"/>
    </row>
    <row r="22146" spans="9:9" x14ac:dyDescent="0.3">
      <c r="I22146" s="101"/>
    </row>
    <row r="22147" spans="9:9" x14ac:dyDescent="0.3">
      <c r="I22147" s="101"/>
    </row>
    <row r="22148" spans="9:9" x14ac:dyDescent="0.3">
      <c r="I22148" s="101"/>
    </row>
    <row r="22149" spans="9:9" x14ac:dyDescent="0.3">
      <c r="I22149" s="101"/>
    </row>
    <row r="22150" spans="9:9" x14ac:dyDescent="0.3">
      <c r="I22150" s="101"/>
    </row>
    <row r="22151" spans="9:9" x14ac:dyDescent="0.3">
      <c r="I22151" s="101"/>
    </row>
    <row r="22152" spans="9:9" x14ac:dyDescent="0.3">
      <c r="I22152" s="101"/>
    </row>
    <row r="22153" spans="9:9" x14ac:dyDescent="0.3">
      <c r="I22153" s="101"/>
    </row>
    <row r="22154" spans="9:9" x14ac:dyDescent="0.3">
      <c r="I22154" s="101"/>
    </row>
    <row r="22155" spans="9:9" x14ac:dyDescent="0.3">
      <c r="I22155" s="101"/>
    </row>
    <row r="22156" spans="9:9" x14ac:dyDescent="0.3">
      <c r="I22156" s="101"/>
    </row>
    <row r="22157" spans="9:9" x14ac:dyDescent="0.3">
      <c r="I22157" s="101"/>
    </row>
    <row r="22158" spans="9:9" x14ac:dyDescent="0.3">
      <c r="I22158" s="101"/>
    </row>
    <row r="22159" spans="9:9" x14ac:dyDescent="0.3">
      <c r="I22159" s="101"/>
    </row>
    <row r="22160" spans="9:9" x14ac:dyDescent="0.3">
      <c r="I22160" s="101"/>
    </row>
    <row r="22161" spans="9:9" x14ac:dyDescent="0.3">
      <c r="I22161" s="101"/>
    </row>
    <row r="22162" spans="9:9" x14ac:dyDescent="0.3">
      <c r="I22162" s="101"/>
    </row>
    <row r="22163" spans="9:9" x14ac:dyDescent="0.3">
      <c r="I22163" s="101"/>
    </row>
    <row r="22164" spans="9:9" x14ac:dyDescent="0.3">
      <c r="I22164" s="101"/>
    </row>
    <row r="22165" spans="9:9" x14ac:dyDescent="0.3">
      <c r="I22165" s="101"/>
    </row>
    <row r="22166" spans="9:9" x14ac:dyDescent="0.3">
      <c r="I22166" s="101"/>
    </row>
    <row r="22167" spans="9:9" x14ac:dyDescent="0.3">
      <c r="I22167" s="101"/>
    </row>
    <row r="22168" spans="9:9" x14ac:dyDescent="0.3">
      <c r="I22168" s="101"/>
    </row>
    <row r="22169" spans="9:9" x14ac:dyDescent="0.3">
      <c r="I22169" s="101"/>
    </row>
    <row r="22170" spans="9:9" x14ac:dyDescent="0.3">
      <c r="I22170" s="101"/>
    </row>
    <row r="22171" spans="9:9" x14ac:dyDescent="0.3">
      <c r="I22171" s="101"/>
    </row>
    <row r="22172" spans="9:9" x14ac:dyDescent="0.3">
      <c r="I22172" s="101"/>
    </row>
    <row r="22173" spans="9:9" x14ac:dyDescent="0.3">
      <c r="I22173" s="101"/>
    </row>
    <row r="22174" spans="9:9" x14ac:dyDescent="0.3">
      <c r="I22174" s="101"/>
    </row>
    <row r="22175" spans="9:9" x14ac:dyDescent="0.3">
      <c r="I22175" s="101"/>
    </row>
    <row r="22176" spans="9:9" x14ac:dyDescent="0.3">
      <c r="I22176" s="101"/>
    </row>
    <row r="22177" spans="9:9" x14ac:dyDescent="0.3">
      <c r="I22177" s="101"/>
    </row>
    <row r="22178" spans="9:9" x14ac:dyDescent="0.3">
      <c r="I22178" s="101"/>
    </row>
    <row r="22179" spans="9:9" x14ac:dyDescent="0.3">
      <c r="I22179" s="101"/>
    </row>
    <row r="22180" spans="9:9" x14ac:dyDescent="0.3">
      <c r="I22180" s="101"/>
    </row>
    <row r="22181" spans="9:9" x14ac:dyDescent="0.3">
      <c r="I22181" s="101"/>
    </row>
    <row r="22182" spans="9:9" x14ac:dyDescent="0.3">
      <c r="I22182" s="101"/>
    </row>
    <row r="22183" spans="9:9" x14ac:dyDescent="0.3">
      <c r="I22183" s="101"/>
    </row>
    <row r="22184" spans="9:9" x14ac:dyDescent="0.3">
      <c r="I22184" s="101"/>
    </row>
    <row r="22185" spans="9:9" x14ac:dyDescent="0.3">
      <c r="I22185" s="101"/>
    </row>
    <row r="22186" spans="9:9" x14ac:dyDescent="0.3">
      <c r="I22186" s="101"/>
    </row>
    <row r="22187" spans="9:9" x14ac:dyDescent="0.3">
      <c r="I22187" s="101"/>
    </row>
    <row r="22188" spans="9:9" x14ac:dyDescent="0.3">
      <c r="I22188" s="101"/>
    </row>
    <row r="22189" spans="9:9" x14ac:dyDescent="0.3">
      <c r="I22189" s="101"/>
    </row>
    <row r="22190" spans="9:9" x14ac:dyDescent="0.3">
      <c r="I22190" s="101"/>
    </row>
    <row r="22191" spans="9:9" x14ac:dyDescent="0.3">
      <c r="I22191" s="101"/>
    </row>
    <row r="22192" spans="9:9" x14ac:dyDescent="0.3">
      <c r="I22192" s="101"/>
    </row>
    <row r="22193" spans="9:9" x14ac:dyDescent="0.3">
      <c r="I22193" s="101"/>
    </row>
    <row r="22194" spans="9:9" x14ac:dyDescent="0.3">
      <c r="I22194" s="101"/>
    </row>
    <row r="22195" spans="9:9" x14ac:dyDescent="0.3">
      <c r="I22195" s="101"/>
    </row>
    <row r="22196" spans="9:9" x14ac:dyDescent="0.3">
      <c r="I22196" s="101"/>
    </row>
    <row r="22197" spans="9:9" x14ac:dyDescent="0.3">
      <c r="I22197" s="101"/>
    </row>
    <row r="22198" spans="9:9" x14ac:dyDescent="0.3">
      <c r="I22198" s="101"/>
    </row>
    <row r="22199" spans="9:9" x14ac:dyDescent="0.3">
      <c r="I22199" s="101"/>
    </row>
    <row r="22200" spans="9:9" x14ac:dyDescent="0.3">
      <c r="I22200" s="101"/>
    </row>
    <row r="22201" spans="9:9" x14ac:dyDescent="0.3">
      <c r="I22201" s="101"/>
    </row>
    <row r="22202" spans="9:9" x14ac:dyDescent="0.3">
      <c r="I22202" s="101"/>
    </row>
    <row r="22203" spans="9:9" x14ac:dyDescent="0.3">
      <c r="I22203" s="101"/>
    </row>
    <row r="22204" spans="9:9" x14ac:dyDescent="0.3">
      <c r="I22204" s="101"/>
    </row>
    <row r="22205" spans="9:9" x14ac:dyDescent="0.3">
      <c r="I22205" s="101"/>
    </row>
    <row r="22206" spans="9:9" x14ac:dyDescent="0.3">
      <c r="I22206" s="101"/>
    </row>
    <row r="22207" spans="9:9" x14ac:dyDescent="0.3">
      <c r="I22207" s="101"/>
    </row>
    <row r="22208" spans="9:9" x14ac:dyDescent="0.3">
      <c r="I22208" s="101"/>
    </row>
    <row r="22209" spans="9:9" x14ac:dyDescent="0.3">
      <c r="I22209" s="101"/>
    </row>
    <row r="22210" spans="9:9" x14ac:dyDescent="0.3">
      <c r="I22210" s="101"/>
    </row>
    <row r="22211" spans="9:9" x14ac:dyDescent="0.3">
      <c r="I22211" s="101"/>
    </row>
    <row r="22212" spans="9:9" x14ac:dyDescent="0.3">
      <c r="I22212" s="101"/>
    </row>
    <row r="22213" spans="9:9" x14ac:dyDescent="0.3">
      <c r="I22213" s="101"/>
    </row>
    <row r="22214" spans="9:9" x14ac:dyDescent="0.3">
      <c r="I22214" s="101"/>
    </row>
    <row r="22215" spans="9:9" x14ac:dyDescent="0.3">
      <c r="I22215" s="101"/>
    </row>
    <row r="22216" spans="9:9" x14ac:dyDescent="0.3">
      <c r="I22216" s="101"/>
    </row>
    <row r="22217" spans="9:9" x14ac:dyDescent="0.3">
      <c r="I22217" s="101"/>
    </row>
    <row r="22218" spans="9:9" x14ac:dyDescent="0.3">
      <c r="I22218" s="101"/>
    </row>
    <row r="22219" spans="9:9" x14ac:dyDescent="0.3">
      <c r="I22219" s="101"/>
    </row>
    <row r="22220" spans="9:9" x14ac:dyDescent="0.3">
      <c r="I22220" s="101"/>
    </row>
    <row r="22221" spans="9:9" x14ac:dyDescent="0.3">
      <c r="I22221" s="101"/>
    </row>
    <row r="22222" spans="9:9" x14ac:dyDescent="0.3">
      <c r="I22222" s="101"/>
    </row>
    <row r="22223" spans="9:9" x14ac:dyDescent="0.3">
      <c r="I22223" s="101"/>
    </row>
    <row r="22224" spans="9:9" x14ac:dyDescent="0.3">
      <c r="I22224" s="101"/>
    </row>
    <row r="22225" spans="9:9" x14ac:dyDescent="0.3">
      <c r="I22225" s="101"/>
    </row>
    <row r="22226" spans="9:9" x14ac:dyDescent="0.3">
      <c r="I22226" s="101"/>
    </row>
    <row r="22227" spans="9:9" x14ac:dyDescent="0.3">
      <c r="I22227" s="101"/>
    </row>
    <row r="22228" spans="9:9" x14ac:dyDescent="0.3">
      <c r="I22228" s="101"/>
    </row>
    <row r="22229" spans="9:9" x14ac:dyDescent="0.3">
      <c r="I22229" s="101"/>
    </row>
    <row r="22230" spans="9:9" x14ac:dyDescent="0.3">
      <c r="I22230" s="101"/>
    </row>
    <row r="22231" spans="9:9" x14ac:dyDescent="0.3">
      <c r="I22231" s="101"/>
    </row>
    <row r="22232" spans="9:9" x14ac:dyDescent="0.3">
      <c r="I22232" s="101"/>
    </row>
    <row r="22233" spans="9:9" x14ac:dyDescent="0.3">
      <c r="I22233" s="101"/>
    </row>
    <row r="22234" spans="9:9" x14ac:dyDescent="0.3">
      <c r="I22234" s="101"/>
    </row>
    <row r="22235" spans="9:9" x14ac:dyDescent="0.3">
      <c r="I22235" s="101"/>
    </row>
    <row r="22236" spans="9:9" x14ac:dyDescent="0.3">
      <c r="I22236" s="101"/>
    </row>
    <row r="22237" spans="9:9" x14ac:dyDescent="0.3">
      <c r="I22237" s="101"/>
    </row>
    <row r="22238" spans="9:9" x14ac:dyDescent="0.3">
      <c r="I22238" s="101"/>
    </row>
    <row r="22239" spans="9:9" x14ac:dyDescent="0.3">
      <c r="I22239" s="101"/>
    </row>
    <row r="22240" spans="9:9" x14ac:dyDescent="0.3">
      <c r="I22240" s="101"/>
    </row>
    <row r="22241" spans="9:9" x14ac:dyDescent="0.3">
      <c r="I22241" s="101"/>
    </row>
    <row r="22242" spans="9:9" x14ac:dyDescent="0.3">
      <c r="I22242" s="101"/>
    </row>
    <row r="22243" spans="9:9" x14ac:dyDescent="0.3">
      <c r="I22243" s="101"/>
    </row>
    <row r="22244" spans="9:9" x14ac:dyDescent="0.3">
      <c r="I22244" s="101"/>
    </row>
    <row r="22245" spans="9:9" x14ac:dyDescent="0.3">
      <c r="I22245" s="101"/>
    </row>
    <row r="22246" spans="9:9" x14ac:dyDescent="0.3">
      <c r="I22246" s="101"/>
    </row>
    <row r="22247" spans="9:9" x14ac:dyDescent="0.3">
      <c r="I22247" s="101"/>
    </row>
    <row r="22248" spans="9:9" x14ac:dyDescent="0.3">
      <c r="I22248" s="101"/>
    </row>
    <row r="22249" spans="9:9" x14ac:dyDescent="0.3">
      <c r="I22249" s="101"/>
    </row>
    <row r="22250" spans="9:9" x14ac:dyDescent="0.3">
      <c r="I22250" s="101"/>
    </row>
    <row r="22251" spans="9:9" x14ac:dyDescent="0.3">
      <c r="I22251" s="101"/>
    </row>
    <row r="22252" spans="9:9" x14ac:dyDescent="0.3">
      <c r="I22252" s="101"/>
    </row>
    <row r="22253" spans="9:9" x14ac:dyDescent="0.3">
      <c r="I22253" s="101"/>
    </row>
    <row r="22254" spans="9:9" x14ac:dyDescent="0.3">
      <c r="I22254" s="101"/>
    </row>
    <row r="22255" spans="9:9" x14ac:dyDescent="0.3">
      <c r="I22255" s="101"/>
    </row>
    <row r="22256" spans="9:9" x14ac:dyDescent="0.3">
      <c r="I22256" s="101"/>
    </row>
    <row r="22257" spans="9:9" x14ac:dyDescent="0.3">
      <c r="I22257" s="101"/>
    </row>
    <row r="22258" spans="9:9" x14ac:dyDescent="0.3">
      <c r="I22258" s="101"/>
    </row>
    <row r="22259" spans="9:9" x14ac:dyDescent="0.3">
      <c r="I22259" s="101"/>
    </row>
    <row r="22260" spans="9:9" x14ac:dyDescent="0.3">
      <c r="I22260" s="101"/>
    </row>
    <row r="22261" spans="9:9" x14ac:dyDescent="0.3">
      <c r="I22261" s="101"/>
    </row>
    <row r="22262" spans="9:9" x14ac:dyDescent="0.3">
      <c r="I22262" s="101"/>
    </row>
    <row r="22263" spans="9:9" x14ac:dyDescent="0.3">
      <c r="I22263" s="101"/>
    </row>
    <row r="22264" spans="9:9" x14ac:dyDescent="0.3">
      <c r="I22264" s="101"/>
    </row>
    <row r="22265" spans="9:9" x14ac:dyDescent="0.3">
      <c r="I22265" s="101"/>
    </row>
    <row r="22266" spans="9:9" x14ac:dyDescent="0.3">
      <c r="I22266" s="101"/>
    </row>
    <row r="22267" spans="9:9" x14ac:dyDescent="0.3">
      <c r="I22267" s="101"/>
    </row>
    <row r="22268" spans="9:9" x14ac:dyDescent="0.3">
      <c r="I22268" s="101"/>
    </row>
    <row r="22269" spans="9:9" x14ac:dyDescent="0.3">
      <c r="I22269" s="101"/>
    </row>
    <row r="22270" spans="9:9" x14ac:dyDescent="0.3">
      <c r="I22270" s="101"/>
    </row>
    <row r="22271" spans="9:9" x14ac:dyDescent="0.3">
      <c r="I22271" s="101"/>
    </row>
    <row r="22272" spans="9:9" x14ac:dyDescent="0.3">
      <c r="I22272" s="101"/>
    </row>
    <row r="22273" spans="9:9" x14ac:dyDescent="0.3">
      <c r="I22273" s="101"/>
    </row>
    <row r="22274" spans="9:9" x14ac:dyDescent="0.3">
      <c r="I22274" s="101"/>
    </row>
    <row r="22275" spans="9:9" x14ac:dyDescent="0.3">
      <c r="I22275" s="101"/>
    </row>
    <row r="22276" spans="9:9" x14ac:dyDescent="0.3">
      <c r="I22276" s="101"/>
    </row>
    <row r="22277" spans="9:9" x14ac:dyDescent="0.3">
      <c r="I22277" s="101"/>
    </row>
    <row r="22278" spans="9:9" x14ac:dyDescent="0.3">
      <c r="I22278" s="101"/>
    </row>
    <row r="22279" spans="9:9" x14ac:dyDescent="0.3">
      <c r="I22279" s="101"/>
    </row>
    <row r="22280" spans="9:9" x14ac:dyDescent="0.3">
      <c r="I22280" s="101"/>
    </row>
    <row r="22281" spans="9:9" x14ac:dyDescent="0.3">
      <c r="I22281" s="101"/>
    </row>
    <row r="22282" spans="9:9" x14ac:dyDescent="0.3">
      <c r="I22282" s="101"/>
    </row>
    <row r="22283" spans="9:9" x14ac:dyDescent="0.3">
      <c r="I22283" s="101"/>
    </row>
    <row r="22284" spans="9:9" x14ac:dyDescent="0.3">
      <c r="I22284" s="101"/>
    </row>
    <row r="22285" spans="9:9" x14ac:dyDescent="0.3">
      <c r="I22285" s="101"/>
    </row>
    <row r="22286" spans="9:9" x14ac:dyDescent="0.3">
      <c r="I22286" s="101"/>
    </row>
    <row r="22287" spans="9:9" x14ac:dyDescent="0.3">
      <c r="I22287" s="101"/>
    </row>
    <row r="22288" spans="9:9" x14ac:dyDescent="0.3">
      <c r="I22288" s="101"/>
    </row>
    <row r="22289" spans="9:9" x14ac:dyDescent="0.3">
      <c r="I22289" s="101"/>
    </row>
    <row r="22290" spans="9:9" x14ac:dyDescent="0.3">
      <c r="I22290" s="101"/>
    </row>
    <row r="22291" spans="9:9" x14ac:dyDescent="0.3">
      <c r="I22291" s="101"/>
    </row>
    <row r="22292" spans="9:9" x14ac:dyDescent="0.3">
      <c r="I22292" s="101"/>
    </row>
    <row r="22293" spans="9:9" x14ac:dyDescent="0.3">
      <c r="I22293" s="101"/>
    </row>
    <row r="22294" spans="9:9" x14ac:dyDescent="0.3">
      <c r="I22294" s="101"/>
    </row>
    <row r="22295" spans="9:9" x14ac:dyDescent="0.3">
      <c r="I22295" s="101"/>
    </row>
    <row r="22296" spans="9:9" x14ac:dyDescent="0.3">
      <c r="I22296" s="101"/>
    </row>
    <row r="22297" spans="9:9" x14ac:dyDescent="0.3">
      <c r="I22297" s="101"/>
    </row>
    <row r="22298" spans="9:9" x14ac:dyDescent="0.3">
      <c r="I22298" s="101"/>
    </row>
    <row r="22299" spans="9:9" x14ac:dyDescent="0.3">
      <c r="I22299" s="101"/>
    </row>
    <row r="22300" spans="9:9" x14ac:dyDescent="0.3">
      <c r="I22300" s="101"/>
    </row>
    <row r="22301" spans="9:9" x14ac:dyDescent="0.3">
      <c r="I22301" s="101"/>
    </row>
    <row r="22302" spans="9:9" x14ac:dyDescent="0.3">
      <c r="I22302" s="101"/>
    </row>
    <row r="22303" spans="9:9" x14ac:dyDescent="0.3">
      <c r="I22303" s="101"/>
    </row>
    <row r="22304" spans="9:9" x14ac:dyDescent="0.3">
      <c r="I22304" s="101"/>
    </row>
    <row r="22305" spans="9:9" x14ac:dyDescent="0.3">
      <c r="I22305" s="101"/>
    </row>
    <row r="22306" spans="9:9" x14ac:dyDescent="0.3">
      <c r="I22306" s="101"/>
    </row>
    <row r="22307" spans="9:9" x14ac:dyDescent="0.3">
      <c r="I22307" s="101"/>
    </row>
    <row r="22308" spans="9:9" x14ac:dyDescent="0.3">
      <c r="I22308" s="101"/>
    </row>
    <row r="22309" spans="9:9" x14ac:dyDescent="0.3">
      <c r="I22309" s="101"/>
    </row>
    <row r="22310" spans="9:9" x14ac:dyDescent="0.3">
      <c r="I22310" s="101"/>
    </row>
    <row r="22311" spans="9:9" x14ac:dyDescent="0.3">
      <c r="I22311" s="101"/>
    </row>
    <row r="22312" spans="9:9" x14ac:dyDescent="0.3">
      <c r="I22312" s="101"/>
    </row>
    <row r="22313" spans="9:9" x14ac:dyDescent="0.3">
      <c r="I22313" s="101"/>
    </row>
    <row r="22314" spans="9:9" x14ac:dyDescent="0.3">
      <c r="I22314" s="101"/>
    </row>
    <row r="22315" spans="9:9" x14ac:dyDescent="0.3">
      <c r="I22315" s="101"/>
    </row>
    <row r="22316" spans="9:9" x14ac:dyDescent="0.3">
      <c r="I22316" s="101"/>
    </row>
    <row r="22317" spans="9:9" x14ac:dyDescent="0.3">
      <c r="I22317" s="101"/>
    </row>
    <row r="22318" spans="9:9" x14ac:dyDescent="0.3">
      <c r="I22318" s="101"/>
    </row>
    <row r="22319" spans="9:9" x14ac:dyDescent="0.3">
      <c r="I22319" s="101"/>
    </row>
    <row r="22320" spans="9:9" x14ac:dyDescent="0.3">
      <c r="I22320" s="101"/>
    </row>
    <row r="22321" spans="9:9" x14ac:dyDescent="0.3">
      <c r="I22321" s="101"/>
    </row>
    <row r="22322" spans="9:9" x14ac:dyDescent="0.3">
      <c r="I22322" s="101"/>
    </row>
    <row r="22323" spans="9:9" x14ac:dyDescent="0.3">
      <c r="I22323" s="101"/>
    </row>
    <row r="22324" spans="9:9" x14ac:dyDescent="0.3">
      <c r="I22324" s="101"/>
    </row>
    <row r="22325" spans="9:9" x14ac:dyDescent="0.3">
      <c r="I22325" s="101"/>
    </row>
    <row r="22326" spans="9:9" x14ac:dyDescent="0.3">
      <c r="I22326" s="101"/>
    </row>
    <row r="22327" spans="9:9" x14ac:dyDescent="0.3">
      <c r="I22327" s="101"/>
    </row>
    <row r="22328" spans="9:9" x14ac:dyDescent="0.3">
      <c r="I22328" s="101"/>
    </row>
    <row r="22329" spans="9:9" x14ac:dyDescent="0.3">
      <c r="I22329" s="101"/>
    </row>
    <row r="22330" spans="9:9" x14ac:dyDescent="0.3">
      <c r="I22330" s="101"/>
    </row>
    <row r="22331" spans="9:9" x14ac:dyDescent="0.3">
      <c r="I22331" s="101"/>
    </row>
    <row r="22332" spans="9:9" x14ac:dyDescent="0.3">
      <c r="I22332" s="101"/>
    </row>
    <row r="22333" spans="9:9" x14ac:dyDescent="0.3">
      <c r="I22333" s="101"/>
    </row>
    <row r="22334" spans="9:9" x14ac:dyDescent="0.3">
      <c r="I22334" s="101"/>
    </row>
    <row r="22335" spans="9:9" x14ac:dyDescent="0.3">
      <c r="I22335" s="101"/>
    </row>
    <row r="22336" spans="9:9" x14ac:dyDescent="0.3">
      <c r="I22336" s="101"/>
    </row>
    <row r="22337" spans="9:9" x14ac:dyDescent="0.3">
      <c r="I22337" s="101"/>
    </row>
    <row r="22338" spans="9:9" x14ac:dyDescent="0.3">
      <c r="I22338" s="101"/>
    </row>
    <row r="22339" spans="9:9" x14ac:dyDescent="0.3">
      <c r="I22339" s="101"/>
    </row>
    <row r="22340" spans="9:9" x14ac:dyDescent="0.3">
      <c r="I22340" s="101"/>
    </row>
    <row r="22341" spans="9:9" x14ac:dyDescent="0.3">
      <c r="I22341" s="101"/>
    </row>
    <row r="22342" spans="9:9" x14ac:dyDescent="0.3">
      <c r="I22342" s="101"/>
    </row>
    <row r="22343" spans="9:9" x14ac:dyDescent="0.3">
      <c r="I22343" s="101"/>
    </row>
    <row r="22344" spans="9:9" x14ac:dyDescent="0.3">
      <c r="I22344" s="101"/>
    </row>
    <row r="22345" spans="9:9" x14ac:dyDescent="0.3">
      <c r="I22345" s="101"/>
    </row>
    <row r="22346" spans="9:9" x14ac:dyDescent="0.3">
      <c r="I22346" s="101"/>
    </row>
    <row r="22347" spans="9:9" x14ac:dyDescent="0.3">
      <c r="I22347" s="101"/>
    </row>
    <row r="22348" spans="9:9" x14ac:dyDescent="0.3">
      <c r="I22348" s="101"/>
    </row>
    <row r="22349" spans="9:9" x14ac:dyDescent="0.3">
      <c r="I22349" s="101"/>
    </row>
    <row r="22350" spans="9:9" x14ac:dyDescent="0.3">
      <c r="I22350" s="101"/>
    </row>
    <row r="22351" spans="9:9" x14ac:dyDescent="0.3">
      <c r="I22351" s="101"/>
    </row>
    <row r="22352" spans="9:9" x14ac:dyDescent="0.3">
      <c r="I22352" s="101"/>
    </row>
    <row r="22353" spans="9:9" x14ac:dyDescent="0.3">
      <c r="I22353" s="101"/>
    </row>
    <row r="22354" spans="9:9" x14ac:dyDescent="0.3">
      <c r="I22354" s="101"/>
    </row>
    <row r="22355" spans="9:9" x14ac:dyDescent="0.3">
      <c r="I22355" s="101"/>
    </row>
    <row r="22356" spans="9:9" x14ac:dyDescent="0.3">
      <c r="I22356" s="101"/>
    </row>
    <row r="22357" spans="9:9" x14ac:dyDescent="0.3">
      <c r="I22357" s="101"/>
    </row>
    <row r="22358" spans="9:9" x14ac:dyDescent="0.3">
      <c r="I22358" s="101"/>
    </row>
    <row r="22359" spans="9:9" x14ac:dyDescent="0.3">
      <c r="I22359" s="101"/>
    </row>
    <row r="22360" spans="9:9" x14ac:dyDescent="0.3">
      <c r="I22360" s="101"/>
    </row>
    <row r="22361" spans="9:9" x14ac:dyDescent="0.3">
      <c r="I22361" s="101"/>
    </row>
    <row r="22362" spans="9:9" x14ac:dyDescent="0.3">
      <c r="I22362" s="101"/>
    </row>
    <row r="22363" spans="9:9" x14ac:dyDescent="0.3">
      <c r="I22363" s="101"/>
    </row>
    <row r="22364" spans="9:9" x14ac:dyDescent="0.3">
      <c r="I22364" s="101"/>
    </row>
    <row r="22365" spans="9:9" x14ac:dyDescent="0.3">
      <c r="I22365" s="101"/>
    </row>
    <row r="22366" spans="9:9" x14ac:dyDescent="0.3">
      <c r="I22366" s="101"/>
    </row>
    <row r="22367" spans="9:9" x14ac:dyDescent="0.3">
      <c r="I22367" s="101"/>
    </row>
    <row r="22368" spans="9:9" x14ac:dyDescent="0.3">
      <c r="I22368" s="101"/>
    </row>
    <row r="22369" spans="9:9" x14ac:dyDescent="0.3">
      <c r="I22369" s="101"/>
    </row>
    <row r="22370" spans="9:9" x14ac:dyDescent="0.3">
      <c r="I22370" s="101"/>
    </row>
    <row r="22371" spans="9:9" x14ac:dyDescent="0.3">
      <c r="I22371" s="101"/>
    </row>
    <row r="22372" spans="9:9" x14ac:dyDescent="0.3">
      <c r="I22372" s="101"/>
    </row>
    <row r="22373" spans="9:9" x14ac:dyDescent="0.3">
      <c r="I22373" s="101"/>
    </row>
    <row r="22374" spans="9:9" x14ac:dyDescent="0.3">
      <c r="I22374" s="101"/>
    </row>
    <row r="22375" spans="9:9" x14ac:dyDescent="0.3">
      <c r="I22375" s="101"/>
    </row>
    <row r="22376" spans="9:9" x14ac:dyDescent="0.3">
      <c r="I22376" s="101"/>
    </row>
    <row r="22377" spans="9:9" x14ac:dyDescent="0.3">
      <c r="I22377" s="101"/>
    </row>
    <row r="22378" spans="9:9" x14ac:dyDescent="0.3">
      <c r="I22378" s="101"/>
    </row>
    <row r="22379" spans="9:9" x14ac:dyDescent="0.3">
      <c r="I22379" s="101"/>
    </row>
    <row r="22380" spans="9:9" x14ac:dyDescent="0.3">
      <c r="I22380" s="101"/>
    </row>
    <row r="22381" spans="9:9" x14ac:dyDescent="0.3">
      <c r="I22381" s="101"/>
    </row>
    <row r="22382" spans="9:9" x14ac:dyDescent="0.3">
      <c r="I22382" s="101"/>
    </row>
    <row r="22383" spans="9:9" x14ac:dyDescent="0.3">
      <c r="I22383" s="101"/>
    </row>
    <row r="22384" spans="9:9" x14ac:dyDescent="0.3">
      <c r="I22384" s="101"/>
    </row>
    <row r="22385" spans="9:9" x14ac:dyDescent="0.3">
      <c r="I22385" s="101"/>
    </row>
    <row r="22386" spans="9:9" x14ac:dyDescent="0.3">
      <c r="I22386" s="101"/>
    </row>
    <row r="22387" spans="9:9" x14ac:dyDescent="0.3">
      <c r="I22387" s="101"/>
    </row>
    <row r="22388" spans="9:9" x14ac:dyDescent="0.3">
      <c r="I22388" s="101"/>
    </row>
    <row r="22389" spans="9:9" x14ac:dyDescent="0.3">
      <c r="I22389" s="101"/>
    </row>
    <row r="22390" spans="9:9" x14ac:dyDescent="0.3">
      <c r="I22390" s="101"/>
    </row>
    <row r="22391" spans="9:9" x14ac:dyDescent="0.3">
      <c r="I22391" s="101"/>
    </row>
    <row r="22392" spans="9:9" x14ac:dyDescent="0.3">
      <c r="I22392" s="101"/>
    </row>
    <row r="22393" spans="9:9" x14ac:dyDescent="0.3">
      <c r="I22393" s="101"/>
    </row>
    <row r="22394" spans="9:9" x14ac:dyDescent="0.3">
      <c r="I22394" s="101"/>
    </row>
    <row r="22395" spans="9:9" x14ac:dyDescent="0.3">
      <c r="I22395" s="101"/>
    </row>
    <row r="22396" spans="9:9" x14ac:dyDescent="0.3">
      <c r="I22396" s="101"/>
    </row>
    <row r="22397" spans="9:9" x14ac:dyDescent="0.3">
      <c r="I22397" s="101"/>
    </row>
    <row r="22398" spans="9:9" x14ac:dyDescent="0.3">
      <c r="I22398" s="101"/>
    </row>
    <row r="22399" spans="9:9" x14ac:dyDescent="0.3">
      <c r="I22399" s="101"/>
    </row>
    <row r="22400" spans="9:9" x14ac:dyDescent="0.3">
      <c r="I22400" s="101"/>
    </row>
    <row r="22401" spans="9:9" x14ac:dyDescent="0.3">
      <c r="I22401" s="101"/>
    </row>
    <row r="22402" spans="9:9" x14ac:dyDescent="0.3">
      <c r="I22402" s="101"/>
    </row>
    <row r="22403" spans="9:9" x14ac:dyDescent="0.3">
      <c r="I22403" s="101"/>
    </row>
    <row r="22404" spans="9:9" x14ac:dyDescent="0.3">
      <c r="I22404" s="101"/>
    </row>
    <row r="22405" spans="9:9" x14ac:dyDescent="0.3">
      <c r="I22405" s="101"/>
    </row>
    <row r="22406" spans="9:9" x14ac:dyDescent="0.3">
      <c r="I22406" s="101"/>
    </row>
    <row r="22407" spans="9:9" x14ac:dyDescent="0.3">
      <c r="I22407" s="101"/>
    </row>
    <row r="22408" spans="9:9" x14ac:dyDescent="0.3">
      <c r="I22408" s="101"/>
    </row>
    <row r="22409" spans="9:9" x14ac:dyDescent="0.3">
      <c r="I22409" s="101"/>
    </row>
    <row r="22410" spans="9:9" x14ac:dyDescent="0.3">
      <c r="I22410" s="101"/>
    </row>
    <row r="22411" spans="9:9" x14ac:dyDescent="0.3">
      <c r="I22411" s="101"/>
    </row>
    <row r="22412" spans="9:9" x14ac:dyDescent="0.3">
      <c r="I22412" s="101"/>
    </row>
    <row r="22413" spans="9:9" x14ac:dyDescent="0.3">
      <c r="I22413" s="101"/>
    </row>
    <row r="22414" spans="9:9" x14ac:dyDescent="0.3">
      <c r="I22414" s="101"/>
    </row>
    <row r="22415" spans="9:9" x14ac:dyDescent="0.3">
      <c r="I22415" s="101"/>
    </row>
    <row r="22416" spans="9:9" x14ac:dyDescent="0.3">
      <c r="I22416" s="101"/>
    </row>
    <row r="22417" spans="9:9" x14ac:dyDescent="0.3">
      <c r="I22417" s="101"/>
    </row>
    <row r="22418" spans="9:9" x14ac:dyDescent="0.3">
      <c r="I22418" s="101"/>
    </row>
    <row r="22419" spans="9:9" x14ac:dyDescent="0.3">
      <c r="I22419" s="101"/>
    </row>
    <row r="22420" spans="9:9" x14ac:dyDescent="0.3">
      <c r="I22420" s="101"/>
    </row>
    <row r="22421" spans="9:9" x14ac:dyDescent="0.3">
      <c r="I22421" s="101"/>
    </row>
    <row r="22422" spans="9:9" x14ac:dyDescent="0.3">
      <c r="I22422" s="101"/>
    </row>
    <row r="22423" spans="9:9" x14ac:dyDescent="0.3">
      <c r="I22423" s="101"/>
    </row>
    <row r="22424" spans="9:9" x14ac:dyDescent="0.3">
      <c r="I22424" s="101"/>
    </row>
    <row r="22425" spans="9:9" x14ac:dyDescent="0.3">
      <c r="I22425" s="101"/>
    </row>
    <row r="22426" spans="9:9" x14ac:dyDescent="0.3">
      <c r="I22426" s="101"/>
    </row>
    <row r="22427" spans="9:9" x14ac:dyDescent="0.3">
      <c r="I22427" s="101"/>
    </row>
    <row r="22428" spans="9:9" x14ac:dyDescent="0.3">
      <c r="I22428" s="101"/>
    </row>
    <row r="22429" spans="9:9" x14ac:dyDescent="0.3">
      <c r="I22429" s="101"/>
    </row>
    <row r="22430" spans="9:9" x14ac:dyDescent="0.3">
      <c r="I22430" s="101"/>
    </row>
    <row r="22431" spans="9:9" x14ac:dyDescent="0.3">
      <c r="I22431" s="101"/>
    </row>
    <row r="22432" spans="9:9" x14ac:dyDescent="0.3">
      <c r="I22432" s="101"/>
    </row>
    <row r="22433" spans="9:9" x14ac:dyDescent="0.3">
      <c r="I22433" s="101"/>
    </row>
    <row r="22434" spans="9:9" x14ac:dyDescent="0.3">
      <c r="I22434" s="101"/>
    </row>
    <row r="22435" spans="9:9" x14ac:dyDescent="0.3">
      <c r="I22435" s="101"/>
    </row>
    <row r="22436" spans="9:9" x14ac:dyDescent="0.3">
      <c r="I22436" s="101"/>
    </row>
    <row r="22437" spans="9:9" x14ac:dyDescent="0.3">
      <c r="I22437" s="101"/>
    </row>
    <row r="22438" spans="9:9" x14ac:dyDescent="0.3">
      <c r="I22438" s="101"/>
    </row>
    <row r="22439" spans="9:9" x14ac:dyDescent="0.3">
      <c r="I22439" s="101"/>
    </row>
    <row r="22440" spans="9:9" x14ac:dyDescent="0.3">
      <c r="I22440" s="101"/>
    </row>
    <row r="22441" spans="9:9" x14ac:dyDescent="0.3">
      <c r="I22441" s="101"/>
    </row>
    <row r="22442" spans="9:9" x14ac:dyDescent="0.3">
      <c r="I22442" s="101"/>
    </row>
    <row r="22443" spans="9:9" x14ac:dyDescent="0.3">
      <c r="I22443" s="101"/>
    </row>
    <row r="22444" spans="9:9" x14ac:dyDescent="0.3">
      <c r="I22444" s="101"/>
    </row>
    <row r="22445" spans="9:9" x14ac:dyDescent="0.3">
      <c r="I22445" s="101"/>
    </row>
    <row r="22446" spans="9:9" x14ac:dyDescent="0.3">
      <c r="I22446" s="101"/>
    </row>
    <row r="22447" spans="9:9" x14ac:dyDescent="0.3">
      <c r="I22447" s="101"/>
    </row>
    <row r="22448" spans="9:9" x14ac:dyDescent="0.3">
      <c r="I22448" s="101"/>
    </row>
    <row r="22449" spans="9:9" x14ac:dyDescent="0.3">
      <c r="I22449" s="101"/>
    </row>
    <row r="22450" spans="9:9" x14ac:dyDescent="0.3">
      <c r="I22450" s="101"/>
    </row>
    <row r="22451" spans="9:9" x14ac:dyDescent="0.3">
      <c r="I22451" s="101"/>
    </row>
    <row r="22452" spans="9:9" x14ac:dyDescent="0.3">
      <c r="I22452" s="101"/>
    </row>
    <row r="22453" spans="9:9" x14ac:dyDescent="0.3">
      <c r="I22453" s="101"/>
    </row>
    <row r="22454" spans="9:9" x14ac:dyDescent="0.3">
      <c r="I22454" s="101"/>
    </row>
    <row r="22455" spans="9:9" x14ac:dyDescent="0.3">
      <c r="I22455" s="101"/>
    </row>
    <row r="22456" spans="9:9" x14ac:dyDescent="0.3">
      <c r="I22456" s="101"/>
    </row>
    <row r="22457" spans="9:9" x14ac:dyDescent="0.3">
      <c r="I22457" s="101"/>
    </row>
    <row r="22458" spans="9:9" x14ac:dyDescent="0.3">
      <c r="I22458" s="101"/>
    </row>
    <row r="22459" spans="9:9" x14ac:dyDescent="0.3">
      <c r="I22459" s="101"/>
    </row>
    <row r="22460" spans="9:9" x14ac:dyDescent="0.3">
      <c r="I22460" s="101"/>
    </row>
    <row r="22461" spans="9:9" x14ac:dyDescent="0.3">
      <c r="I22461" s="101"/>
    </row>
    <row r="22462" spans="9:9" x14ac:dyDescent="0.3">
      <c r="I22462" s="101"/>
    </row>
    <row r="22463" spans="9:9" x14ac:dyDescent="0.3">
      <c r="I22463" s="101"/>
    </row>
    <row r="22464" spans="9:9" x14ac:dyDescent="0.3">
      <c r="I22464" s="101"/>
    </row>
    <row r="22465" spans="9:9" x14ac:dyDescent="0.3">
      <c r="I22465" s="101"/>
    </row>
    <row r="22466" spans="9:9" x14ac:dyDescent="0.3">
      <c r="I22466" s="101"/>
    </row>
    <row r="22467" spans="9:9" x14ac:dyDescent="0.3">
      <c r="I22467" s="101"/>
    </row>
    <row r="22468" spans="9:9" x14ac:dyDescent="0.3">
      <c r="I22468" s="101"/>
    </row>
    <row r="22469" spans="9:9" x14ac:dyDescent="0.3">
      <c r="I22469" s="101"/>
    </row>
    <row r="22470" spans="9:9" x14ac:dyDescent="0.3">
      <c r="I22470" s="101"/>
    </row>
    <row r="22471" spans="9:9" x14ac:dyDescent="0.3">
      <c r="I22471" s="101"/>
    </row>
    <row r="22472" spans="9:9" x14ac:dyDescent="0.3">
      <c r="I22472" s="101"/>
    </row>
    <row r="22473" spans="9:9" x14ac:dyDescent="0.3">
      <c r="I22473" s="101"/>
    </row>
    <row r="22474" spans="9:9" x14ac:dyDescent="0.3">
      <c r="I22474" s="101"/>
    </row>
    <row r="22475" spans="9:9" x14ac:dyDescent="0.3">
      <c r="I22475" s="101"/>
    </row>
    <row r="22476" spans="9:9" x14ac:dyDescent="0.3">
      <c r="I22476" s="101"/>
    </row>
    <row r="22477" spans="9:9" x14ac:dyDescent="0.3">
      <c r="I22477" s="101"/>
    </row>
    <row r="22478" spans="9:9" x14ac:dyDescent="0.3">
      <c r="I22478" s="101"/>
    </row>
    <row r="22479" spans="9:9" x14ac:dyDescent="0.3">
      <c r="I22479" s="101"/>
    </row>
    <row r="22480" spans="9:9" x14ac:dyDescent="0.3">
      <c r="I22480" s="101"/>
    </row>
    <row r="22481" spans="9:9" x14ac:dyDescent="0.3">
      <c r="I22481" s="101"/>
    </row>
    <row r="22482" spans="9:9" x14ac:dyDescent="0.3">
      <c r="I22482" s="101"/>
    </row>
    <row r="22483" spans="9:9" x14ac:dyDescent="0.3">
      <c r="I22483" s="101"/>
    </row>
    <row r="22484" spans="9:9" x14ac:dyDescent="0.3">
      <c r="I22484" s="101"/>
    </row>
    <row r="22485" spans="9:9" x14ac:dyDescent="0.3">
      <c r="I22485" s="101"/>
    </row>
    <row r="22486" spans="9:9" x14ac:dyDescent="0.3">
      <c r="I22486" s="101"/>
    </row>
    <row r="22487" spans="9:9" x14ac:dyDescent="0.3">
      <c r="I22487" s="101"/>
    </row>
    <row r="22488" spans="9:9" x14ac:dyDescent="0.3">
      <c r="I22488" s="101"/>
    </row>
    <row r="22489" spans="9:9" x14ac:dyDescent="0.3">
      <c r="I22489" s="101"/>
    </row>
    <row r="22490" spans="9:9" x14ac:dyDescent="0.3">
      <c r="I22490" s="101"/>
    </row>
    <row r="22491" spans="9:9" x14ac:dyDescent="0.3">
      <c r="I22491" s="101"/>
    </row>
    <row r="22492" spans="9:9" x14ac:dyDescent="0.3">
      <c r="I22492" s="101"/>
    </row>
    <row r="22493" spans="9:9" x14ac:dyDescent="0.3">
      <c r="I22493" s="101"/>
    </row>
    <row r="22494" spans="9:9" x14ac:dyDescent="0.3">
      <c r="I22494" s="101"/>
    </row>
    <row r="22495" spans="9:9" x14ac:dyDescent="0.3">
      <c r="I22495" s="101"/>
    </row>
    <row r="22496" spans="9:9" x14ac:dyDescent="0.3">
      <c r="I22496" s="101"/>
    </row>
    <row r="22497" spans="9:9" x14ac:dyDescent="0.3">
      <c r="I22497" s="101"/>
    </row>
    <row r="22498" spans="9:9" x14ac:dyDescent="0.3">
      <c r="I22498" s="101"/>
    </row>
    <row r="22499" spans="9:9" x14ac:dyDescent="0.3">
      <c r="I22499" s="101"/>
    </row>
    <row r="22500" spans="9:9" x14ac:dyDescent="0.3">
      <c r="I22500" s="101"/>
    </row>
    <row r="22501" spans="9:9" x14ac:dyDescent="0.3">
      <c r="I22501" s="101"/>
    </row>
    <row r="22502" spans="9:9" x14ac:dyDescent="0.3">
      <c r="I22502" s="101"/>
    </row>
    <row r="22503" spans="9:9" x14ac:dyDescent="0.3">
      <c r="I22503" s="101"/>
    </row>
    <row r="22504" spans="9:9" x14ac:dyDescent="0.3">
      <c r="I22504" s="101"/>
    </row>
    <row r="22505" spans="9:9" x14ac:dyDescent="0.3">
      <c r="I22505" s="101"/>
    </row>
    <row r="22506" spans="9:9" x14ac:dyDescent="0.3">
      <c r="I22506" s="101"/>
    </row>
    <row r="22507" spans="9:9" x14ac:dyDescent="0.3">
      <c r="I22507" s="101"/>
    </row>
    <row r="22508" spans="9:9" x14ac:dyDescent="0.3">
      <c r="I22508" s="101"/>
    </row>
    <row r="22509" spans="9:9" x14ac:dyDescent="0.3">
      <c r="I22509" s="101"/>
    </row>
    <row r="22510" spans="9:9" x14ac:dyDescent="0.3">
      <c r="I22510" s="101"/>
    </row>
    <row r="22511" spans="9:9" x14ac:dyDescent="0.3">
      <c r="I22511" s="101"/>
    </row>
    <row r="22512" spans="9:9" x14ac:dyDescent="0.3">
      <c r="I22512" s="101"/>
    </row>
    <row r="22513" spans="9:9" x14ac:dyDescent="0.3">
      <c r="I22513" s="101"/>
    </row>
    <row r="22514" spans="9:9" x14ac:dyDescent="0.3">
      <c r="I22514" s="101"/>
    </row>
    <row r="22515" spans="9:9" x14ac:dyDescent="0.3">
      <c r="I22515" s="101"/>
    </row>
    <row r="22516" spans="9:9" x14ac:dyDescent="0.3">
      <c r="I22516" s="101"/>
    </row>
    <row r="22517" spans="9:9" x14ac:dyDescent="0.3">
      <c r="I22517" s="101"/>
    </row>
    <row r="22518" spans="9:9" x14ac:dyDescent="0.3">
      <c r="I22518" s="101"/>
    </row>
    <row r="22519" spans="9:9" x14ac:dyDescent="0.3">
      <c r="I22519" s="101"/>
    </row>
    <row r="22520" spans="9:9" x14ac:dyDescent="0.3">
      <c r="I22520" s="101"/>
    </row>
    <row r="22521" spans="9:9" x14ac:dyDescent="0.3">
      <c r="I22521" s="101"/>
    </row>
    <row r="22522" spans="9:9" x14ac:dyDescent="0.3">
      <c r="I22522" s="101"/>
    </row>
    <row r="22523" spans="9:9" x14ac:dyDescent="0.3">
      <c r="I22523" s="101"/>
    </row>
    <row r="22524" spans="9:9" x14ac:dyDescent="0.3">
      <c r="I22524" s="101"/>
    </row>
    <row r="22525" spans="9:9" x14ac:dyDescent="0.3">
      <c r="I22525" s="101"/>
    </row>
    <row r="22526" spans="9:9" x14ac:dyDescent="0.3">
      <c r="I22526" s="101"/>
    </row>
    <row r="22527" spans="9:9" x14ac:dyDescent="0.3">
      <c r="I22527" s="101"/>
    </row>
    <row r="22528" spans="9:9" x14ac:dyDescent="0.3">
      <c r="I22528" s="101"/>
    </row>
    <row r="22529" spans="9:9" x14ac:dyDescent="0.3">
      <c r="I22529" s="101"/>
    </row>
    <row r="22530" spans="9:9" x14ac:dyDescent="0.3">
      <c r="I22530" s="101"/>
    </row>
    <row r="22531" spans="9:9" x14ac:dyDescent="0.3">
      <c r="I22531" s="101"/>
    </row>
    <row r="22532" spans="9:9" x14ac:dyDescent="0.3">
      <c r="I22532" s="101"/>
    </row>
    <row r="22533" spans="9:9" x14ac:dyDescent="0.3">
      <c r="I22533" s="101"/>
    </row>
    <row r="22534" spans="9:9" x14ac:dyDescent="0.3">
      <c r="I22534" s="101"/>
    </row>
    <row r="22535" spans="9:9" x14ac:dyDescent="0.3">
      <c r="I22535" s="101"/>
    </row>
    <row r="22536" spans="9:9" x14ac:dyDescent="0.3">
      <c r="I22536" s="101"/>
    </row>
    <row r="22537" spans="9:9" x14ac:dyDescent="0.3">
      <c r="I22537" s="101"/>
    </row>
    <row r="22538" spans="9:9" x14ac:dyDescent="0.3">
      <c r="I22538" s="101"/>
    </row>
    <row r="22539" spans="9:9" x14ac:dyDescent="0.3">
      <c r="I22539" s="101"/>
    </row>
    <row r="22540" spans="9:9" x14ac:dyDescent="0.3">
      <c r="I22540" s="101"/>
    </row>
    <row r="22541" spans="9:9" x14ac:dyDescent="0.3">
      <c r="I22541" s="101"/>
    </row>
    <row r="22542" spans="9:9" x14ac:dyDescent="0.3">
      <c r="I22542" s="101"/>
    </row>
    <row r="22543" spans="9:9" x14ac:dyDescent="0.3">
      <c r="I22543" s="101"/>
    </row>
    <row r="22544" spans="9:9" x14ac:dyDescent="0.3">
      <c r="I22544" s="101"/>
    </row>
    <row r="22545" spans="9:9" x14ac:dyDescent="0.3">
      <c r="I22545" s="101"/>
    </row>
    <row r="22546" spans="9:9" x14ac:dyDescent="0.3">
      <c r="I22546" s="101"/>
    </row>
    <row r="22547" spans="9:9" x14ac:dyDescent="0.3">
      <c r="I22547" s="101"/>
    </row>
    <row r="22548" spans="9:9" x14ac:dyDescent="0.3">
      <c r="I22548" s="101"/>
    </row>
    <row r="22549" spans="9:9" x14ac:dyDescent="0.3">
      <c r="I22549" s="101"/>
    </row>
    <row r="22550" spans="9:9" x14ac:dyDescent="0.3">
      <c r="I22550" s="101"/>
    </row>
    <row r="22551" spans="9:9" x14ac:dyDescent="0.3">
      <c r="I22551" s="101"/>
    </row>
    <row r="22552" spans="9:9" x14ac:dyDescent="0.3">
      <c r="I22552" s="101"/>
    </row>
    <row r="22553" spans="9:9" x14ac:dyDescent="0.3">
      <c r="I22553" s="101"/>
    </row>
    <row r="22554" spans="9:9" x14ac:dyDescent="0.3">
      <c r="I22554" s="101"/>
    </row>
    <row r="22555" spans="9:9" x14ac:dyDescent="0.3">
      <c r="I22555" s="101"/>
    </row>
    <row r="22556" spans="9:9" x14ac:dyDescent="0.3">
      <c r="I22556" s="101"/>
    </row>
    <row r="22557" spans="9:9" x14ac:dyDescent="0.3">
      <c r="I22557" s="101"/>
    </row>
    <row r="22558" spans="9:9" x14ac:dyDescent="0.3">
      <c r="I22558" s="101"/>
    </row>
    <row r="22559" spans="9:9" x14ac:dyDescent="0.3">
      <c r="I22559" s="101"/>
    </row>
    <row r="22560" spans="9:9" x14ac:dyDescent="0.3">
      <c r="I22560" s="101"/>
    </row>
    <row r="22561" spans="9:9" x14ac:dyDescent="0.3">
      <c r="I22561" s="101"/>
    </row>
    <row r="22562" spans="9:9" x14ac:dyDescent="0.3">
      <c r="I22562" s="101"/>
    </row>
    <row r="22563" spans="9:9" x14ac:dyDescent="0.3">
      <c r="I22563" s="101"/>
    </row>
    <row r="22564" spans="9:9" x14ac:dyDescent="0.3">
      <c r="I22564" s="101"/>
    </row>
    <row r="22565" spans="9:9" x14ac:dyDescent="0.3">
      <c r="I22565" s="101"/>
    </row>
    <row r="22566" spans="9:9" x14ac:dyDescent="0.3">
      <c r="I22566" s="101"/>
    </row>
    <row r="22567" spans="9:9" x14ac:dyDescent="0.3">
      <c r="I22567" s="101"/>
    </row>
    <row r="22568" spans="9:9" x14ac:dyDescent="0.3">
      <c r="I22568" s="101"/>
    </row>
    <row r="22569" spans="9:9" x14ac:dyDescent="0.3">
      <c r="I22569" s="101"/>
    </row>
    <row r="22570" spans="9:9" x14ac:dyDescent="0.3">
      <c r="I22570" s="101"/>
    </row>
    <row r="22571" spans="9:9" x14ac:dyDescent="0.3">
      <c r="I22571" s="101"/>
    </row>
    <row r="22572" spans="9:9" x14ac:dyDescent="0.3">
      <c r="I22572" s="101"/>
    </row>
    <row r="22573" spans="9:9" x14ac:dyDescent="0.3">
      <c r="I22573" s="101"/>
    </row>
    <row r="22574" spans="9:9" x14ac:dyDescent="0.3">
      <c r="I22574" s="101"/>
    </row>
    <row r="22575" spans="9:9" x14ac:dyDescent="0.3">
      <c r="I22575" s="101"/>
    </row>
    <row r="22576" spans="9:9" x14ac:dyDescent="0.3">
      <c r="I22576" s="101"/>
    </row>
    <row r="22577" spans="9:9" x14ac:dyDescent="0.3">
      <c r="I22577" s="101"/>
    </row>
    <row r="22578" spans="9:9" x14ac:dyDescent="0.3">
      <c r="I22578" s="101"/>
    </row>
    <row r="22579" spans="9:9" x14ac:dyDescent="0.3">
      <c r="I22579" s="101"/>
    </row>
    <row r="22580" spans="9:9" x14ac:dyDescent="0.3">
      <c r="I22580" s="101"/>
    </row>
    <row r="22581" spans="9:9" x14ac:dyDescent="0.3">
      <c r="I22581" s="101"/>
    </row>
    <row r="22582" spans="9:9" x14ac:dyDescent="0.3">
      <c r="I22582" s="101"/>
    </row>
    <row r="22583" spans="9:9" x14ac:dyDescent="0.3">
      <c r="I22583" s="101"/>
    </row>
    <row r="22584" spans="9:9" x14ac:dyDescent="0.3">
      <c r="I22584" s="101"/>
    </row>
    <row r="22585" spans="9:9" x14ac:dyDescent="0.3">
      <c r="I22585" s="101"/>
    </row>
    <row r="22586" spans="9:9" x14ac:dyDescent="0.3">
      <c r="I22586" s="101"/>
    </row>
    <row r="22587" spans="9:9" x14ac:dyDescent="0.3">
      <c r="I22587" s="101"/>
    </row>
    <row r="22588" spans="9:9" x14ac:dyDescent="0.3">
      <c r="I22588" s="101"/>
    </row>
    <row r="22589" spans="9:9" x14ac:dyDescent="0.3">
      <c r="I22589" s="101"/>
    </row>
    <row r="22590" spans="9:9" x14ac:dyDescent="0.3">
      <c r="I22590" s="101"/>
    </row>
    <row r="22591" spans="9:9" x14ac:dyDescent="0.3">
      <c r="I22591" s="101"/>
    </row>
    <row r="22592" spans="9:9" x14ac:dyDescent="0.3">
      <c r="I22592" s="101"/>
    </row>
    <row r="22593" spans="9:9" x14ac:dyDescent="0.3">
      <c r="I22593" s="101"/>
    </row>
    <row r="22594" spans="9:9" x14ac:dyDescent="0.3">
      <c r="I22594" s="101"/>
    </row>
    <row r="22595" spans="9:9" x14ac:dyDescent="0.3">
      <c r="I22595" s="101"/>
    </row>
    <row r="22596" spans="9:9" x14ac:dyDescent="0.3">
      <c r="I22596" s="101"/>
    </row>
    <row r="22597" spans="9:9" x14ac:dyDescent="0.3">
      <c r="I22597" s="101"/>
    </row>
    <row r="22598" spans="9:9" x14ac:dyDescent="0.3">
      <c r="I22598" s="101"/>
    </row>
    <row r="22599" spans="9:9" x14ac:dyDescent="0.3">
      <c r="I22599" s="101"/>
    </row>
    <row r="22600" spans="9:9" x14ac:dyDescent="0.3">
      <c r="I22600" s="101"/>
    </row>
    <row r="22601" spans="9:9" x14ac:dyDescent="0.3">
      <c r="I22601" s="101"/>
    </row>
    <row r="22602" spans="9:9" x14ac:dyDescent="0.3">
      <c r="I22602" s="101"/>
    </row>
    <row r="22603" spans="9:9" x14ac:dyDescent="0.3">
      <c r="I22603" s="101"/>
    </row>
    <row r="22604" spans="9:9" x14ac:dyDescent="0.3">
      <c r="I22604" s="101"/>
    </row>
    <row r="22605" spans="9:9" x14ac:dyDescent="0.3">
      <c r="I22605" s="101"/>
    </row>
    <row r="22606" spans="9:9" x14ac:dyDescent="0.3">
      <c r="I22606" s="101"/>
    </row>
    <row r="22607" spans="9:9" x14ac:dyDescent="0.3">
      <c r="I22607" s="101"/>
    </row>
    <row r="22608" spans="9:9" x14ac:dyDescent="0.3">
      <c r="I22608" s="101"/>
    </row>
    <row r="22609" spans="9:9" x14ac:dyDescent="0.3">
      <c r="I22609" s="101"/>
    </row>
    <row r="22610" spans="9:9" x14ac:dyDescent="0.3">
      <c r="I22610" s="101"/>
    </row>
    <row r="22611" spans="9:9" x14ac:dyDescent="0.3">
      <c r="I22611" s="101"/>
    </row>
    <row r="22612" spans="9:9" x14ac:dyDescent="0.3">
      <c r="I22612" s="101"/>
    </row>
    <row r="22613" spans="9:9" x14ac:dyDescent="0.3">
      <c r="I22613" s="101"/>
    </row>
    <row r="22614" spans="9:9" x14ac:dyDescent="0.3">
      <c r="I22614" s="101"/>
    </row>
    <row r="22615" spans="9:9" x14ac:dyDescent="0.3">
      <c r="I22615" s="101"/>
    </row>
    <row r="22616" spans="9:9" x14ac:dyDescent="0.3">
      <c r="I22616" s="101"/>
    </row>
    <row r="22617" spans="9:9" x14ac:dyDescent="0.3">
      <c r="I22617" s="101"/>
    </row>
    <row r="22618" spans="9:9" x14ac:dyDescent="0.3">
      <c r="I22618" s="101"/>
    </row>
    <row r="22619" spans="9:9" x14ac:dyDescent="0.3">
      <c r="I22619" s="101"/>
    </row>
    <row r="22620" spans="9:9" x14ac:dyDescent="0.3">
      <c r="I22620" s="101"/>
    </row>
    <row r="22621" spans="9:9" x14ac:dyDescent="0.3">
      <c r="I22621" s="101"/>
    </row>
    <row r="22622" spans="9:9" x14ac:dyDescent="0.3">
      <c r="I22622" s="101"/>
    </row>
    <row r="22623" spans="9:9" x14ac:dyDescent="0.3">
      <c r="I22623" s="101"/>
    </row>
    <row r="22624" spans="9:9" x14ac:dyDescent="0.3">
      <c r="I22624" s="101"/>
    </row>
    <row r="22625" spans="9:9" x14ac:dyDescent="0.3">
      <c r="I22625" s="101"/>
    </row>
    <row r="22626" spans="9:9" x14ac:dyDescent="0.3">
      <c r="I22626" s="101"/>
    </row>
    <row r="22627" spans="9:9" x14ac:dyDescent="0.3">
      <c r="I22627" s="101"/>
    </row>
    <row r="22628" spans="9:9" x14ac:dyDescent="0.3">
      <c r="I22628" s="101"/>
    </row>
    <row r="22629" spans="9:9" x14ac:dyDescent="0.3">
      <c r="I22629" s="101"/>
    </row>
    <row r="22630" spans="9:9" x14ac:dyDescent="0.3">
      <c r="I22630" s="101"/>
    </row>
    <row r="22631" spans="9:9" x14ac:dyDescent="0.3">
      <c r="I22631" s="101"/>
    </row>
    <row r="22632" spans="9:9" x14ac:dyDescent="0.3">
      <c r="I22632" s="101"/>
    </row>
    <row r="22633" spans="9:9" x14ac:dyDescent="0.3">
      <c r="I22633" s="101"/>
    </row>
    <row r="22634" spans="9:9" x14ac:dyDescent="0.3">
      <c r="I22634" s="101"/>
    </row>
    <row r="22635" spans="9:9" x14ac:dyDescent="0.3">
      <c r="I22635" s="101"/>
    </row>
    <row r="22636" spans="9:9" x14ac:dyDescent="0.3">
      <c r="I22636" s="101"/>
    </row>
    <row r="22637" spans="9:9" x14ac:dyDescent="0.3">
      <c r="I22637" s="101"/>
    </row>
    <row r="22638" spans="9:9" x14ac:dyDescent="0.3">
      <c r="I22638" s="101"/>
    </row>
    <row r="22639" spans="9:9" x14ac:dyDescent="0.3">
      <c r="I22639" s="101"/>
    </row>
    <row r="22640" spans="9:9" x14ac:dyDescent="0.3">
      <c r="I22640" s="101"/>
    </row>
    <row r="22641" spans="9:9" x14ac:dyDescent="0.3">
      <c r="I22641" s="101"/>
    </row>
    <row r="22642" spans="9:9" x14ac:dyDescent="0.3">
      <c r="I22642" s="101"/>
    </row>
    <row r="22643" spans="9:9" x14ac:dyDescent="0.3">
      <c r="I22643" s="101"/>
    </row>
    <row r="22644" spans="9:9" x14ac:dyDescent="0.3">
      <c r="I22644" s="101"/>
    </row>
    <row r="22645" spans="9:9" x14ac:dyDescent="0.3">
      <c r="I22645" s="101"/>
    </row>
    <row r="22646" spans="9:9" x14ac:dyDescent="0.3">
      <c r="I22646" s="101"/>
    </row>
    <row r="22647" spans="9:9" x14ac:dyDescent="0.3">
      <c r="I22647" s="101"/>
    </row>
    <row r="22648" spans="9:9" x14ac:dyDescent="0.3">
      <c r="I22648" s="101"/>
    </row>
    <row r="22649" spans="9:9" x14ac:dyDescent="0.3">
      <c r="I22649" s="101"/>
    </row>
    <row r="22650" spans="9:9" x14ac:dyDescent="0.3">
      <c r="I22650" s="101"/>
    </row>
    <row r="22651" spans="9:9" x14ac:dyDescent="0.3">
      <c r="I22651" s="101"/>
    </row>
    <row r="22652" spans="9:9" x14ac:dyDescent="0.3">
      <c r="I22652" s="101"/>
    </row>
    <row r="22653" spans="9:9" x14ac:dyDescent="0.3">
      <c r="I22653" s="101"/>
    </row>
    <row r="22654" spans="9:9" x14ac:dyDescent="0.3">
      <c r="I22654" s="101"/>
    </row>
    <row r="22655" spans="9:9" x14ac:dyDescent="0.3">
      <c r="I22655" s="101"/>
    </row>
    <row r="22656" spans="9:9" x14ac:dyDescent="0.3">
      <c r="I22656" s="101"/>
    </row>
    <row r="22657" spans="9:9" x14ac:dyDescent="0.3">
      <c r="I22657" s="101"/>
    </row>
    <row r="22658" spans="9:9" x14ac:dyDescent="0.3">
      <c r="I22658" s="101"/>
    </row>
    <row r="22659" spans="9:9" x14ac:dyDescent="0.3">
      <c r="I22659" s="101"/>
    </row>
    <row r="22660" spans="9:9" x14ac:dyDescent="0.3">
      <c r="I22660" s="101"/>
    </row>
    <row r="22661" spans="9:9" x14ac:dyDescent="0.3">
      <c r="I22661" s="101"/>
    </row>
    <row r="22662" spans="9:9" x14ac:dyDescent="0.3">
      <c r="I22662" s="101"/>
    </row>
    <row r="22663" spans="9:9" x14ac:dyDescent="0.3">
      <c r="I22663" s="101"/>
    </row>
    <row r="22664" spans="9:9" x14ac:dyDescent="0.3">
      <c r="I22664" s="101"/>
    </row>
    <row r="22665" spans="9:9" x14ac:dyDescent="0.3">
      <c r="I22665" s="101"/>
    </row>
    <row r="22666" spans="9:9" x14ac:dyDescent="0.3">
      <c r="I22666" s="101"/>
    </row>
    <row r="22667" spans="9:9" x14ac:dyDescent="0.3">
      <c r="I22667" s="101"/>
    </row>
    <row r="22668" spans="9:9" x14ac:dyDescent="0.3">
      <c r="I22668" s="101"/>
    </row>
    <row r="22669" spans="9:9" x14ac:dyDescent="0.3">
      <c r="I22669" s="101"/>
    </row>
    <row r="22670" spans="9:9" x14ac:dyDescent="0.3">
      <c r="I22670" s="101"/>
    </row>
    <row r="22671" spans="9:9" x14ac:dyDescent="0.3">
      <c r="I22671" s="101"/>
    </row>
    <row r="22672" spans="9:9" x14ac:dyDescent="0.3">
      <c r="I22672" s="101"/>
    </row>
    <row r="22673" spans="9:9" x14ac:dyDescent="0.3">
      <c r="I22673" s="101"/>
    </row>
    <row r="22674" spans="9:9" x14ac:dyDescent="0.3">
      <c r="I22674" s="101"/>
    </row>
    <row r="22675" spans="9:9" x14ac:dyDescent="0.3">
      <c r="I22675" s="101"/>
    </row>
    <row r="22676" spans="9:9" x14ac:dyDescent="0.3">
      <c r="I22676" s="101"/>
    </row>
    <row r="22677" spans="9:9" x14ac:dyDescent="0.3">
      <c r="I22677" s="101"/>
    </row>
    <row r="22678" spans="9:9" x14ac:dyDescent="0.3">
      <c r="I22678" s="101"/>
    </row>
    <row r="22679" spans="9:9" x14ac:dyDescent="0.3">
      <c r="I22679" s="101"/>
    </row>
    <row r="22680" spans="9:9" x14ac:dyDescent="0.3">
      <c r="I22680" s="101"/>
    </row>
    <row r="22681" spans="9:9" x14ac:dyDescent="0.3">
      <c r="I22681" s="101"/>
    </row>
    <row r="22682" spans="9:9" x14ac:dyDescent="0.3">
      <c r="I22682" s="101"/>
    </row>
    <row r="22683" spans="9:9" x14ac:dyDescent="0.3">
      <c r="I22683" s="101"/>
    </row>
    <row r="22684" spans="9:9" x14ac:dyDescent="0.3">
      <c r="I22684" s="101"/>
    </row>
    <row r="22685" spans="9:9" x14ac:dyDescent="0.3">
      <c r="I22685" s="101"/>
    </row>
    <row r="22686" spans="9:9" x14ac:dyDescent="0.3">
      <c r="I22686" s="101"/>
    </row>
    <row r="22687" spans="9:9" x14ac:dyDescent="0.3">
      <c r="I22687" s="101"/>
    </row>
    <row r="22688" spans="9:9" x14ac:dyDescent="0.3">
      <c r="I22688" s="101"/>
    </row>
    <row r="22689" spans="9:9" x14ac:dyDescent="0.3">
      <c r="I22689" s="101"/>
    </row>
    <row r="22690" spans="9:9" x14ac:dyDescent="0.3">
      <c r="I22690" s="101"/>
    </row>
    <row r="22691" spans="9:9" x14ac:dyDescent="0.3">
      <c r="I22691" s="101"/>
    </row>
    <row r="22692" spans="9:9" x14ac:dyDescent="0.3">
      <c r="I22692" s="101"/>
    </row>
    <row r="22693" spans="9:9" x14ac:dyDescent="0.3">
      <c r="I22693" s="101"/>
    </row>
    <row r="22694" spans="9:9" x14ac:dyDescent="0.3">
      <c r="I22694" s="101"/>
    </row>
    <row r="22695" spans="9:9" x14ac:dyDescent="0.3">
      <c r="I22695" s="101"/>
    </row>
    <row r="22696" spans="9:9" x14ac:dyDescent="0.3">
      <c r="I22696" s="101"/>
    </row>
    <row r="22697" spans="9:9" x14ac:dyDescent="0.3">
      <c r="I22697" s="101"/>
    </row>
    <row r="22698" spans="9:9" x14ac:dyDescent="0.3">
      <c r="I22698" s="101"/>
    </row>
    <row r="22699" spans="9:9" x14ac:dyDescent="0.3">
      <c r="I22699" s="101"/>
    </row>
    <row r="22700" spans="9:9" x14ac:dyDescent="0.3">
      <c r="I22700" s="101"/>
    </row>
    <row r="22701" spans="9:9" x14ac:dyDescent="0.3">
      <c r="I22701" s="101"/>
    </row>
    <row r="22702" spans="9:9" x14ac:dyDescent="0.3">
      <c r="I22702" s="101"/>
    </row>
    <row r="22703" spans="9:9" x14ac:dyDescent="0.3">
      <c r="I22703" s="101"/>
    </row>
    <row r="22704" spans="9:9" x14ac:dyDescent="0.3">
      <c r="I22704" s="101"/>
    </row>
    <row r="22705" spans="9:9" x14ac:dyDescent="0.3">
      <c r="I22705" s="101"/>
    </row>
    <row r="22706" spans="9:9" x14ac:dyDescent="0.3">
      <c r="I22706" s="101"/>
    </row>
    <row r="22707" spans="9:9" x14ac:dyDescent="0.3">
      <c r="I22707" s="101"/>
    </row>
    <row r="22708" spans="9:9" x14ac:dyDescent="0.3">
      <c r="I22708" s="101"/>
    </row>
    <row r="22709" spans="9:9" x14ac:dyDescent="0.3">
      <c r="I22709" s="101"/>
    </row>
    <row r="22710" spans="9:9" x14ac:dyDescent="0.3">
      <c r="I22710" s="101"/>
    </row>
    <row r="22711" spans="9:9" x14ac:dyDescent="0.3">
      <c r="I22711" s="101"/>
    </row>
    <row r="22712" spans="9:9" x14ac:dyDescent="0.3">
      <c r="I22712" s="101"/>
    </row>
    <row r="22713" spans="9:9" x14ac:dyDescent="0.3">
      <c r="I22713" s="101"/>
    </row>
    <row r="22714" spans="9:9" x14ac:dyDescent="0.3">
      <c r="I22714" s="101"/>
    </row>
    <row r="22715" spans="9:9" x14ac:dyDescent="0.3">
      <c r="I22715" s="101"/>
    </row>
    <row r="22716" spans="9:9" x14ac:dyDescent="0.3">
      <c r="I22716" s="101"/>
    </row>
    <row r="22717" spans="9:9" x14ac:dyDescent="0.3">
      <c r="I22717" s="101"/>
    </row>
    <row r="22718" spans="9:9" x14ac:dyDescent="0.3">
      <c r="I22718" s="101"/>
    </row>
    <row r="22719" spans="9:9" x14ac:dyDescent="0.3">
      <c r="I22719" s="101"/>
    </row>
    <row r="22720" spans="9:9" x14ac:dyDescent="0.3">
      <c r="I22720" s="101"/>
    </row>
    <row r="22721" spans="9:9" x14ac:dyDescent="0.3">
      <c r="I22721" s="101"/>
    </row>
    <row r="22722" spans="9:9" x14ac:dyDescent="0.3">
      <c r="I22722" s="101"/>
    </row>
    <row r="22723" spans="9:9" x14ac:dyDescent="0.3">
      <c r="I22723" s="101"/>
    </row>
    <row r="22724" spans="9:9" x14ac:dyDescent="0.3">
      <c r="I22724" s="101"/>
    </row>
    <row r="22725" spans="9:9" x14ac:dyDescent="0.3">
      <c r="I22725" s="101"/>
    </row>
    <row r="22726" spans="9:9" x14ac:dyDescent="0.3">
      <c r="I22726" s="101"/>
    </row>
    <row r="22727" spans="9:9" x14ac:dyDescent="0.3">
      <c r="I22727" s="101"/>
    </row>
    <row r="22728" spans="9:9" x14ac:dyDescent="0.3">
      <c r="I22728" s="101"/>
    </row>
    <row r="22729" spans="9:9" x14ac:dyDescent="0.3">
      <c r="I22729" s="101"/>
    </row>
    <row r="22730" spans="9:9" x14ac:dyDescent="0.3">
      <c r="I22730" s="101"/>
    </row>
    <row r="22731" spans="9:9" x14ac:dyDescent="0.3">
      <c r="I22731" s="101"/>
    </row>
    <row r="22732" spans="9:9" x14ac:dyDescent="0.3">
      <c r="I22732" s="101"/>
    </row>
    <row r="22733" spans="9:9" x14ac:dyDescent="0.3">
      <c r="I22733" s="101"/>
    </row>
    <row r="22734" spans="9:9" x14ac:dyDescent="0.3">
      <c r="I22734" s="101"/>
    </row>
    <row r="22735" spans="9:9" x14ac:dyDescent="0.3">
      <c r="I22735" s="101"/>
    </row>
    <row r="22736" spans="9:9" x14ac:dyDescent="0.3">
      <c r="I22736" s="101"/>
    </row>
    <row r="22737" spans="9:9" x14ac:dyDescent="0.3">
      <c r="I22737" s="101"/>
    </row>
    <row r="22738" spans="9:9" x14ac:dyDescent="0.3">
      <c r="I22738" s="101"/>
    </row>
    <row r="22739" spans="9:9" x14ac:dyDescent="0.3">
      <c r="I22739" s="101"/>
    </row>
    <row r="22740" spans="9:9" x14ac:dyDescent="0.3">
      <c r="I22740" s="101"/>
    </row>
    <row r="22741" spans="9:9" x14ac:dyDescent="0.3">
      <c r="I22741" s="101"/>
    </row>
    <row r="22742" spans="9:9" x14ac:dyDescent="0.3">
      <c r="I22742" s="101"/>
    </row>
    <row r="22743" spans="9:9" x14ac:dyDescent="0.3">
      <c r="I22743" s="101"/>
    </row>
    <row r="22744" spans="9:9" x14ac:dyDescent="0.3">
      <c r="I22744" s="101"/>
    </row>
    <row r="22745" spans="9:9" x14ac:dyDescent="0.3">
      <c r="I22745" s="101"/>
    </row>
    <row r="22746" spans="9:9" x14ac:dyDescent="0.3">
      <c r="I22746" s="101"/>
    </row>
    <row r="22747" spans="9:9" x14ac:dyDescent="0.3">
      <c r="I22747" s="101"/>
    </row>
    <row r="22748" spans="9:9" x14ac:dyDescent="0.3">
      <c r="I22748" s="101"/>
    </row>
    <row r="22749" spans="9:9" x14ac:dyDescent="0.3">
      <c r="I22749" s="101"/>
    </row>
    <row r="22750" spans="9:9" x14ac:dyDescent="0.3">
      <c r="I22750" s="101"/>
    </row>
    <row r="22751" spans="9:9" x14ac:dyDescent="0.3">
      <c r="I22751" s="101"/>
    </row>
    <row r="22752" spans="9:9" x14ac:dyDescent="0.3">
      <c r="I22752" s="101"/>
    </row>
    <row r="22753" spans="9:9" x14ac:dyDescent="0.3">
      <c r="I22753" s="101"/>
    </row>
    <row r="22754" spans="9:9" x14ac:dyDescent="0.3">
      <c r="I22754" s="101"/>
    </row>
    <row r="22755" spans="9:9" x14ac:dyDescent="0.3">
      <c r="I22755" s="101"/>
    </row>
    <row r="22756" spans="9:9" x14ac:dyDescent="0.3">
      <c r="I22756" s="101"/>
    </row>
    <row r="22757" spans="9:9" x14ac:dyDescent="0.3">
      <c r="I22757" s="101"/>
    </row>
    <row r="22758" spans="9:9" x14ac:dyDescent="0.3">
      <c r="I22758" s="101"/>
    </row>
    <row r="22759" spans="9:9" x14ac:dyDescent="0.3">
      <c r="I22759" s="101"/>
    </row>
    <row r="22760" spans="9:9" x14ac:dyDescent="0.3">
      <c r="I22760" s="101"/>
    </row>
    <row r="22761" spans="9:9" x14ac:dyDescent="0.3">
      <c r="I22761" s="101"/>
    </row>
    <row r="22762" spans="9:9" x14ac:dyDescent="0.3">
      <c r="I22762" s="101"/>
    </row>
    <row r="22763" spans="9:9" x14ac:dyDescent="0.3">
      <c r="I22763" s="101"/>
    </row>
    <row r="22764" spans="9:9" x14ac:dyDescent="0.3">
      <c r="I22764" s="101"/>
    </row>
    <row r="22765" spans="9:9" x14ac:dyDescent="0.3">
      <c r="I22765" s="101"/>
    </row>
    <row r="22766" spans="9:9" x14ac:dyDescent="0.3">
      <c r="I22766" s="101"/>
    </row>
    <row r="22767" spans="9:9" x14ac:dyDescent="0.3">
      <c r="I22767" s="101"/>
    </row>
    <row r="22768" spans="9:9" x14ac:dyDescent="0.3">
      <c r="I22768" s="101"/>
    </row>
    <row r="22769" spans="9:9" x14ac:dyDescent="0.3">
      <c r="I22769" s="101"/>
    </row>
    <row r="22770" spans="9:9" x14ac:dyDescent="0.3">
      <c r="I22770" s="101"/>
    </row>
    <row r="22771" spans="9:9" x14ac:dyDescent="0.3">
      <c r="I22771" s="101"/>
    </row>
    <row r="22772" spans="9:9" x14ac:dyDescent="0.3">
      <c r="I22772" s="101"/>
    </row>
    <row r="22773" spans="9:9" x14ac:dyDescent="0.3">
      <c r="I22773" s="101"/>
    </row>
    <row r="22774" spans="9:9" x14ac:dyDescent="0.3">
      <c r="I22774" s="101"/>
    </row>
    <row r="22775" spans="9:9" x14ac:dyDescent="0.3">
      <c r="I22775" s="101"/>
    </row>
    <row r="22776" spans="9:9" x14ac:dyDescent="0.3">
      <c r="I22776" s="101"/>
    </row>
    <row r="22777" spans="9:9" x14ac:dyDescent="0.3">
      <c r="I22777" s="101"/>
    </row>
    <row r="22778" spans="9:9" x14ac:dyDescent="0.3">
      <c r="I22778" s="101"/>
    </row>
    <row r="22779" spans="9:9" x14ac:dyDescent="0.3">
      <c r="I22779" s="101"/>
    </row>
    <row r="22780" spans="9:9" x14ac:dyDescent="0.3">
      <c r="I22780" s="101"/>
    </row>
    <row r="22781" spans="9:9" x14ac:dyDescent="0.3">
      <c r="I22781" s="101"/>
    </row>
    <row r="22782" spans="9:9" x14ac:dyDescent="0.3">
      <c r="I22782" s="101"/>
    </row>
    <row r="22783" spans="9:9" x14ac:dyDescent="0.3">
      <c r="I22783" s="101"/>
    </row>
    <row r="22784" spans="9:9" x14ac:dyDescent="0.3">
      <c r="I22784" s="101"/>
    </row>
    <row r="22785" spans="9:9" x14ac:dyDescent="0.3">
      <c r="I22785" s="101"/>
    </row>
    <row r="22786" spans="9:9" x14ac:dyDescent="0.3">
      <c r="I22786" s="101"/>
    </row>
    <row r="22787" spans="9:9" x14ac:dyDescent="0.3">
      <c r="I22787" s="101"/>
    </row>
    <row r="22788" spans="9:9" x14ac:dyDescent="0.3">
      <c r="I22788" s="101"/>
    </row>
    <row r="22789" spans="9:9" x14ac:dyDescent="0.3">
      <c r="I22789" s="101"/>
    </row>
    <row r="22790" spans="9:9" x14ac:dyDescent="0.3">
      <c r="I22790" s="101"/>
    </row>
    <row r="22791" spans="9:9" x14ac:dyDescent="0.3">
      <c r="I22791" s="101"/>
    </row>
    <row r="22792" spans="9:9" x14ac:dyDescent="0.3">
      <c r="I22792" s="101"/>
    </row>
    <row r="22793" spans="9:9" x14ac:dyDescent="0.3">
      <c r="I22793" s="101"/>
    </row>
    <row r="22794" spans="9:9" x14ac:dyDescent="0.3">
      <c r="I22794" s="101"/>
    </row>
    <row r="22795" spans="9:9" x14ac:dyDescent="0.3">
      <c r="I22795" s="101"/>
    </row>
    <row r="22796" spans="9:9" x14ac:dyDescent="0.3">
      <c r="I22796" s="101"/>
    </row>
    <row r="22797" spans="9:9" x14ac:dyDescent="0.3">
      <c r="I22797" s="101"/>
    </row>
    <row r="22798" spans="9:9" x14ac:dyDescent="0.3">
      <c r="I22798" s="101"/>
    </row>
    <row r="22799" spans="9:9" x14ac:dyDescent="0.3">
      <c r="I22799" s="101"/>
    </row>
    <row r="22800" spans="9:9" x14ac:dyDescent="0.3">
      <c r="I22800" s="101"/>
    </row>
    <row r="22801" spans="9:9" x14ac:dyDescent="0.3">
      <c r="I22801" s="101"/>
    </row>
    <row r="22802" spans="9:9" x14ac:dyDescent="0.3">
      <c r="I22802" s="101"/>
    </row>
    <row r="22803" spans="9:9" x14ac:dyDescent="0.3">
      <c r="I22803" s="101"/>
    </row>
    <row r="22804" spans="9:9" x14ac:dyDescent="0.3">
      <c r="I22804" s="101"/>
    </row>
    <row r="22805" spans="9:9" x14ac:dyDescent="0.3">
      <c r="I22805" s="101"/>
    </row>
    <row r="22806" spans="9:9" x14ac:dyDescent="0.3">
      <c r="I22806" s="101"/>
    </row>
    <row r="22807" spans="9:9" x14ac:dyDescent="0.3">
      <c r="I22807" s="101"/>
    </row>
    <row r="22808" spans="9:9" x14ac:dyDescent="0.3">
      <c r="I22808" s="101"/>
    </row>
    <row r="22809" spans="9:9" x14ac:dyDescent="0.3">
      <c r="I22809" s="101"/>
    </row>
    <row r="22810" spans="9:9" x14ac:dyDescent="0.3">
      <c r="I22810" s="101"/>
    </row>
    <row r="22811" spans="9:9" x14ac:dyDescent="0.3">
      <c r="I22811" s="101"/>
    </row>
    <row r="22812" spans="9:9" x14ac:dyDescent="0.3">
      <c r="I22812" s="101"/>
    </row>
    <row r="22813" spans="9:9" x14ac:dyDescent="0.3">
      <c r="I22813" s="101"/>
    </row>
    <row r="22814" spans="9:9" x14ac:dyDescent="0.3">
      <c r="I22814" s="101"/>
    </row>
    <row r="22815" spans="9:9" x14ac:dyDescent="0.3">
      <c r="I22815" s="101"/>
    </row>
    <row r="22816" spans="9:9" x14ac:dyDescent="0.3">
      <c r="I22816" s="101"/>
    </row>
    <row r="22817" spans="9:9" x14ac:dyDescent="0.3">
      <c r="I22817" s="101"/>
    </row>
    <row r="22818" spans="9:9" x14ac:dyDescent="0.3">
      <c r="I22818" s="101"/>
    </row>
    <row r="22819" spans="9:9" x14ac:dyDescent="0.3">
      <c r="I22819" s="101"/>
    </row>
    <row r="22820" spans="9:9" x14ac:dyDescent="0.3">
      <c r="I22820" s="101"/>
    </row>
    <row r="22821" spans="9:9" x14ac:dyDescent="0.3">
      <c r="I22821" s="101"/>
    </row>
    <row r="22822" spans="9:9" x14ac:dyDescent="0.3">
      <c r="I22822" s="101"/>
    </row>
    <row r="22823" spans="9:9" x14ac:dyDescent="0.3">
      <c r="I22823" s="101"/>
    </row>
    <row r="22824" spans="9:9" x14ac:dyDescent="0.3">
      <c r="I22824" s="101"/>
    </row>
    <row r="22825" spans="9:9" x14ac:dyDescent="0.3">
      <c r="I22825" s="101"/>
    </row>
    <row r="22826" spans="9:9" x14ac:dyDescent="0.3">
      <c r="I22826" s="101"/>
    </row>
    <row r="22827" spans="9:9" x14ac:dyDescent="0.3">
      <c r="I22827" s="101"/>
    </row>
    <row r="22828" spans="9:9" x14ac:dyDescent="0.3">
      <c r="I22828" s="101"/>
    </row>
    <row r="22829" spans="9:9" x14ac:dyDescent="0.3">
      <c r="I22829" s="101"/>
    </row>
    <row r="22830" spans="9:9" x14ac:dyDescent="0.3">
      <c r="I22830" s="101"/>
    </row>
    <row r="22831" spans="9:9" x14ac:dyDescent="0.3">
      <c r="I22831" s="101"/>
    </row>
    <row r="22832" spans="9:9" x14ac:dyDescent="0.3">
      <c r="I22832" s="101"/>
    </row>
    <row r="22833" spans="9:9" x14ac:dyDescent="0.3">
      <c r="I22833" s="101"/>
    </row>
    <row r="22834" spans="9:9" x14ac:dyDescent="0.3">
      <c r="I22834" s="101"/>
    </row>
    <row r="22835" spans="9:9" x14ac:dyDescent="0.3">
      <c r="I22835" s="101"/>
    </row>
    <row r="22836" spans="9:9" x14ac:dyDescent="0.3">
      <c r="I22836" s="101"/>
    </row>
    <row r="22837" spans="9:9" x14ac:dyDescent="0.3">
      <c r="I22837" s="101"/>
    </row>
    <row r="22838" spans="9:9" x14ac:dyDescent="0.3">
      <c r="I22838" s="101"/>
    </row>
    <row r="22839" spans="9:9" x14ac:dyDescent="0.3">
      <c r="I22839" s="101"/>
    </row>
    <row r="22840" spans="9:9" x14ac:dyDescent="0.3">
      <c r="I22840" s="101"/>
    </row>
    <row r="22841" spans="9:9" x14ac:dyDescent="0.3">
      <c r="I22841" s="101"/>
    </row>
    <row r="22842" spans="9:9" x14ac:dyDescent="0.3">
      <c r="I22842" s="101"/>
    </row>
    <row r="22843" spans="9:9" x14ac:dyDescent="0.3">
      <c r="I22843" s="101"/>
    </row>
    <row r="22844" spans="9:9" x14ac:dyDescent="0.3">
      <c r="I22844" s="101"/>
    </row>
    <row r="22845" spans="9:9" x14ac:dyDescent="0.3">
      <c r="I22845" s="101"/>
    </row>
    <row r="22846" spans="9:9" x14ac:dyDescent="0.3">
      <c r="I22846" s="101"/>
    </row>
    <row r="22847" spans="9:9" x14ac:dyDescent="0.3">
      <c r="I22847" s="101"/>
    </row>
    <row r="22848" spans="9:9" x14ac:dyDescent="0.3">
      <c r="I22848" s="101"/>
    </row>
    <row r="22849" spans="9:9" x14ac:dyDescent="0.3">
      <c r="I22849" s="101"/>
    </row>
    <row r="22850" spans="9:9" x14ac:dyDescent="0.3">
      <c r="I22850" s="101"/>
    </row>
    <row r="22851" spans="9:9" x14ac:dyDescent="0.3">
      <c r="I22851" s="101"/>
    </row>
    <row r="22852" spans="9:9" x14ac:dyDescent="0.3">
      <c r="I22852" s="101"/>
    </row>
    <row r="22853" spans="9:9" x14ac:dyDescent="0.3">
      <c r="I22853" s="101"/>
    </row>
    <row r="22854" spans="9:9" x14ac:dyDescent="0.3">
      <c r="I22854" s="101"/>
    </row>
    <row r="22855" spans="9:9" x14ac:dyDescent="0.3">
      <c r="I22855" s="101"/>
    </row>
    <row r="22856" spans="9:9" x14ac:dyDescent="0.3">
      <c r="I22856" s="101"/>
    </row>
    <row r="22857" spans="9:9" x14ac:dyDescent="0.3">
      <c r="I22857" s="101"/>
    </row>
    <row r="22858" spans="9:9" x14ac:dyDescent="0.3">
      <c r="I22858" s="101"/>
    </row>
    <row r="22859" spans="9:9" x14ac:dyDescent="0.3">
      <c r="I22859" s="101"/>
    </row>
    <row r="22860" spans="9:9" x14ac:dyDescent="0.3">
      <c r="I22860" s="101"/>
    </row>
    <row r="22861" spans="9:9" x14ac:dyDescent="0.3">
      <c r="I22861" s="101"/>
    </row>
    <row r="22862" spans="9:9" x14ac:dyDescent="0.3">
      <c r="I22862" s="101"/>
    </row>
    <row r="22863" spans="9:9" x14ac:dyDescent="0.3">
      <c r="I22863" s="101"/>
    </row>
    <row r="22864" spans="9:9" x14ac:dyDescent="0.3">
      <c r="I22864" s="101"/>
    </row>
    <row r="22865" spans="9:9" x14ac:dyDescent="0.3">
      <c r="I22865" s="101"/>
    </row>
    <row r="22866" spans="9:9" x14ac:dyDescent="0.3">
      <c r="I22866" s="101"/>
    </row>
    <row r="22867" spans="9:9" x14ac:dyDescent="0.3">
      <c r="I22867" s="101"/>
    </row>
    <row r="22868" spans="9:9" x14ac:dyDescent="0.3">
      <c r="I22868" s="101"/>
    </row>
    <row r="22869" spans="9:9" x14ac:dyDescent="0.3">
      <c r="I22869" s="101"/>
    </row>
    <row r="22870" spans="9:9" x14ac:dyDescent="0.3">
      <c r="I22870" s="101"/>
    </row>
    <row r="22871" spans="9:9" x14ac:dyDescent="0.3">
      <c r="I22871" s="101"/>
    </row>
    <row r="22872" spans="9:9" x14ac:dyDescent="0.3">
      <c r="I22872" s="101"/>
    </row>
    <row r="22873" spans="9:9" x14ac:dyDescent="0.3">
      <c r="I22873" s="101"/>
    </row>
    <row r="22874" spans="9:9" x14ac:dyDescent="0.3">
      <c r="I22874" s="101"/>
    </row>
    <row r="22875" spans="9:9" x14ac:dyDescent="0.3">
      <c r="I22875" s="101"/>
    </row>
    <row r="22876" spans="9:9" x14ac:dyDescent="0.3">
      <c r="I22876" s="101"/>
    </row>
    <row r="22877" spans="9:9" x14ac:dyDescent="0.3">
      <c r="I22877" s="101"/>
    </row>
    <row r="22878" spans="9:9" x14ac:dyDescent="0.3">
      <c r="I22878" s="101"/>
    </row>
    <row r="22879" spans="9:9" x14ac:dyDescent="0.3">
      <c r="I22879" s="101"/>
    </row>
    <row r="22880" spans="9:9" x14ac:dyDescent="0.3">
      <c r="I22880" s="101"/>
    </row>
    <row r="22881" spans="9:9" x14ac:dyDescent="0.3">
      <c r="I22881" s="101"/>
    </row>
    <row r="22882" spans="9:9" x14ac:dyDescent="0.3">
      <c r="I22882" s="101"/>
    </row>
    <row r="22883" spans="9:9" x14ac:dyDescent="0.3">
      <c r="I22883" s="101"/>
    </row>
    <row r="22884" spans="9:9" x14ac:dyDescent="0.3">
      <c r="I22884" s="101"/>
    </row>
    <row r="22885" spans="9:9" x14ac:dyDescent="0.3">
      <c r="I22885" s="101"/>
    </row>
    <row r="22886" spans="9:9" x14ac:dyDescent="0.3">
      <c r="I22886" s="101"/>
    </row>
    <row r="22887" spans="9:9" x14ac:dyDescent="0.3">
      <c r="I22887" s="101"/>
    </row>
    <row r="22888" spans="9:9" x14ac:dyDescent="0.3">
      <c r="I22888" s="101"/>
    </row>
    <row r="22889" spans="9:9" x14ac:dyDescent="0.3">
      <c r="I22889" s="101"/>
    </row>
    <row r="22890" spans="9:9" x14ac:dyDescent="0.3">
      <c r="I22890" s="101"/>
    </row>
    <row r="22891" spans="9:9" x14ac:dyDescent="0.3">
      <c r="I22891" s="101"/>
    </row>
    <row r="22892" spans="9:9" x14ac:dyDescent="0.3">
      <c r="I22892" s="101"/>
    </row>
    <row r="22893" spans="9:9" x14ac:dyDescent="0.3">
      <c r="I22893" s="101"/>
    </row>
    <row r="22894" spans="9:9" x14ac:dyDescent="0.3">
      <c r="I22894" s="101"/>
    </row>
    <row r="22895" spans="9:9" x14ac:dyDescent="0.3">
      <c r="I22895" s="101"/>
    </row>
    <row r="22896" spans="9:9" x14ac:dyDescent="0.3">
      <c r="I22896" s="101"/>
    </row>
    <row r="22897" spans="9:9" x14ac:dyDescent="0.3">
      <c r="I22897" s="101"/>
    </row>
    <row r="22898" spans="9:9" x14ac:dyDescent="0.3">
      <c r="I22898" s="101"/>
    </row>
    <row r="22899" spans="9:9" x14ac:dyDescent="0.3">
      <c r="I22899" s="101"/>
    </row>
    <row r="22900" spans="9:9" x14ac:dyDescent="0.3">
      <c r="I22900" s="101"/>
    </row>
    <row r="22901" spans="9:9" x14ac:dyDescent="0.3">
      <c r="I22901" s="101"/>
    </row>
    <row r="22902" spans="9:9" x14ac:dyDescent="0.3">
      <c r="I22902" s="101"/>
    </row>
    <row r="22903" spans="9:9" x14ac:dyDescent="0.3">
      <c r="I22903" s="101"/>
    </row>
    <row r="22904" spans="9:9" x14ac:dyDescent="0.3">
      <c r="I22904" s="101"/>
    </row>
    <row r="22905" spans="9:9" x14ac:dyDescent="0.3">
      <c r="I22905" s="101"/>
    </row>
    <row r="22906" spans="9:9" x14ac:dyDescent="0.3">
      <c r="I22906" s="101"/>
    </row>
    <row r="22907" spans="9:9" x14ac:dyDescent="0.3">
      <c r="I22907" s="101"/>
    </row>
    <row r="22908" spans="9:9" x14ac:dyDescent="0.3">
      <c r="I22908" s="101"/>
    </row>
    <row r="22909" spans="9:9" x14ac:dyDescent="0.3">
      <c r="I22909" s="101"/>
    </row>
    <row r="22910" spans="9:9" x14ac:dyDescent="0.3">
      <c r="I22910" s="101"/>
    </row>
    <row r="22911" spans="9:9" x14ac:dyDescent="0.3">
      <c r="I22911" s="101"/>
    </row>
    <row r="22912" spans="9:9" x14ac:dyDescent="0.3">
      <c r="I22912" s="101"/>
    </row>
    <row r="22913" spans="9:9" x14ac:dyDescent="0.3">
      <c r="I22913" s="101"/>
    </row>
    <row r="22914" spans="9:9" x14ac:dyDescent="0.3">
      <c r="I22914" s="101"/>
    </row>
    <row r="22915" spans="9:9" x14ac:dyDescent="0.3">
      <c r="I22915" s="101"/>
    </row>
    <row r="22916" spans="9:9" x14ac:dyDescent="0.3">
      <c r="I22916" s="101"/>
    </row>
    <row r="22917" spans="9:9" x14ac:dyDescent="0.3">
      <c r="I22917" s="101"/>
    </row>
    <row r="22918" spans="9:9" x14ac:dyDescent="0.3">
      <c r="I22918" s="101"/>
    </row>
    <row r="22919" spans="9:9" x14ac:dyDescent="0.3">
      <c r="I22919" s="101"/>
    </row>
    <row r="22920" spans="9:9" x14ac:dyDescent="0.3">
      <c r="I22920" s="101"/>
    </row>
    <row r="22921" spans="9:9" x14ac:dyDescent="0.3">
      <c r="I22921" s="101"/>
    </row>
    <row r="22922" spans="9:9" x14ac:dyDescent="0.3">
      <c r="I22922" s="101"/>
    </row>
    <row r="22923" spans="9:9" x14ac:dyDescent="0.3">
      <c r="I22923" s="101"/>
    </row>
    <row r="22924" spans="9:9" x14ac:dyDescent="0.3">
      <c r="I22924" s="101"/>
    </row>
    <row r="22925" spans="9:9" x14ac:dyDescent="0.3">
      <c r="I22925" s="101"/>
    </row>
    <row r="22926" spans="9:9" x14ac:dyDescent="0.3">
      <c r="I22926" s="101"/>
    </row>
    <row r="22927" spans="9:9" x14ac:dyDescent="0.3">
      <c r="I22927" s="101"/>
    </row>
    <row r="22928" spans="9:9" x14ac:dyDescent="0.3">
      <c r="I22928" s="101"/>
    </row>
    <row r="22929" spans="9:9" x14ac:dyDescent="0.3">
      <c r="I22929" s="101"/>
    </row>
    <row r="22930" spans="9:9" x14ac:dyDescent="0.3">
      <c r="I22930" s="101"/>
    </row>
    <row r="22931" spans="9:9" x14ac:dyDescent="0.3">
      <c r="I22931" s="101"/>
    </row>
    <row r="22932" spans="9:9" x14ac:dyDescent="0.3">
      <c r="I22932" s="101"/>
    </row>
    <row r="22933" spans="9:9" x14ac:dyDescent="0.3">
      <c r="I22933" s="101"/>
    </row>
    <row r="22934" spans="9:9" x14ac:dyDescent="0.3">
      <c r="I22934" s="101"/>
    </row>
    <row r="22935" spans="9:9" x14ac:dyDescent="0.3">
      <c r="I22935" s="101"/>
    </row>
    <row r="22936" spans="9:9" x14ac:dyDescent="0.3">
      <c r="I22936" s="101"/>
    </row>
    <row r="22937" spans="9:9" x14ac:dyDescent="0.3">
      <c r="I22937" s="101"/>
    </row>
    <row r="22938" spans="9:9" x14ac:dyDescent="0.3">
      <c r="I22938" s="101"/>
    </row>
    <row r="22939" spans="9:9" x14ac:dyDescent="0.3">
      <c r="I22939" s="101"/>
    </row>
    <row r="22940" spans="9:9" x14ac:dyDescent="0.3">
      <c r="I22940" s="101"/>
    </row>
    <row r="22941" spans="9:9" x14ac:dyDescent="0.3">
      <c r="I22941" s="101"/>
    </row>
    <row r="22942" spans="9:9" x14ac:dyDescent="0.3">
      <c r="I22942" s="101"/>
    </row>
    <row r="22943" spans="9:9" x14ac:dyDescent="0.3">
      <c r="I22943" s="101"/>
    </row>
    <row r="22944" spans="9:9" x14ac:dyDescent="0.3">
      <c r="I22944" s="101"/>
    </row>
    <row r="22945" spans="9:9" x14ac:dyDescent="0.3">
      <c r="I22945" s="101"/>
    </row>
    <row r="22946" spans="9:9" x14ac:dyDescent="0.3">
      <c r="I22946" s="101"/>
    </row>
    <row r="22947" spans="9:9" x14ac:dyDescent="0.3">
      <c r="I22947" s="101"/>
    </row>
    <row r="22948" spans="9:9" x14ac:dyDescent="0.3">
      <c r="I22948" s="101"/>
    </row>
    <row r="22949" spans="9:9" x14ac:dyDescent="0.3">
      <c r="I22949" s="101"/>
    </row>
    <row r="22950" spans="9:9" x14ac:dyDescent="0.3">
      <c r="I22950" s="101"/>
    </row>
    <row r="22951" spans="9:9" x14ac:dyDescent="0.3">
      <c r="I22951" s="101"/>
    </row>
    <row r="22952" spans="9:9" x14ac:dyDescent="0.3">
      <c r="I22952" s="101"/>
    </row>
    <row r="22953" spans="9:9" x14ac:dyDescent="0.3">
      <c r="I22953" s="101"/>
    </row>
    <row r="22954" spans="9:9" x14ac:dyDescent="0.3">
      <c r="I22954" s="101"/>
    </row>
    <row r="22955" spans="9:9" x14ac:dyDescent="0.3">
      <c r="I22955" s="101"/>
    </row>
    <row r="22956" spans="9:9" x14ac:dyDescent="0.3">
      <c r="I22956" s="101"/>
    </row>
    <row r="22957" spans="9:9" x14ac:dyDescent="0.3">
      <c r="I22957" s="101"/>
    </row>
    <row r="22958" spans="9:9" x14ac:dyDescent="0.3">
      <c r="I22958" s="101"/>
    </row>
    <row r="22959" spans="9:9" x14ac:dyDescent="0.3">
      <c r="I22959" s="101"/>
    </row>
    <row r="22960" spans="9:9" x14ac:dyDescent="0.3">
      <c r="I22960" s="101"/>
    </row>
    <row r="22961" spans="9:9" x14ac:dyDescent="0.3">
      <c r="I22961" s="101"/>
    </row>
    <row r="22962" spans="9:9" x14ac:dyDescent="0.3">
      <c r="I22962" s="101"/>
    </row>
    <row r="22963" spans="9:9" x14ac:dyDescent="0.3">
      <c r="I22963" s="101"/>
    </row>
    <row r="22964" spans="9:9" x14ac:dyDescent="0.3">
      <c r="I22964" s="101"/>
    </row>
    <row r="22965" spans="9:9" x14ac:dyDescent="0.3">
      <c r="I22965" s="101"/>
    </row>
    <row r="22966" spans="9:9" x14ac:dyDescent="0.3">
      <c r="I22966" s="101"/>
    </row>
    <row r="22967" spans="9:9" x14ac:dyDescent="0.3">
      <c r="I22967" s="101"/>
    </row>
    <row r="22968" spans="9:9" x14ac:dyDescent="0.3">
      <c r="I22968" s="101"/>
    </row>
    <row r="22969" spans="9:9" x14ac:dyDescent="0.3">
      <c r="I22969" s="101"/>
    </row>
    <row r="22970" spans="9:9" x14ac:dyDescent="0.3">
      <c r="I22970" s="101"/>
    </row>
    <row r="22971" spans="9:9" x14ac:dyDescent="0.3">
      <c r="I22971" s="101"/>
    </row>
    <row r="22972" spans="9:9" x14ac:dyDescent="0.3">
      <c r="I22972" s="101"/>
    </row>
    <row r="22973" spans="9:9" x14ac:dyDescent="0.3">
      <c r="I22973" s="101"/>
    </row>
    <row r="22974" spans="9:9" x14ac:dyDescent="0.3">
      <c r="I22974" s="101"/>
    </row>
    <row r="22975" spans="9:9" x14ac:dyDescent="0.3">
      <c r="I22975" s="101"/>
    </row>
    <row r="22976" spans="9:9" x14ac:dyDescent="0.3">
      <c r="I22976" s="101"/>
    </row>
    <row r="22977" spans="9:9" x14ac:dyDescent="0.3">
      <c r="I22977" s="101"/>
    </row>
    <row r="22978" spans="9:9" x14ac:dyDescent="0.3">
      <c r="I22978" s="101"/>
    </row>
    <row r="22979" spans="9:9" x14ac:dyDescent="0.3">
      <c r="I22979" s="101"/>
    </row>
    <row r="22980" spans="9:9" x14ac:dyDescent="0.3">
      <c r="I22980" s="101"/>
    </row>
    <row r="22981" spans="9:9" x14ac:dyDescent="0.3">
      <c r="I22981" s="101"/>
    </row>
    <row r="22982" spans="9:9" x14ac:dyDescent="0.3">
      <c r="I22982" s="101"/>
    </row>
    <row r="22983" spans="9:9" x14ac:dyDescent="0.3">
      <c r="I22983" s="101"/>
    </row>
    <row r="22984" spans="9:9" x14ac:dyDescent="0.3">
      <c r="I22984" s="101"/>
    </row>
    <row r="22985" spans="9:9" x14ac:dyDescent="0.3">
      <c r="I22985" s="101"/>
    </row>
    <row r="22986" spans="9:9" x14ac:dyDescent="0.3">
      <c r="I22986" s="101"/>
    </row>
    <row r="22987" spans="9:9" x14ac:dyDescent="0.3">
      <c r="I22987" s="101"/>
    </row>
    <row r="22988" spans="9:9" x14ac:dyDescent="0.3">
      <c r="I22988" s="101"/>
    </row>
    <row r="22989" spans="9:9" x14ac:dyDescent="0.3">
      <c r="I22989" s="101"/>
    </row>
    <row r="22990" spans="9:9" x14ac:dyDescent="0.3">
      <c r="I22990" s="101"/>
    </row>
    <row r="22991" spans="9:9" x14ac:dyDescent="0.3">
      <c r="I22991" s="101"/>
    </row>
    <row r="22992" spans="9:9" x14ac:dyDescent="0.3">
      <c r="I22992" s="101"/>
    </row>
    <row r="22993" spans="9:9" x14ac:dyDescent="0.3">
      <c r="I22993" s="101"/>
    </row>
    <row r="22994" spans="9:9" x14ac:dyDescent="0.3">
      <c r="I22994" s="101"/>
    </row>
    <row r="22995" spans="9:9" x14ac:dyDescent="0.3">
      <c r="I22995" s="101"/>
    </row>
    <row r="22996" spans="9:9" x14ac:dyDescent="0.3">
      <c r="I22996" s="101"/>
    </row>
    <row r="22997" spans="9:9" x14ac:dyDescent="0.3">
      <c r="I22997" s="101"/>
    </row>
    <row r="22998" spans="9:9" x14ac:dyDescent="0.3">
      <c r="I22998" s="101"/>
    </row>
    <row r="22999" spans="9:9" x14ac:dyDescent="0.3">
      <c r="I22999" s="101"/>
    </row>
    <row r="23000" spans="9:9" x14ac:dyDescent="0.3">
      <c r="I23000" s="101"/>
    </row>
    <row r="23001" spans="9:9" x14ac:dyDescent="0.3">
      <c r="I23001" s="101"/>
    </row>
    <row r="23002" spans="9:9" x14ac:dyDescent="0.3">
      <c r="I23002" s="101"/>
    </row>
    <row r="23003" spans="9:9" x14ac:dyDescent="0.3">
      <c r="I23003" s="101"/>
    </row>
    <row r="23004" spans="9:9" x14ac:dyDescent="0.3">
      <c r="I23004" s="101"/>
    </row>
    <row r="23005" spans="9:9" x14ac:dyDescent="0.3">
      <c r="I23005" s="101"/>
    </row>
    <row r="23006" spans="9:9" x14ac:dyDescent="0.3">
      <c r="I23006" s="101"/>
    </row>
    <row r="23007" spans="9:9" x14ac:dyDescent="0.3">
      <c r="I23007" s="101"/>
    </row>
    <row r="23008" spans="9:9" x14ac:dyDescent="0.3">
      <c r="I23008" s="101"/>
    </row>
    <row r="23009" spans="9:9" x14ac:dyDescent="0.3">
      <c r="I23009" s="101"/>
    </row>
    <row r="23010" spans="9:9" x14ac:dyDescent="0.3">
      <c r="I23010" s="101"/>
    </row>
    <row r="23011" spans="9:9" x14ac:dyDescent="0.3">
      <c r="I23011" s="101"/>
    </row>
    <row r="23012" spans="9:9" x14ac:dyDescent="0.3">
      <c r="I23012" s="101"/>
    </row>
    <row r="23013" spans="9:9" x14ac:dyDescent="0.3">
      <c r="I23013" s="101"/>
    </row>
    <row r="23014" spans="9:9" x14ac:dyDescent="0.3">
      <c r="I23014" s="101"/>
    </row>
    <row r="23015" spans="9:9" x14ac:dyDescent="0.3">
      <c r="I23015" s="101"/>
    </row>
    <row r="23016" spans="9:9" x14ac:dyDescent="0.3">
      <c r="I23016" s="101"/>
    </row>
    <row r="23017" spans="9:9" x14ac:dyDescent="0.3">
      <c r="I23017" s="101"/>
    </row>
    <row r="23018" spans="9:9" x14ac:dyDescent="0.3">
      <c r="I23018" s="101"/>
    </row>
    <row r="23019" spans="9:9" x14ac:dyDescent="0.3">
      <c r="I23019" s="101"/>
    </row>
    <row r="23020" spans="9:9" x14ac:dyDescent="0.3">
      <c r="I23020" s="101"/>
    </row>
    <row r="23021" spans="9:9" x14ac:dyDescent="0.3">
      <c r="I23021" s="101"/>
    </row>
    <row r="23022" spans="9:9" x14ac:dyDescent="0.3">
      <c r="I23022" s="101"/>
    </row>
    <row r="23023" spans="9:9" x14ac:dyDescent="0.3">
      <c r="I23023" s="101"/>
    </row>
    <row r="23024" spans="9:9" x14ac:dyDescent="0.3">
      <c r="I23024" s="101"/>
    </row>
    <row r="23025" spans="9:9" x14ac:dyDescent="0.3">
      <c r="I23025" s="101"/>
    </row>
    <row r="23026" spans="9:9" x14ac:dyDescent="0.3">
      <c r="I23026" s="101"/>
    </row>
    <row r="23027" spans="9:9" x14ac:dyDescent="0.3">
      <c r="I23027" s="101"/>
    </row>
    <row r="23028" spans="9:9" x14ac:dyDescent="0.3">
      <c r="I23028" s="101"/>
    </row>
    <row r="23029" spans="9:9" x14ac:dyDescent="0.3">
      <c r="I23029" s="101"/>
    </row>
    <row r="23030" spans="9:9" x14ac:dyDescent="0.3">
      <c r="I23030" s="101"/>
    </row>
    <row r="23031" spans="9:9" x14ac:dyDescent="0.3">
      <c r="I23031" s="101"/>
    </row>
    <row r="23032" spans="9:9" x14ac:dyDescent="0.3">
      <c r="I23032" s="101"/>
    </row>
    <row r="23033" spans="9:9" x14ac:dyDescent="0.3">
      <c r="I23033" s="101"/>
    </row>
    <row r="23034" spans="9:9" x14ac:dyDescent="0.3">
      <c r="I23034" s="101"/>
    </row>
    <row r="23035" spans="9:9" x14ac:dyDescent="0.3">
      <c r="I23035" s="101"/>
    </row>
    <row r="23036" spans="9:9" x14ac:dyDescent="0.3">
      <c r="I23036" s="101"/>
    </row>
    <row r="23037" spans="9:9" x14ac:dyDescent="0.3">
      <c r="I23037" s="101"/>
    </row>
    <row r="23038" spans="9:9" x14ac:dyDescent="0.3">
      <c r="I23038" s="101"/>
    </row>
    <row r="23039" spans="9:9" x14ac:dyDescent="0.3">
      <c r="I23039" s="101"/>
    </row>
    <row r="23040" spans="9:9" x14ac:dyDescent="0.3">
      <c r="I23040" s="101"/>
    </row>
    <row r="23041" spans="9:9" x14ac:dyDescent="0.3">
      <c r="I23041" s="101"/>
    </row>
    <row r="23042" spans="9:9" x14ac:dyDescent="0.3">
      <c r="I23042" s="101"/>
    </row>
    <row r="23043" spans="9:9" x14ac:dyDescent="0.3">
      <c r="I23043" s="101"/>
    </row>
    <row r="23044" spans="9:9" x14ac:dyDescent="0.3">
      <c r="I23044" s="101"/>
    </row>
    <row r="23045" spans="9:9" x14ac:dyDescent="0.3">
      <c r="I23045" s="101"/>
    </row>
    <row r="23046" spans="9:9" x14ac:dyDescent="0.3">
      <c r="I23046" s="101"/>
    </row>
    <row r="23047" spans="9:9" x14ac:dyDescent="0.3">
      <c r="I23047" s="101"/>
    </row>
    <row r="23048" spans="9:9" x14ac:dyDescent="0.3">
      <c r="I23048" s="101"/>
    </row>
    <row r="23049" spans="9:9" x14ac:dyDescent="0.3">
      <c r="I23049" s="101"/>
    </row>
    <row r="23050" spans="9:9" x14ac:dyDescent="0.3">
      <c r="I23050" s="101"/>
    </row>
    <row r="23051" spans="9:9" x14ac:dyDescent="0.3">
      <c r="I23051" s="101"/>
    </row>
    <row r="23052" spans="9:9" x14ac:dyDescent="0.3">
      <c r="I23052" s="101"/>
    </row>
    <row r="23053" spans="9:9" x14ac:dyDescent="0.3">
      <c r="I23053" s="101"/>
    </row>
    <row r="23054" spans="9:9" x14ac:dyDescent="0.3">
      <c r="I23054" s="101"/>
    </row>
    <row r="23055" spans="9:9" x14ac:dyDescent="0.3">
      <c r="I23055" s="101"/>
    </row>
    <row r="23056" spans="9:9" x14ac:dyDescent="0.3">
      <c r="I23056" s="101"/>
    </row>
    <row r="23057" spans="9:9" x14ac:dyDescent="0.3">
      <c r="I23057" s="101"/>
    </row>
    <row r="23058" spans="9:9" x14ac:dyDescent="0.3">
      <c r="I23058" s="101"/>
    </row>
    <row r="23059" spans="9:9" x14ac:dyDescent="0.3">
      <c r="I23059" s="101"/>
    </row>
    <row r="23060" spans="9:9" x14ac:dyDescent="0.3">
      <c r="I23060" s="101"/>
    </row>
    <row r="23061" spans="9:9" x14ac:dyDescent="0.3">
      <c r="I23061" s="101"/>
    </row>
    <row r="23062" spans="9:9" x14ac:dyDescent="0.3">
      <c r="I23062" s="101"/>
    </row>
    <row r="23063" spans="9:9" x14ac:dyDescent="0.3">
      <c r="I23063" s="101"/>
    </row>
    <row r="23064" spans="9:9" x14ac:dyDescent="0.3">
      <c r="I23064" s="101"/>
    </row>
    <row r="23065" spans="9:9" x14ac:dyDescent="0.3">
      <c r="I23065" s="101"/>
    </row>
    <row r="23066" spans="9:9" x14ac:dyDescent="0.3">
      <c r="I23066" s="101"/>
    </row>
    <row r="23067" spans="9:9" x14ac:dyDescent="0.3">
      <c r="I23067" s="101"/>
    </row>
    <row r="23068" spans="9:9" x14ac:dyDescent="0.3">
      <c r="I23068" s="101"/>
    </row>
    <row r="23069" spans="9:9" x14ac:dyDescent="0.3">
      <c r="I23069" s="101"/>
    </row>
    <row r="23070" spans="9:9" x14ac:dyDescent="0.3">
      <c r="I23070" s="101"/>
    </row>
    <row r="23071" spans="9:9" x14ac:dyDescent="0.3">
      <c r="I23071" s="101"/>
    </row>
    <row r="23072" spans="9:9" x14ac:dyDescent="0.3">
      <c r="I23072" s="101"/>
    </row>
    <row r="23073" spans="9:9" x14ac:dyDescent="0.3">
      <c r="I23073" s="101"/>
    </row>
    <row r="23074" spans="9:9" x14ac:dyDescent="0.3">
      <c r="I23074" s="101"/>
    </row>
    <row r="23075" spans="9:9" x14ac:dyDescent="0.3">
      <c r="I23075" s="101"/>
    </row>
    <row r="23076" spans="9:9" x14ac:dyDescent="0.3">
      <c r="I23076" s="101"/>
    </row>
    <row r="23077" spans="9:9" x14ac:dyDescent="0.3">
      <c r="I23077" s="101"/>
    </row>
    <row r="23078" spans="9:9" x14ac:dyDescent="0.3">
      <c r="I23078" s="101"/>
    </row>
    <row r="23079" spans="9:9" x14ac:dyDescent="0.3">
      <c r="I23079" s="101"/>
    </row>
    <row r="23080" spans="9:9" x14ac:dyDescent="0.3">
      <c r="I23080" s="101"/>
    </row>
    <row r="23081" spans="9:9" x14ac:dyDescent="0.3">
      <c r="I23081" s="101"/>
    </row>
    <row r="23082" spans="9:9" x14ac:dyDescent="0.3">
      <c r="I23082" s="101"/>
    </row>
    <row r="23083" spans="9:9" x14ac:dyDescent="0.3">
      <c r="I23083" s="101"/>
    </row>
    <row r="23084" spans="9:9" x14ac:dyDescent="0.3">
      <c r="I23084" s="101"/>
    </row>
    <row r="23085" spans="9:9" x14ac:dyDescent="0.3">
      <c r="I23085" s="101"/>
    </row>
    <row r="23086" spans="9:9" x14ac:dyDescent="0.3">
      <c r="I23086" s="101"/>
    </row>
    <row r="23087" spans="9:9" x14ac:dyDescent="0.3">
      <c r="I23087" s="101"/>
    </row>
    <row r="23088" spans="9:9" x14ac:dyDescent="0.3">
      <c r="I23088" s="101"/>
    </row>
    <row r="23089" spans="9:9" x14ac:dyDescent="0.3">
      <c r="I23089" s="101"/>
    </row>
    <row r="23090" spans="9:9" x14ac:dyDescent="0.3">
      <c r="I23090" s="101"/>
    </row>
    <row r="23091" spans="9:9" x14ac:dyDescent="0.3">
      <c r="I23091" s="101"/>
    </row>
    <row r="23092" spans="9:9" x14ac:dyDescent="0.3">
      <c r="I23092" s="101"/>
    </row>
    <row r="23093" spans="9:9" x14ac:dyDescent="0.3">
      <c r="I23093" s="101"/>
    </row>
    <row r="23094" spans="9:9" x14ac:dyDescent="0.3">
      <c r="I23094" s="101"/>
    </row>
    <row r="23095" spans="9:9" x14ac:dyDescent="0.3">
      <c r="I23095" s="101"/>
    </row>
    <row r="23096" spans="9:9" x14ac:dyDescent="0.3">
      <c r="I23096" s="101"/>
    </row>
    <row r="23097" spans="9:9" x14ac:dyDescent="0.3">
      <c r="I23097" s="101"/>
    </row>
    <row r="23098" spans="9:9" x14ac:dyDescent="0.3">
      <c r="I23098" s="101"/>
    </row>
    <row r="23099" spans="9:9" x14ac:dyDescent="0.3">
      <c r="I23099" s="101"/>
    </row>
    <row r="23100" spans="9:9" x14ac:dyDescent="0.3">
      <c r="I23100" s="101"/>
    </row>
    <row r="23101" spans="9:9" x14ac:dyDescent="0.3">
      <c r="I23101" s="101"/>
    </row>
    <row r="23102" spans="9:9" x14ac:dyDescent="0.3">
      <c r="I23102" s="101"/>
    </row>
    <row r="23103" spans="9:9" x14ac:dyDescent="0.3">
      <c r="I23103" s="101"/>
    </row>
    <row r="23104" spans="9:9" x14ac:dyDescent="0.3">
      <c r="I23104" s="101"/>
    </row>
    <row r="23105" spans="9:9" x14ac:dyDescent="0.3">
      <c r="I23105" s="101"/>
    </row>
    <row r="23106" spans="9:9" x14ac:dyDescent="0.3">
      <c r="I23106" s="101"/>
    </row>
    <row r="23107" spans="9:9" x14ac:dyDescent="0.3">
      <c r="I23107" s="101"/>
    </row>
    <row r="23108" spans="9:9" x14ac:dyDescent="0.3">
      <c r="I23108" s="101"/>
    </row>
    <row r="23109" spans="9:9" x14ac:dyDescent="0.3">
      <c r="I23109" s="101"/>
    </row>
    <row r="23110" spans="9:9" x14ac:dyDescent="0.3">
      <c r="I23110" s="101"/>
    </row>
    <row r="23111" spans="9:9" x14ac:dyDescent="0.3">
      <c r="I23111" s="101"/>
    </row>
    <row r="23112" spans="9:9" x14ac:dyDescent="0.3">
      <c r="I23112" s="101"/>
    </row>
    <row r="23113" spans="9:9" x14ac:dyDescent="0.3">
      <c r="I23113" s="101"/>
    </row>
    <row r="23114" spans="9:9" x14ac:dyDescent="0.3">
      <c r="I23114" s="101"/>
    </row>
    <row r="23115" spans="9:9" x14ac:dyDescent="0.3">
      <c r="I23115" s="101"/>
    </row>
    <row r="23116" spans="9:9" x14ac:dyDescent="0.3">
      <c r="I23116" s="101"/>
    </row>
    <row r="23117" spans="9:9" x14ac:dyDescent="0.3">
      <c r="I23117" s="101"/>
    </row>
    <row r="23118" spans="9:9" x14ac:dyDescent="0.3">
      <c r="I23118" s="101"/>
    </row>
    <row r="23119" spans="9:9" x14ac:dyDescent="0.3">
      <c r="I23119" s="101"/>
    </row>
    <row r="23120" spans="9:9" x14ac:dyDescent="0.3">
      <c r="I23120" s="101"/>
    </row>
    <row r="23121" spans="9:9" x14ac:dyDescent="0.3">
      <c r="I23121" s="101"/>
    </row>
    <row r="23122" spans="9:9" x14ac:dyDescent="0.3">
      <c r="I23122" s="101"/>
    </row>
    <row r="23123" spans="9:9" x14ac:dyDescent="0.3">
      <c r="I23123" s="101"/>
    </row>
    <row r="23124" spans="9:9" x14ac:dyDescent="0.3">
      <c r="I23124" s="101"/>
    </row>
    <row r="23125" spans="9:9" x14ac:dyDescent="0.3">
      <c r="I23125" s="101"/>
    </row>
    <row r="23126" spans="9:9" x14ac:dyDescent="0.3">
      <c r="I23126" s="101"/>
    </row>
    <row r="23127" spans="9:9" x14ac:dyDescent="0.3">
      <c r="I23127" s="101"/>
    </row>
    <row r="23128" spans="9:9" x14ac:dyDescent="0.3">
      <c r="I23128" s="101"/>
    </row>
    <row r="23129" spans="9:9" x14ac:dyDescent="0.3">
      <c r="I23129" s="101"/>
    </row>
    <row r="23130" spans="9:9" x14ac:dyDescent="0.3">
      <c r="I23130" s="101"/>
    </row>
    <row r="23131" spans="9:9" x14ac:dyDescent="0.3">
      <c r="I23131" s="101"/>
    </row>
    <row r="23132" spans="9:9" x14ac:dyDescent="0.3">
      <c r="I23132" s="101"/>
    </row>
    <row r="23133" spans="9:9" x14ac:dyDescent="0.3">
      <c r="I23133" s="101"/>
    </row>
    <row r="23134" spans="9:9" x14ac:dyDescent="0.3">
      <c r="I23134" s="101"/>
    </row>
    <row r="23135" spans="9:9" x14ac:dyDescent="0.3">
      <c r="I23135" s="101"/>
    </row>
    <row r="23136" spans="9:9" x14ac:dyDescent="0.3">
      <c r="I23136" s="101"/>
    </row>
    <row r="23137" spans="9:9" x14ac:dyDescent="0.3">
      <c r="I23137" s="101"/>
    </row>
    <row r="23138" spans="9:9" x14ac:dyDescent="0.3">
      <c r="I23138" s="101"/>
    </row>
    <row r="23139" spans="9:9" x14ac:dyDescent="0.3">
      <c r="I23139" s="101"/>
    </row>
    <row r="23140" spans="9:9" x14ac:dyDescent="0.3">
      <c r="I23140" s="101"/>
    </row>
    <row r="23141" spans="9:9" x14ac:dyDescent="0.3">
      <c r="I23141" s="101"/>
    </row>
    <row r="23142" spans="9:9" x14ac:dyDescent="0.3">
      <c r="I23142" s="101"/>
    </row>
    <row r="23143" spans="9:9" x14ac:dyDescent="0.3">
      <c r="I23143" s="101"/>
    </row>
    <row r="23144" spans="9:9" x14ac:dyDescent="0.3">
      <c r="I23144" s="101"/>
    </row>
    <row r="23145" spans="9:9" x14ac:dyDescent="0.3">
      <c r="I23145" s="101"/>
    </row>
    <row r="23146" spans="9:9" x14ac:dyDescent="0.3">
      <c r="I23146" s="101"/>
    </row>
    <row r="23147" spans="9:9" x14ac:dyDescent="0.3">
      <c r="I23147" s="101"/>
    </row>
    <row r="23148" spans="9:9" x14ac:dyDescent="0.3">
      <c r="I23148" s="101"/>
    </row>
    <row r="23149" spans="9:9" x14ac:dyDescent="0.3">
      <c r="I23149" s="101"/>
    </row>
    <row r="23150" spans="9:9" x14ac:dyDescent="0.3">
      <c r="I23150" s="101"/>
    </row>
    <row r="23151" spans="9:9" x14ac:dyDescent="0.3">
      <c r="I23151" s="101"/>
    </row>
    <row r="23152" spans="9:9" x14ac:dyDescent="0.3">
      <c r="I23152" s="101"/>
    </row>
    <row r="23153" spans="9:9" x14ac:dyDescent="0.3">
      <c r="I23153" s="101"/>
    </row>
    <row r="23154" spans="9:9" x14ac:dyDescent="0.3">
      <c r="I23154" s="101"/>
    </row>
    <row r="23155" spans="9:9" x14ac:dyDescent="0.3">
      <c r="I23155" s="101"/>
    </row>
    <row r="23156" spans="9:9" x14ac:dyDescent="0.3">
      <c r="I23156" s="101"/>
    </row>
    <row r="23157" spans="9:9" x14ac:dyDescent="0.3">
      <c r="I23157" s="101"/>
    </row>
    <row r="23158" spans="9:9" x14ac:dyDescent="0.3">
      <c r="I23158" s="101"/>
    </row>
    <row r="23159" spans="9:9" x14ac:dyDescent="0.3">
      <c r="I23159" s="101"/>
    </row>
    <row r="23160" spans="9:9" x14ac:dyDescent="0.3">
      <c r="I23160" s="101"/>
    </row>
    <row r="23161" spans="9:9" x14ac:dyDescent="0.3">
      <c r="I23161" s="101"/>
    </row>
    <row r="23162" spans="9:9" x14ac:dyDescent="0.3">
      <c r="I23162" s="101"/>
    </row>
    <row r="23163" spans="9:9" x14ac:dyDescent="0.3">
      <c r="I23163" s="101"/>
    </row>
    <row r="23164" spans="9:9" x14ac:dyDescent="0.3">
      <c r="I23164" s="101"/>
    </row>
    <row r="23165" spans="9:9" x14ac:dyDescent="0.3">
      <c r="I23165" s="101"/>
    </row>
    <row r="23166" spans="9:9" x14ac:dyDescent="0.3">
      <c r="I23166" s="101"/>
    </row>
    <row r="23167" spans="9:9" x14ac:dyDescent="0.3">
      <c r="I23167" s="101"/>
    </row>
    <row r="23168" spans="9:9" x14ac:dyDescent="0.3">
      <c r="I23168" s="101"/>
    </row>
    <row r="23169" spans="9:9" x14ac:dyDescent="0.3">
      <c r="I23169" s="101"/>
    </row>
    <row r="23170" spans="9:9" x14ac:dyDescent="0.3">
      <c r="I23170" s="101"/>
    </row>
    <row r="23171" spans="9:9" x14ac:dyDescent="0.3">
      <c r="I23171" s="101"/>
    </row>
    <row r="23172" spans="9:9" x14ac:dyDescent="0.3">
      <c r="I23172" s="101"/>
    </row>
    <row r="23173" spans="9:9" x14ac:dyDescent="0.3">
      <c r="I23173" s="101"/>
    </row>
    <row r="23174" spans="9:9" x14ac:dyDescent="0.3">
      <c r="I23174" s="101"/>
    </row>
    <row r="23175" spans="9:9" x14ac:dyDescent="0.3">
      <c r="I23175" s="101"/>
    </row>
    <row r="23176" spans="9:9" x14ac:dyDescent="0.3">
      <c r="I23176" s="101"/>
    </row>
    <row r="23177" spans="9:9" x14ac:dyDescent="0.3">
      <c r="I23177" s="101"/>
    </row>
    <row r="23178" spans="9:9" x14ac:dyDescent="0.3">
      <c r="I23178" s="101"/>
    </row>
    <row r="23179" spans="9:9" x14ac:dyDescent="0.3">
      <c r="I23179" s="101"/>
    </row>
    <row r="23180" spans="9:9" x14ac:dyDescent="0.3">
      <c r="I23180" s="101"/>
    </row>
    <row r="23181" spans="9:9" x14ac:dyDescent="0.3">
      <c r="I23181" s="101"/>
    </row>
    <row r="23182" spans="9:9" x14ac:dyDescent="0.3">
      <c r="I23182" s="101"/>
    </row>
    <row r="23183" spans="9:9" x14ac:dyDescent="0.3">
      <c r="I23183" s="101"/>
    </row>
    <row r="23184" spans="9:9" x14ac:dyDescent="0.3">
      <c r="I23184" s="101"/>
    </row>
    <row r="23185" spans="9:9" x14ac:dyDescent="0.3">
      <c r="I23185" s="101"/>
    </row>
    <row r="23186" spans="9:9" x14ac:dyDescent="0.3">
      <c r="I23186" s="101"/>
    </row>
    <row r="23187" spans="9:9" x14ac:dyDescent="0.3">
      <c r="I23187" s="101"/>
    </row>
    <row r="23188" spans="9:9" x14ac:dyDescent="0.3">
      <c r="I23188" s="101"/>
    </row>
    <row r="23189" spans="9:9" x14ac:dyDescent="0.3">
      <c r="I23189" s="101"/>
    </row>
    <row r="23190" spans="9:9" x14ac:dyDescent="0.3">
      <c r="I23190" s="101"/>
    </row>
    <row r="23191" spans="9:9" x14ac:dyDescent="0.3">
      <c r="I23191" s="101"/>
    </row>
    <row r="23192" spans="9:9" x14ac:dyDescent="0.3">
      <c r="I23192" s="101"/>
    </row>
    <row r="23193" spans="9:9" x14ac:dyDescent="0.3">
      <c r="I23193" s="101"/>
    </row>
    <row r="23194" spans="9:9" x14ac:dyDescent="0.3">
      <c r="I23194" s="101"/>
    </row>
    <row r="23195" spans="9:9" x14ac:dyDescent="0.3">
      <c r="I23195" s="101"/>
    </row>
    <row r="23196" spans="9:9" x14ac:dyDescent="0.3">
      <c r="I23196" s="101"/>
    </row>
    <row r="23197" spans="9:9" x14ac:dyDescent="0.3">
      <c r="I23197" s="101"/>
    </row>
    <row r="23198" spans="9:9" x14ac:dyDescent="0.3">
      <c r="I23198" s="101"/>
    </row>
    <row r="23199" spans="9:9" x14ac:dyDescent="0.3">
      <c r="I23199" s="101"/>
    </row>
    <row r="23200" spans="9:9" x14ac:dyDescent="0.3">
      <c r="I23200" s="101"/>
    </row>
    <row r="23201" spans="9:9" x14ac:dyDescent="0.3">
      <c r="I23201" s="101"/>
    </row>
    <row r="23202" spans="9:9" x14ac:dyDescent="0.3">
      <c r="I23202" s="101"/>
    </row>
    <row r="23203" spans="9:9" x14ac:dyDescent="0.3">
      <c r="I23203" s="101"/>
    </row>
    <row r="23204" spans="9:9" x14ac:dyDescent="0.3">
      <c r="I23204" s="101"/>
    </row>
    <row r="23205" spans="9:9" x14ac:dyDescent="0.3">
      <c r="I23205" s="101"/>
    </row>
    <row r="23206" spans="9:9" x14ac:dyDescent="0.3">
      <c r="I23206" s="101"/>
    </row>
    <row r="23207" spans="9:9" x14ac:dyDescent="0.3">
      <c r="I23207" s="101"/>
    </row>
    <row r="23208" spans="9:9" x14ac:dyDescent="0.3">
      <c r="I23208" s="101"/>
    </row>
    <row r="23209" spans="9:9" x14ac:dyDescent="0.3">
      <c r="I23209" s="101"/>
    </row>
    <row r="23210" spans="9:9" x14ac:dyDescent="0.3">
      <c r="I23210" s="101"/>
    </row>
    <row r="23211" spans="9:9" x14ac:dyDescent="0.3">
      <c r="I23211" s="101"/>
    </row>
    <row r="23212" spans="9:9" x14ac:dyDescent="0.3">
      <c r="I23212" s="101"/>
    </row>
    <row r="23213" spans="9:9" x14ac:dyDescent="0.3">
      <c r="I23213" s="101"/>
    </row>
    <row r="23214" spans="9:9" x14ac:dyDescent="0.3">
      <c r="I23214" s="101"/>
    </row>
    <row r="23215" spans="9:9" x14ac:dyDescent="0.3">
      <c r="I23215" s="101"/>
    </row>
    <row r="23216" spans="9:9" x14ac:dyDescent="0.3">
      <c r="I23216" s="101"/>
    </row>
    <row r="23217" spans="9:9" x14ac:dyDescent="0.3">
      <c r="I23217" s="101"/>
    </row>
    <row r="23218" spans="9:9" x14ac:dyDescent="0.3">
      <c r="I23218" s="101"/>
    </row>
    <row r="23219" spans="9:9" x14ac:dyDescent="0.3">
      <c r="I23219" s="101"/>
    </row>
    <row r="23220" spans="9:9" x14ac:dyDescent="0.3">
      <c r="I23220" s="101"/>
    </row>
    <row r="23221" spans="9:9" x14ac:dyDescent="0.3">
      <c r="I23221" s="101"/>
    </row>
    <row r="23222" spans="9:9" x14ac:dyDescent="0.3">
      <c r="I23222" s="101"/>
    </row>
    <row r="23223" spans="9:9" x14ac:dyDescent="0.3">
      <c r="I23223" s="101"/>
    </row>
    <row r="23224" spans="9:9" x14ac:dyDescent="0.3">
      <c r="I23224" s="101"/>
    </row>
    <row r="23225" spans="9:9" x14ac:dyDescent="0.3">
      <c r="I23225" s="101"/>
    </row>
    <row r="23226" spans="9:9" x14ac:dyDescent="0.3">
      <c r="I23226" s="101"/>
    </row>
    <row r="23227" spans="9:9" x14ac:dyDescent="0.3">
      <c r="I23227" s="101"/>
    </row>
    <row r="23228" spans="9:9" x14ac:dyDescent="0.3">
      <c r="I23228" s="101"/>
    </row>
    <row r="23229" spans="9:9" x14ac:dyDescent="0.3">
      <c r="I23229" s="101"/>
    </row>
    <row r="23230" spans="9:9" x14ac:dyDescent="0.3">
      <c r="I23230" s="101"/>
    </row>
    <row r="23231" spans="9:9" x14ac:dyDescent="0.3">
      <c r="I23231" s="101"/>
    </row>
    <row r="23232" spans="9:9" x14ac:dyDescent="0.3">
      <c r="I23232" s="101"/>
    </row>
    <row r="23233" spans="9:9" x14ac:dyDescent="0.3">
      <c r="I23233" s="101"/>
    </row>
    <row r="23234" spans="9:9" x14ac:dyDescent="0.3">
      <c r="I23234" s="101"/>
    </row>
    <row r="23235" spans="9:9" x14ac:dyDescent="0.3">
      <c r="I23235" s="101"/>
    </row>
    <row r="23236" spans="9:9" x14ac:dyDescent="0.3">
      <c r="I23236" s="101"/>
    </row>
    <row r="23237" spans="9:9" x14ac:dyDescent="0.3">
      <c r="I23237" s="101"/>
    </row>
    <row r="23238" spans="9:9" x14ac:dyDescent="0.3">
      <c r="I23238" s="101"/>
    </row>
    <row r="23239" spans="9:9" x14ac:dyDescent="0.3">
      <c r="I23239" s="101"/>
    </row>
    <row r="23240" spans="9:9" x14ac:dyDescent="0.3">
      <c r="I23240" s="101"/>
    </row>
    <row r="23241" spans="9:9" x14ac:dyDescent="0.3">
      <c r="I23241" s="101"/>
    </row>
    <row r="23242" spans="9:9" x14ac:dyDescent="0.3">
      <c r="I23242" s="101"/>
    </row>
    <row r="23243" spans="9:9" x14ac:dyDescent="0.3">
      <c r="I23243" s="101"/>
    </row>
    <row r="23244" spans="9:9" x14ac:dyDescent="0.3">
      <c r="I23244" s="101"/>
    </row>
    <row r="23245" spans="9:9" x14ac:dyDescent="0.3">
      <c r="I23245" s="101"/>
    </row>
    <row r="23246" spans="9:9" x14ac:dyDescent="0.3">
      <c r="I23246" s="101"/>
    </row>
    <row r="23247" spans="9:9" x14ac:dyDescent="0.3">
      <c r="I23247" s="101"/>
    </row>
    <row r="23248" spans="9:9" x14ac:dyDescent="0.3">
      <c r="I23248" s="101"/>
    </row>
    <row r="23249" spans="9:9" x14ac:dyDescent="0.3">
      <c r="I23249" s="101"/>
    </row>
    <row r="23250" spans="9:9" x14ac:dyDescent="0.3">
      <c r="I23250" s="101"/>
    </row>
    <row r="23251" spans="9:9" x14ac:dyDescent="0.3">
      <c r="I23251" s="101"/>
    </row>
    <row r="23252" spans="9:9" x14ac:dyDescent="0.3">
      <c r="I23252" s="101"/>
    </row>
    <row r="23253" spans="9:9" x14ac:dyDescent="0.3">
      <c r="I23253" s="101"/>
    </row>
    <row r="23254" spans="9:9" x14ac:dyDescent="0.3">
      <c r="I23254" s="101"/>
    </row>
    <row r="23255" spans="9:9" x14ac:dyDescent="0.3">
      <c r="I23255" s="101"/>
    </row>
    <row r="23256" spans="9:9" x14ac:dyDescent="0.3">
      <c r="I23256" s="101"/>
    </row>
    <row r="23257" spans="9:9" x14ac:dyDescent="0.3">
      <c r="I23257" s="101"/>
    </row>
    <row r="23258" spans="9:9" x14ac:dyDescent="0.3">
      <c r="I23258" s="101"/>
    </row>
    <row r="23259" spans="9:9" x14ac:dyDescent="0.3">
      <c r="I23259" s="101"/>
    </row>
    <row r="23260" spans="9:9" x14ac:dyDescent="0.3">
      <c r="I23260" s="101"/>
    </row>
    <row r="23261" spans="9:9" x14ac:dyDescent="0.3">
      <c r="I23261" s="101"/>
    </row>
    <row r="23262" spans="9:9" x14ac:dyDescent="0.3">
      <c r="I23262" s="101"/>
    </row>
    <row r="23263" spans="9:9" x14ac:dyDescent="0.3">
      <c r="I23263" s="101"/>
    </row>
    <row r="23264" spans="9:9" x14ac:dyDescent="0.3">
      <c r="I23264" s="101"/>
    </row>
    <row r="23265" spans="9:9" x14ac:dyDescent="0.3">
      <c r="I23265" s="101"/>
    </row>
    <row r="23266" spans="9:9" x14ac:dyDescent="0.3">
      <c r="I23266" s="101"/>
    </row>
    <row r="23267" spans="9:9" x14ac:dyDescent="0.3">
      <c r="I23267" s="101"/>
    </row>
    <row r="23268" spans="9:9" x14ac:dyDescent="0.3">
      <c r="I23268" s="101"/>
    </row>
    <row r="23269" spans="9:9" x14ac:dyDescent="0.3">
      <c r="I23269" s="101"/>
    </row>
    <row r="23270" spans="9:9" x14ac:dyDescent="0.3">
      <c r="I23270" s="101"/>
    </row>
    <row r="23271" spans="9:9" x14ac:dyDescent="0.3">
      <c r="I23271" s="101"/>
    </row>
    <row r="23272" spans="9:9" x14ac:dyDescent="0.3">
      <c r="I23272" s="101"/>
    </row>
    <row r="23273" spans="9:9" x14ac:dyDescent="0.3">
      <c r="I23273" s="101"/>
    </row>
    <row r="23274" spans="9:9" x14ac:dyDescent="0.3">
      <c r="I23274" s="101"/>
    </row>
    <row r="23275" spans="9:9" x14ac:dyDescent="0.3">
      <c r="I23275" s="101"/>
    </row>
    <row r="23276" spans="9:9" x14ac:dyDescent="0.3">
      <c r="I23276" s="101"/>
    </row>
    <row r="23277" spans="9:9" x14ac:dyDescent="0.3">
      <c r="I23277" s="101"/>
    </row>
    <row r="23278" spans="9:9" x14ac:dyDescent="0.3">
      <c r="I23278" s="101"/>
    </row>
    <row r="23279" spans="9:9" x14ac:dyDescent="0.3">
      <c r="I23279" s="101"/>
    </row>
    <row r="23280" spans="9:9" x14ac:dyDescent="0.3">
      <c r="I23280" s="101"/>
    </row>
    <row r="23281" spans="9:9" x14ac:dyDescent="0.3">
      <c r="I23281" s="101"/>
    </row>
    <row r="23282" spans="9:9" x14ac:dyDescent="0.3">
      <c r="I23282" s="101"/>
    </row>
    <row r="23283" spans="9:9" x14ac:dyDescent="0.3">
      <c r="I23283" s="101"/>
    </row>
    <row r="23284" spans="9:9" x14ac:dyDescent="0.3">
      <c r="I23284" s="101"/>
    </row>
    <row r="23285" spans="9:9" x14ac:dyDescent="0.3">
      <c r="I23285" s="101"/>
    </row>
    <row r="23286" spans="9:9" x14ac:dyDescent="0.3">
      <c r="I23286" s="101"/>
    </row>
    <row r="23287" spans="9:9" x14ac:dyDescent="0.3">
      <c r="I23287" s="101"/>
    </row>
    <row r="23288" spans="9:9" x14ac:dyDescent="0.3">
      <c r="I23288" s="101"/>
    </row>
    <row r="23289" spans="9:9" x14ac:dyDescent="0.3">
      <c r="I23289" s="101"/>
    </row>
    <row r="23290" spans="9:9" x14ac:dyDescent="0.3">
      <c r="I23290" s="101"/>
    </row>
    <row r="23291" spans="9:9" x14ac:dyDescent="0.3">
      <c r="I23291" s="101"/>
    </row>
    <row r="23292" spans="9:9" x14ac:dyDescent="0.3">
      <c r="I23292" s="101"/>
    </row>
    <row r="23293" spans="9:9" x14ac:dyDescent="0.3">
      <c r="I23293" s="101"/>
    </row>
    <row r="23294" spans="9:9" x14ac:dyDescent="0.3">
      <c r="I23294" s="101"/>
    </row>
    <row r="23295" spans="9:9" x14ac:dyDescent="0.3">
      <c r="I23295" s="101"/>
    </row>
    <row r="23296" spans="9:9" x14ac:dyDescent="0.3">
      <c r="I23296" s="101"/>
    </row>
    <row r="23297" spans="9:9" x14ac:dyDescent="0.3">
      <c r="I23297" s="101"/>
    </row>
    <row r="23298" spans="9:9" x14ac:dyDescent="0.3">
      <c r="I23298" s="101"/>
    </row>
    <row r="23299" spans="9:9" x14ac:dyDescent="0.3">
      <c r="I23299" s="101"/>
    </row>
    <row r="23300" spans="9:9" x14ac:dyDescent="0.3">
      <c r="I23300" s="101"/>
    </row>
    <row r="23301" spans="9:9" x14ac:dyDescent="0.3">
      <c r="I23301" s="101"/>
    </row>
    <row r="23302" spans="9:9" x14ac:dyDescent="0.3">
      <c r="I23302" s="101"/>
    </row>
    <row r="23303" spans="9:9" x14ac:dyDescent="0.3">
      <c r="I23303" s="101"/>
    </row>
    <row r="23304" spans="9:9" x14ac:dyDescent="0.3">
      <c r="I23304" s="101"/>
    </row>
    <row r="23305" spans="9:9" x14ac:dyDescent="0.3">
      <c r="I23305" s="101"/>
    </row>
    <row r="23306" spans="9:9" x14ac:dyDescent="0.3">
      <c r="I23306" s="101"/>
    </row>
    <row r="23307" spans="9:9" x14ac:dyDescent="0.3">
      <c r="I23307" s="101"/>
    </row>
    <row r="23308" spans="9:9" x14ac:dyDescent="0.3">
      <c r="I23308" s="101"/>
    </row>
    <row r="23309" spans="9:9" x14ac:dyDescent="0.3">
      <c r="I23309" s="101"/>
    </row>
    <row r="23310" spans="9:9" x14ac:dyDescent="0.3">
      <c r="I23310" s="101"/>
    </row>
    <row r="23311" spans="9:9" x14ac:dyDescent="0.3">
      <c r="I23311" s="101"/>
    </row>
    <row r="23312" spans="9:9" x14ac:dyDescent="0.3">
      <c r="I23312" s="101"/>
    </row>
    <row r="23313" spans="9:9" x14ac:dyDescent="0.3">
      <c r="I23313" s="101"/>
    </row>
    <row r="23314" spans="9:9" x14ac:dyDescent="0.3">
      <c r="I23314" s="101"/>
    </row>
    <row r="23315" spans="9:9" x14ac:dyDescent="0.3">
      <c r="I23315" s="101"/>
    </row>
    <row r="23316" spans="9:9" x14ac:dyDescent="0.3">
      <c r="I23316" s="101"/>
    </row>
    <row r="23317" spans="9:9" x14ac:dyDescent="0.3">
      <c r="I23317" s="101"/>
    </row>
    <row r="23318" spans="9:9" x14ac:dyDescent="0.3">
      <c r="I23318" s="101"/>
    </row>
    <row r="23319" spans="9:9" x14ac:dyDescent="0.3">
      <c r="I23319" s="101"/>
    </row>
    <row r="23320" spans="9:9" x14ac:dyDescent="0.3">
      <c r="I23320" s="101"/>
    </row>
    <row r="23321" spans="9:9" x14ac:dyDescent="0.3">
      <c r="I23321" s="101"/>
    </row>
    <row r="23322" spans="9:9" x14ac:dyDescent="0.3">
      <c r="I23322" s="101"/>
    </row>
    <row r="23323" spans="9:9" x14ac:dyDescent="0.3">
      <c r="I23323" s="101"/>
    </row>
    <row r="23324" spans="9:9" x14ac:dyDescent="0.3">
      <c r="I23324" s="101"/>
    </row>
    <row r="23325" spans="9:9" x14ac:dyDescent="0.3">
      <c r="I23325" s="101"/>
    </row>
    <row r="23326" spans="9:9" x14ac:dyDescent="0.3">
      <c r="I23326" s="101"/>
    </row>
    <row r="23327" spans="9:9" x14ac:dyDescent="0.3">
      <c r="I23327" s="101"/>
    </row>
    <row r="23328" spans="9:9" x14ac:dyDescent="0.3">
      <c r="I23328" s="101"/>
    </row>
    <row r="23329" spans="9:9" x14ac:dyDescent="0.3">
      <c r="I23329" s="101"/>
    </row>
    <row r="23330" spans="9:9" x14ac:dyDescent="0.3">
      <c r="I23330" s="101"/>
    </row>
    <row r="23331" spans="9:9" x14ac:dyDescent="0.3">
      <c r="I23331" s="101"/>
    </row>
    <row r="23332" spans="9:9" x14ac:dyDescent="0.3">
      <c r="I23332" s="101"/>
    </row>
    <row r="23333" spans="9:9" x14ac:dyDescent="0.3">
      <c r="I23333" s="101"/>
    </row>
    <row r="23334" spans="9:9" x14ac:dyDescent="0.3">
      <c r="I23334" s="101"/>
    </row>
    <row r="23335" spans="9:9" x14ac:dyDescent="0.3">
      <c r="I23335" s="101"/>
    </row>
    <row r="23336" spans="9:9" x14ac:dyDescent="0.3">
      <c r="I23336" s="101"/>
    </row>
    <row r="23337" spans="9:9" x14ac:dyDescent="0.3">
      <c r="I23337" s="101"/>
    </row>
    <row r="23338" spans="9:9" x14ac:dyDescent="0.3">
      <c r="I23338" s="101"/>
    </row>
    <row r="23339" spans="9:9" x14ac:dyDescent="0.3">
      <c r="I23339" s="101"/>
    </row>
    <row r="23340" spans="9:9" x14ac:dyDescent="0.3">
      <c r="I23340" s="101"/>
    </row>
    <row r="23341" spans="9:9" x14ac:dyDescent="0.3">
      <c r="I23341" s="101"/>
    </row>
    <row r="23342" spans="9:9" x14ac:dyDescent="0.3">
      <c r="I23342" s="101"/>
    </row>
    <row r="23343" spans="9:9" x14ac:dyDescent="0.3">
      <c r="I23343" s="101"/>
    </row>
    <row r="23344" spans="9:9" x14ac:dyDescent="0.3">
      <c r="I23344" s="101"/>
    </row>
    <row r="23345" spans="9:9" x14ac:dyDescent="0.3">
      <c r="I23345" s="101"/>
    </row>
    <row r="23346" spans="9:9" x14ac:dyDescent="0.3">
      <c r="I23346" s="101"/>
    </row>
    <row r="23347" spans="9:9" x14ac:dyDescent="0.3">
      <c r="I23347" s="101"/>
    </row>
    <row r="23348" spans="9:9" x14ac:dyDescent="0.3">
      <c r="I23348" s="101"/>
    </row>
    <row r="23349" spans="9:9" x14ac:dyDescent="0.3">
      <c r="I23349" s="101"/>
    </row>
    <row r="23350" spans="9:9" x14ac:dyDescent="0.3">
      <c r="I23350" s="101"/>
    </row>
    <row r="23351" spans="9:9" x14ac:dyDescent="0.3">
      <c r="I23351" s="101"/>
    </row>
    <row r="23352" spans="9:9" x14ac:dyDescent="0.3">
      <c r="I23352" s="101"/>
    </row>
    <row r="23353" spans="9:9" x14ac:dyDescent="0.3">
      <c r="I23353" s="101"/>
    </row>
    <row r="23354" spans="9:9" x14ac:dyDescent="0.3">
      <c r="I23354" s="101"/>
    </row>
    <row r="23355" spans="9:9" x14ac:dyDescent="0.3">
      <c r="I23355" s="101"/>
    </row>
    <row r="23356" spans="9:9" x14ac:dyDescent="0.3">
      <c r="I23356" s="101"/>
    </row>
    <row r="23357" spans="9:9" x14ac:dyDescent="0.3">
      <c r="I23357" s="101"/>
    </row>
    <row r="23358" spans="9:9" x14ac:dyDescent="0.3">
      <c r="I23358" s="101"/>
    </row>
    <row r="23359" spans="9:9" x14ac:dyDescent="0.3">
      <c r="I23359" s="101"/>
    </row>
    <row r="23360" spans="9:9" x14ac:dyDescent="0.3">
      <c r="I23360" s="101"/>
    </row>
    <row r="23361" spans="9:9" x14ac:dyDescent="0.3">
      <c r="I23361" s="101"/>
    </row>
    <row r="23362" spans="9:9" x14ac:dyDescent="0.3">
      <c r="I23362" s="101"/>
    </row>
    <row r="23363" spans="9:9" x14ac:dyDescent="0.3">
      <c r="I23363" s="101"/>
    </row>
    <row r="23364" spans="9:9" x14ac:dyDescent="0.3">
      <c r="I23364" s="101"/>
    </row>
    <row r="23365" spans="9:9" x14ac:dyDescent="0.3">
      <c r="I23365" s="101"/>
    </row>
    <row r="23366" spans="9:9" x14ac:dyDescent="0.3">
      <c r="I23366" s="101"/>
    </row>
    <row r="23367" spans="9:9" x14ac:dyDescent="0.3">
      <c r="I23367" s="101"/>
    </row>
    <row r="23368" spans="9:9" x14ac:dyDescent="0.3">
      <c r="I23368" s="101"/>
    </row>
    <row r="23369" spans="9:9" x14ac:dyDescent="0.3">
      <c r="I23369" s="101"/>
    </row>
    <row r="23370" spans="9:9" x14ac:dyDescent="0.3">
      <c r="I23370" s="101"/>
    </row>
    <row r="23371" spans="9:9" x14ac:dyDescent="0.3">
      <c r="I23371" s="101"/>
    </row>
    <row r="23372" spans="9:9" x14ac:dyDescent="0.3">
      <c r="I23372" s="101"/>
    </row>
    <row r="23373" spans="9:9" x14ac:dyDescent="0.3">
      <c r="I23373" s="101"/>
    </row>
    <row r="23374" spans="9:9" x14ac:dyDescent="0.3">
      <c r="I23374" s="101"/>
    </row>
    <row r="23375" spans="9:9" x14ac:dyDescent="0.3">
      <c r="I23375" s="101"/>
    </row>
    <row r="23376" spans="9:9" x14ac:dyDescent="0.3">
      <c r="I23376" s="101"/>
    </row>
    <row r="23377" spans="9:9" x14ac:dyDescent="0.3">
      <c r="I23377" s="101"/>
    </row>
    <row r="23378" spans="9:9" x14ac:dyDescent="0.3">
      <c r="I23378" s="101"/>
    </row>
    <row r="23379" spans="9:9" x14ac:dyDescent="0.3">
      <c r="I23379" s="101"/>
    </row>
    <row r="23380" spans="9:9" x14ac:dyDescent="0.3">
      <c r="I23380" s="101"/>
    </row>
    <row r="23381" spans="9:9" x14ac:dyDescent="0.3">
      <c r="I23381" s="101"/>
    </row>
    <row r="23382" spans="9:9" x14ac:dyDescent="0.3">
      <c r="I23382" s="101"/>
    </row>
    <row r="23383" spans="9:9" x14ac:dyDescent="0.3">
      <c r="I23383" s="101"/>
    </row>
    <row r="23384" spans="9:9" x14ac:dyDescent="0.3">
      <c r="I23384" s="101"/>
    </row>
    <row r="23385" spans="9:9" x14ac:dyDescent="0.3">
      <c r="I23385" s="101"/>
    </row>
    <row r="23386" spans="9:9" x14ac:dyDescent="0.3">
      <c r="I23386" s="101"/>
    </row>
    <row r="23387" spans="9:9" x14ac:dyDescent="0.3">
      <c r="I23387" s="101"/>
    </row>
    <row r="23388" spans="9:9" x14ac:dyDescent="0.3">
      <c r="I23388" s="101"/>
    </row>
    <row r="23389" spans="9:9" x14ac:dyDescent="0.3">
      <c r="I23389" s="101"/>
    </row>
    <row r="23390" spans="9:9" x14ac:dyDescent="0.3">
      <c r="I23390" s="101"/>
    </row>
    <row r="23391" spans="9:9" x14ac:dyDescent="0.3">
      <c r="I23391" s="101"/>
    </row>
    <row r="23392" spans="9:9" x14ac:dyDescent="0.3">
      <c r="I23392" s="101"/>
    </row>
    <row r="23393" spans="9:9" x14ac:dyDescent="0.3">
      <c r="I23393" s="101"/>
    </row>
    <row r="23394" spans="9:9" x14ac:dyDescent="0.3">
      <c r="I23394" s="101"/>
    </row>
    <row r="23395" spans="9:9" x14ac:dyDescent="0.3">
      <c r="I23395" s="101"/>
    </row>
    <row r="23396" spans="9:9" x14ac:dyDescent="0.3">
      <c r="I23396" s="101"/>
    </row>
    <row r="23397" spans="9:9" x14ac:dyDescent="0.3">
      <c r="I23397" s="101"/>
    </row>
    <row r="23398" spans="9:9" x14ac:dyDescent="0.3">
      <c r="I23398" s="101"/>
    </row>
    <row r="23399" spans="9:9" x14ac:dyDescent="0.3">
      <c r="I23399" s="101"/>
    </row>
    <row r="23400" spans="9:9" x14ac:dyDescent="0.3">
      <c r="I23400" s="101"/>
    </row>
    <row r="23401" spans="9:9" x14ac:dyDescent="0.3">
      <c r="I23401" s="101"/>
    </row>
    <row r="23402" spans="9:9" x14ac:dyDescent="0.3">
      <c r="I23402" s="101"/>
    </row>
    <row r="23403" spans="9:9" x14ac:dyDescent="0.3">
      <c r="I23403" s="101"/>
    </row>
    <row r="23404" spans="9:9" x14ac:dyDescent="0.3">
      <c r="I23404" s="101"/>
    </row>
    <row r="23405" spans="9:9" x14ac:dyDescent="0.3">
      <c r="I23405" s="101"/>
    </row>
    <row r="23406" spans="9:9" x14ac:dyDescent="0.3">
      <c r="I23406" s="101"/>
    </row>
    <row r="23407" spans="9:9" x14ac:dyDescent="0.3">
      <c r="I23407" s="101"/>
    </row>
    <row r="23408" spans="9:9" x14ac:dyDescent="0.3">
      <c r="I23408" s="101"/>
    </row>
    <row r="23409" spans="9:9" x14ac:dyDescent="0.3">
      <c r="I23409" s="101"/>
    </row>
    <row r="23410" spans="9:9" x14ac:dyDescent="0.3">
      <c r="I23410" s="101"/>
    </row>
    <row r="23411" spans="9:9" x14ac:dyDescent="0.3">
      <c r="I23411" s="101"/>
    </row>
    <row r="23412" spans="9:9" x14ac:dyDescent="0.3">
      <c r="I23412" s="101"/>
    </row>
    <row r="23413" spans="9:9" x14ac:dyDescent="0.3">
      <c r="I23413" s="101"/>
    </row>
    <row r="23414" spans="9:9" x14ac:dyDescent="0.3">
      <c r="I23414" s="101"/>
    </row>
    <row r="23415" spans="9:9" x14ac:dyDescent="0.3">
      <c r="I23415" s="101"/>
    </row>
    <row r="23416" spans="9:9" x14ac:dyDescent="0.3">
      <c r="I23416" s="101"/>
    </row>
    <row r="23417" spans="9:9" x14ac:dyDescent="0.3">
      <c r="I23417" s="101"/>
    </row>
    <row r="23418" spans="9:9" x14ac:dyDescent="0.3">
      <c r="I23418" s="101"/>
    </row>
    <row r="23419" spans="9:9" x14ac:dyDescent="0.3">
      <c r="I23419" s="101"/>
    </row>
    <row r="23420" spans="9:9" x14ac:dyDescent="0.3">
      <c r="I23420" s="101"/>
    </row>
    <row r="23421" spans="9:9" x14ac:dyDescent="0.3">
      <c r="I23421" s="101"/>
    </row>
    <row r="23422" spans="9:9" x14ac:dyDescent="0.3">
      <c r="I23422" s="101"/>
    </row>
    <row r="23423" spans="9:9" x14ac:dyDescent="0.3">
      <c r="I23423" s="101"/>
    </row>
    <row r="23424" spans="9:9" x14ac:dyDescent="0.3">
      <c r="I23424" s="101"/>
    </row>
    <row r="23425" spans="9:9" x14ac:dyDescent="0.3">
      <c r="I23425" s="101"/>
    </row>
    <row r="23426" spans="9:9" x14ac:dyDescent="0.3">
      <c r="I23426" s="101"/>
    </row>
    <row r="23427" spans="9:9" x14ac:dyDescent="0.3">
      <c r="I23427" s="101"/>
    </row>
    <row r="23428" spans="9:9" x14ac:dyDescent="0.3">
      <c r="I23428" s="101"/>
    </row>
    <row r="23429" spans="9:9" x14ac:dyDescent="0.3">
      <c r="I23429" s="101"/>
    </row>
    <row r="23430" spans="9:9" x14ac:dyDescent="0.3">
      <c r="I23430" s="101"/>
    </row>
    <row r="23431" spans="9:9" x14ac:dyDescent="0.3">
      <c r="I23431" s="101"/>
    </row>
    <row r="23432" spans="9:9" x14ac:dyDescent="0.3">
      <c r="I23432" s="101"/>
    </row>
    <row r="23433" spans="9:9" x14ac:dyDescent="0.3">
      <c r="I23433" s="101"/>
    </row>
    <row r="23434" spans="9:9" x14ac:dyDescent="0.3">
      <c r="I23434" s="101"/>
    </row>
    <row r="23435" spans="9:9" x14ac:dyDescent="0.3">
      <c r="I23435" s="101"/>
    </row>
    <row r="23436" spans="9:9" x14ac:dyDescent="0.3">
      <c r="I23436" s="101"/>
    </row>
    <row r="23437" spans="9:9" x14ac:dyDescent="0.3">
      <c r="I23437" s="101"/>
    </row>
    <row r="23438" spans="9:9" x14ac:dyDescent="0.3">
      <c r="I23438" s="101"/>
    </row>
    <row r="23439" spans="9:9" x14ac:dyDescent="0.3">
      <c r="I23439" s="101"/>
    </row>
    <row r="23440" spans="9:9" x14ac:dyDescent="0.3">
      <c r="I23440" s="101"/>
    </row>
    <row r="23441" spans="9:9" x14ac:dyDescent="0.3">
      <c r="I23441" s="101"/>
    </row>
    <row r="23442" spans="9:9" x14ac:dyDescent="0.3">
      <c r="I23442" s="101"/>
    </row>
    <row r="23443" spans="9:9" x14ac:dyDescent="0.3">
      <c r="I23443" s="101"/>
    </row>
    <row r="23444" spans="9:9" x14ac:dyDescent="0.3">
      <c r="I23444" s="101"/>
    </row>
    <row r="23445" spans="9:9" x14ac:dyDescent="0.3">
      <c r="I23445" s="101"/>
    </row>
    <row r="23446" spans="9:9" x14ac:dyDescent="0.3">
      <c r="I23446" s="101"/>
    </row>
    <row r="23447" spans="9:9" x14ac:dyDescent="0.3">
      <c r="I23447" s="101"/>
    </row>
    <row r="23448" spans="9:9" x14ac:dyDescent="0.3">
      <c r="I23448" s="101"/>
    </row>
    <row r="23449" spans="9:9" x14ac:dyDescent="0.3">
      <c r="I23449" s="101"/>
    </row>
    <row r="23450" spans="9:9" x14ac:dyDescent="0.3">
      <c r="I23450" s="101"/>
    </row>
    <row r="23451" spans="9:9" x14ac:dyDescent="0.3">
      <c r="I23451" s="101"/>
    </row>
    <row r="23452" spans="9:9" x14ac:dyDescent="0.3">
      <c r="I23452" s="101"/>
    </row>
    <row r="23453" spans="9:9" x14ac:dyDescent="0.3">
      <c r="I23453" s="101"/>
    </row>
    <row r="23454" spans="9:9" x14ac:dyDescent="0.3">
      <c r="I23454" s="101"/>
    </row>
    <row r="23455" spans="9:9" x14ac:dyDescent="0.3">
      <c r="I23455" s="101"/>
    </row>
    <row r="23456" spans="9:9" x14ac:dyDescent="0.3">
      <c r="I23456" s="101"/>
    </row>
    <row r="23457" spans="9:9" x14ac:dyDescent="0.3">
      <c r="I23457" s="101"/>
    </row>
    <row r="23458" spans="9:9" x14ac:dyDescent="0.3">
      <c r="I23458" s="101"/>
    </row>
    <row r="23459" spans="9:9" x14ac:dyDescent="0.3">
      <c r="I23459" s="101"/>
    </row>
    <row r="23460" spans="9:9" x14ac:dyDescent="0.3">
      <c r="I23460" s="101"/>
    </row>
    <row r="23461" spans="9:9" x14ac:dyDescent="0.3">
      <c r="I23461" s="101"/>
    </row>
    <row r="23462" spans="9:9" x14ac:dyDescent="0.3">
      <c r="I23462" s="101"/>
    </row>
    <row r="23463" spans="9:9" x14ac:dyDescent="0.3">
      <c r="I23463" s="101"/>
    </row>
    <row r="23464" spans="9:9" x14ac:dyDescent="0.3">
      <c r="I23464" s="101"/>
    </row>
    <row r="23465" spans="9:9" x14ac:dyDescent="0.3">
      <c r="I23465" s="101"/>
    </row>
    <row r="23466" spans="9:9" x14ac:dyDescent="0.3">
      <c r="I23466" s="101"/>
    </row>
    <row r="23467" spans="9:9" x14ac:dyDescent="0.3">
      <c r="I23467" s="101"/>
    </row>
    <row r="23468" spans="9:9" x14ac:dyDescent="0.3">
      <c r="I23468" s="101"/>
    </row>
    <row r="23469" spans="9:9" x14ac:dyDescent="0.3">
      <c r="I23469" s="101"/>
    </row>
    <row r="23470" spans="9:9" x14ac:dyDescent="0.3">
      <c r="I23470" s="101"/>
    </row>
    <row r="23471" spans="9:9" x14ac:dyDescent="0.3">
      <c r="I23471" s="101"/>
    </row>
    <row r="23472" spans="9:9" x14ac:dyDescent="0.3">
      <c r="I23472" s="101"/>
    </row>
    <row r="23473" spans="9:9" x14ac:dyDescent="0.3">
      <c r="I23473" s="101"/>
    </row>
    <row r="23474" spans="9:9" x14ac:dyDescent="0.3">
      <c r="I23474" s="101"/>
    </row>
    <row r="23475" spans="9:9" x14ac:dyDescent="0.3">
      <c r="I23475" s="101"/>
    </row>
    <row r="23476" spans="9:9" x14ac:dyDescent="0.3">
      <c r="I23476" s="101"/>
    </row>
    <row r="23477" spans="9:9" x14ac:dyDescent="0.3">
      <c r="I23477" s="101"/>
    </row>
    <row r="23478" spans="9:9" x14ac:dyDescent="0.3">
      <c r="I23478" s="101"/>
    </row>
    <row r="23479" spans="9:9" x14ac:dyDescent="0.3">
      <c r="I23479" s="101"/>
    </row>
    <row r="23480" spans="9:9" x14ac:dyDescent="0.3">
      <c r="I23480" s="101"/>
    </row>
    <row r="23481" spans="9:9" x14ac:dyDescent="0.3">
      <c r="I23481" s="101"/>
    </row>
    <row r="23482" spans="9:9" x14ac:dyDescent="0.3">
      <c r="I23482" s="101"/>
    </row>
    <row r="23483" spans="9:9" x14ac:dyDescent="0.3">
      <c r="I23483" s="101"/>
    </row>
    <row r="23484" spans="9:9" x14ac:dyDescent="0.3">
      <c r="I23484" s="101"/>
    </row>
    <row r="23485" spans="9:9" x14ac:dyDescent="0.3">
      <c r="I23485" s="101"/>
    </row>
    <row r="23486" spans="9:9" x14ac:dyDescent="0.3">
      <c r="I23486" s="101"/>
    </row>
    <row r="23487" spans="9:9" x14ac:dyDescent="0.3">
      <c r="I23487" s="101"/>
    </row>
    <row r="23488" spans="9:9" x14ac:dyDescent="0.3">
      <c r="I23488" s="101"/>
    </row>
    <row r="23489" spans="9:9" x14ac:dyDescent="0.3">
      <c r="I23489" s="101"/>
    </row>
    <row r="23490" spans="9:9" x14ac:dyDescent="0.3">
      <c r="I23490" s="101"/>
    </row>
    <row r="23491" spans="9:9" x14ac:dyDescent="0.3">
      <c r="I23491" s="101"/>
    </row>
    <row r="23492" spans="9:9" x14ac:dyDescent="0.3">
      <c r="I23492" s="101"/>
    </row>
    <row r="23493" spans="9:9" x14ac:dyDescent="0.3">
      <c r="I23493" s="101"/>
    </row>
    <row r="23494" spans="9:9" x14ac:dyDescent="0.3">
      <c r="I23494" s="101"/>
    </row>
    <row r="23495" spans="9:9" x14ac:dyDescent="0.3">
      <c r="I23495" s="101"/>
    </row>
    <row r="23496" spans="9:9" x14ac:dyDescent="0.3">
      <c r="I23496" s="101"/>
    </row>
    <row r="23497" spans="9:9" x14ac:dyDescent="0.3">
      <c r="I23497" s="101"/>
    </row>
    <row r="23498" spans="9:9" x14ac:dyDescent="0.3">
      <c r="I23498" s="101"/>
    </row>
    <row r="23499" spans="9:9" x14ac:dyDescent="0.3">
      <c r="I23499" s="101"/>
    </row>
    <row r="23500" spans="9:9" x14ac:dyDescent="0.3">
      <c r="I23500" s="101"/>
    </row>
    <row r="23501" spans="9:9" x14ac:dyDescent="0.3">
      <c r="I23501" s="101"/>
    </row>
    <row r="23502" spans="9:9" x14ac:dyDescent="0.3">
      <c r="I23502" s="101"/>
    </row>
    <row r="23503" spans="9:9" x14ac:dyDescent="0.3">
      <c r="I23503" s="101"/>
    </row>
    <row r="23504" spans="9:9" x14ac:dyDescent="0.3">
      <c r="I23504" s="101"/>
    </row>
    <row r="23505" spans="9:9" x14ac:dyDescent="0.3">
      <c r="I23505" s="101"/>
    </row>
    <row r="23506" spans="9:9" x14ac:dyDescent="0.3">
      <c r="I23506" s="101"/>
    </row>
    <row r="23507" spans="9:9" x14ac:dyDescent="0.3">
      <c r="I23507" s="101"/>
    </row>
    <row r="23508" spans="9:9" x14ac:dyDescent="0.3">
      <c r="I23508" s="101"/>
    </row>
    <row r="23509" spans="9:9" x14ac:dyDescent="0.3">
      <c r="I23509" s="101"/>
    </row>
    <row r="23510" spans="9:9" x14ac:dyDescent="0.3">
      <c r="I23510" s="101"/>
    </row>
    <row r="23511" spans="9:9" x14ac:dyDescent="0.3">
      <c r="I23511" s="101"/>
    </row>
    <row r="23512" spans="9:9" x14ac:dyDescent="0.3">
      <c r="I23512" s="101"/>
    </row>
    <row r="23513" spans="9:9" x14ac:dyDescent="0.3">
      <c r="I23513" s="101"/>
    </row>
    <row r="23514" spans="9:9" x14ac:dyDescent="0.3">
      <c r="I23514" s="101"/>
    </row>
    <row r="23515" spans="9:9" x14ac:dyDescent="0.3">
      <c r="I23515" s="101"/>
    </row>
    <row r="23516" spans="9:9" x14ac:dyDescent="0.3">
      <c r="I23516" s="101"/>
    </row>
    <row r="23517" spans="9:9" x14ac:dyDescent="0.3">
      <c r="I23517" s="101"/>
    </row>
    <row r="23518" spans="9:9" x14ac:dyDescent="0.3">
      <c r="I23518" s="101"/>
    </row>
    <row r="23519" spans="9:9" x14ac:dyDescent="0.3">
      <c r="I23519" s="101"/>
    </row>
    <row r="23520" spans="9:9" x14ac:dyDescent="0.3">
      <c r="I23520" s="101"/>
    </row>
    <row r="23521" spans="9:9" x14ac:dyDescent="0.3">
      <c r="I23521" s="101"/>
    </row>
    <row r="23522" spans="9:9" x14ac:dyDescent="0.3">
      <c r="I23522" s="101"/>
    </row>
    <row r="23523" spans="9:9" x14ac:dyDescent="0.3">
      <c r="I23523" s="101"/>
    </row>
    <row r="23524" spans="9:9" x14ac:dyDescent="0.3">
      <c r="I23524" s="101"/>
    </row>
    <row r="23525" spans="9:9" x14ac:dyDescent="0.3">
      <c r="I23525" s="101"/>
    </row>
    <row r="23526" spans="9:9" x14ac:dyDescent="0.3">
      <c r="I23526" s="101"/>
    </row>
    <row r="23527" spans="9:9" x14ac:dyDescent="0.3">
      <c r="I23527" s="101"/>
    </row>
    <row r="23528" spans="9:9" x14ac:dyDescent="0.3">
      <c r="I23528" s="101"/>
    </row>
    <row r="23529" spans="9:9" x14ac:dyDescent="0.3">
      <c r="I23529" s="101"/>
    </row>
    <row r="23530" spans="9:9" x14ac:dyDescent="0.3">
      <c r="I23530" s="101"/>
    </row>
    <row r="23531" spans="9:9" x14ac:dyDescent="0.3">
      <c r="I23531" s="101"/>
    </row>
    <row r="23532" spans="9:9" x14ac:dyDescent="0.3">
      <c r="I23532" s="101"/>
    </row>
    <row r="23533" spans="9:9" x14ac:dyDescent="0.3">
      <c r="I23533" s="101"/>
    </row>
    <row r="23534" spans="9:9" x14ac:dyDescent="0.3">
      <c r="I23534" s="101"/>
    </row>
    <row r="23535" spans="9:9" x14ac:dyDescent="0.3">
      <c r="I23535" s="101"/>
    </row>
    <row r="23536" spans="9:9" x14ac:dyDescent="0.3">
      <c r="I23536" s="101"/>
    </row>
    <row r="23537" spans="9:9" x14ac:dyDescent="0.3">
      <c r="I23537" s="101"/>
    </row>
    <row r="23538" spans="9:9" x14ac:dyDescent="0.3">
      <c r="I23538" s="101"/>
    </row>
    <row r="23539" spans="9:9" x14ac:dyDescent="0.3">
      <c r="I23539" s="101"/>
    </row>
    <row r="23540" spans="9:9" x14ac:dyDescent="0.3">
      <c r="I23540" s="101"/>
    </row>
    <row r="23541" spans="9:9" x14ac:dyDescent="0.3">
      <c r="I23541" s="101"/>
    </row>
    <row r="23542" spans="9:9" x14ac:dyDescent="0.3">
      <c r="I23542" s="101"/>
    </row>
    <row r="23543" spans="9:9" x14ac:dyDescent="0.3">
      <c r="I23543" s="101"/>
    </row>
    <row r="23544" spans="9:9" x14ac:dyDescent="0.3">
      <c r="I23544" s="101"/>
    </row>
    <row r="23545" spans="9:9" x14ac:dyDescent="0.3">
      <c r="I23545" s="101"/>
    </row>
    <row r="23546" spans="9:9" x14ac:dyDescent="0.3">
      <c r="I23546" s="101"/>
    </row>
    <row r="23547" spans="9:9" x14ac:dyDescent="0.3">
      <c r="I23547" s="101"/>
    </row>
    <row r="23548" spans="9:9" x14ac:dyDescent="0.3">
      <c r="I23548" s="101"/>
    </row>
    <row r="23549" spans="9:9" x14ac:dyDescent="0.3">
      <c r="I23549" s="101"/>
    </row>
    <row r="23550" spans="9:9" x14ac:dyDescent="0.3">
      <c r="I23550" s="101"/>
    </row>
    <row r="23551" spans="9:9" x14ac:dyDescent="0.3">
      <c r="I23551" s="101"/>
    </row>
    <row r="23552" spans="9:9" x14ac:dyDescent="0.3">
      <c r="I23552" s="101"/>
    </row>
    <row r="23553" spans="9:9" x14ac:dyDescent="0.3">
      <c r="I23553" s="101"/>
    </row>
    <row r="23554" spans="9:9" x14ac:dyDescent="0.3">
      <c r="I23554" s="101"/>
    </row>
    <row r="23555" spans="9:9" x14ac:dyDescent="0.3">
      <c r="I23555" s="101"/>
    </row>
    <row r="23556" spans="9:9" x14ac:dyDescent="0.3">
      <c r="I23556" s="101"/>
    </row>
    <row r="23557" spans="9:9" x14ac:dyDescent="0.3">
      <c r="I23557" s="101"/>
    </row>
    <row r="23558" spans="9:9" x14ac:dyDescent="0.3">
      <c r="I23558" s="101"/>
    </row>
    <row r="23559" spans="9:9" x14ac:dyDescent="0.3">
      <c r="I23559" s="101"/>
    </row>
    <row r="23560" spans="9:9" x14ac:dyDescent="0.3">
      <c r="I23560" s="101"/>
    </row>
    <row r="23561" spans="9:9" x14ac:dyDescent="0.3">
      <c r="I23561" s="101"/>
    </row>
    <row r="23562" spans="9:9" x14ac:dyDescent="0.3">
      <c r="I23562" s="101"/>
    </row>
    <row r="23563" spans="9:9" x14ac:dyDescent="0.3">
      <c r="I23563" s="101"/>
    </row>
    <row r="23564" spans="9:9" x14ac:dyDescent="0.3">
      <c r="I23564" s="101"/>
    </row>
    <row r="23565" spans="9:9" x14ac:dyDescent="0.3">
      <c r="I23565" s="101"/>
    </row>
    <row r="23566" spans="9:9" x14ac:dyDescent="0.3">
      <c r="I23566" s="101"/>
    </row>
    <row r="23567" spans="9:9" x14ac:dyDescent="0.3">
      <c r="I23567" s="101"/>
    </row>
    <row r="23568" spans="9:9" x14ac:dyDescent="0.3">
      <c r="I23568" s="101"/>
    </row>
    <row r="23569" spans="9:9" x14ac:dyDescent="0.3">
      <c r="I23569" s="101"/>
    </row>
    <row r="23570" spans="9:9" x14ac:dyDescent="0.3">
      <c r="I23570" s="101"/>
    </row>
    <row r="23571" spans="9:9" x14ac:dyDescent="0.3">
      <c r="I23571" s="101"/>
    </row>
    <row r="23572" spans="9:9" x14ac:dyDescent="0.3">
      <c r="I23572" s="101"/>
    </row>
    <row r="23573" spans="9:9" x14ac:dyDescent="0.3">
      <c r="I23573" s="101"/>
    </row>
    <row r="23574" spans="9:9" x14ac:dyDescent="0.3">
      <c r="I23574" s="101"/>
    </row>
    <row r="23575" spans="9:9" x14ac:dyDescent="0.3">
      <c r="I23575" s="101"/>
    </row>
    <row r="23576" spans="9:9" x14ac:dyDescent="0.3">
      <c r="I23576" s="101"/>
    </row>
    <row r="23577" spans="9:9" x14ac:dyDescent="0.3">
      <c r="I23577" s="101"/>
    </row>
    <row r="23578" spans="9:9" x14ac:dyDescent="0.3">
      <c r="I23578" s="101"/>
    </row>
    <row r="23579" spans="9:9" x14ac:dyDescent="0.3">
      <c r="I23579" s="101"/>
    </row>
    <row r="23580" spans="9:9" x14ac:dyDescent="0.3">
      <c r="I23580" s="101"/>
    </row>
    <row r="23581" spans="9:9" x14ac:dyDescent="0.3">
      <c r="I23581" s="101"/>
    </row>
    <row r="23582" spans="9:9" x14ac:dyDescent="0.3">
      <c r="I23582" s="101"/>
    </row>
    <row r="23583" spans="9:9" x14ac:dyDescent="0.3">
      <c r="I23583" s="101"/>
    </row>
    <row r="23584" spans="9:9" x14ac:dyDescent="0.3">
      <c r="I23584" s="101"/>
    </row>
    <row r="23585" spans="9:9" x14ac:dyDescent="0.3">
      <c r="I23585" s="101"/>
    </row>
    <row r="23586" spans="9:9" x14ac:dyDescent="0.3">
      <c r="I23586" s="101"/>
    </row>
    <row r="23587" spans="9:9" x14ac:dyDescent="0.3">
      <c r="I23587" s="101"/>
    </row>
    <row r="23588" spans="9:9" x14ac:dyDescent="0.3">
      <c r="I23588" s="101"/>
    </row>
    <row r="23589" spans="9:9" x14ac:dyDescent="0.3">
      <c r="I23589" s="101"/>
    </row>
    <row r="23590" spans="9:9" x14ac:dyDescent="0.3">
      <c r="I23590" s="101"/>
    </row>
    <row r="23591" spans="9:9" x14ac:dyDescent="0.3">
      <c r="I23591" s="101"/>
    </row>
    <row r="23592" spans="9:9" x14ac:dyDescent="0.3">
      <c r="I23592" s="101"/>
    </row>
    <row r="23593" spans="9:9" x14ac:dyDescent="0.3">
      <c r="I23593" s="101"/>
    </row>
    <row r="23594" spans="9:9" x14ac:dyDescent="0.3">
      <c r="I23594" s="101"/>
    </row>
    <row r="23595" spans="9:9" x14ac:dyDescent="0.3">
      <c r="I23595" s="101"/>
    </row>
    <row r="23596" spans="9:9" x14ac:dyDescent="0.3">
      <c r="I23596" s="101"/>
    </row>
    <row r="23597" spans="9:9" x14ac:dyDescent="0.3">
      <c r="I23597" s="101"/>
    </row>
    <row r="23598" spans="9:9" x14ac:dyDescent="0.3">
      <c r="I23598" s="101"/>
    </row>
    <row r="23599" spans="9:9" x14ac:dyDescent="0.3">
      <c r="I23599" s="101"/>
    </row>
    <row r="23600" spans="9:9" x14ac:dyDescent="0.3">
      <c r="I23600" s="101"/>
    </row>
    <row r="23601" spans="9:9" x14ac:dyDescent="0.3">
      <c r="I23601" s="101"/>
    </row>
    <row r="23602" spans="9:9" x14ac:dyDescent="0.3">
      <c r="I23602" s="101"/>
    </row>
    <row r="23603" spans="9:9" x14ac:dyDescent="0.3">
      <c r="I23603" s="101"/>
    </row>
    <row r="23604" spans="9:9" x14ac:dyDescent="0.3">
      <c r="I23604" s="101"/>
    </row>
    <row r="23605" spans="9:9" x14ac:dyDescent="0.3">
      <c r="I23605" s="101"/>
    </row>
    <row r="23606" spans="9:9" x14ac:dyDescent="0.3">
      <c r="I23606" s="101"/>
    </row>
    <row r="23607" spans="9:9" x14ac:dyDescent="0.3">
      <c r="I23607" s="101"/>
    </row>
    <row r="23608" spans="9:9" x14ac:dyDescent="0.3">
      <c r="I23608" s="101"/>
    </row>
    <row r="23609" spans="9:9" x14ac:dyDescent="0.3">
      <c r="I23609" s="101"/>
    </row>
    <row r="23610" spans="9:9" x14ac:dyDescent="0.3">
      <c r="I23610" s="101"/>
    </row>
    <row r="23611" spans="9:9" x14ac:dyDescent="0.3">
      <c r="I23611" s="101"/>
    </row>
    <row r="23612" spans="9:9" x14ac:dyDescent="0.3">
      <c r="I23612" s="101"/>
    </row>
    <row r="23613" spans="9:9" x14ac:dyDescent="0.3">
      <c r="I23613" s="101"/>
    </row>
    <row r="23614" spans="9:9" x14ac:dyDescent="0.3">
      <c r="I23614" s="101"/>
    </row>
    <row r="23615" spans="9:9" x14ac:dyDescent="0.3">
      <c r="I23615" s="101"/>
    </row>
    <row r="23616" spans="9:9" x14ac:dyDescent="0.3">
      <c r="I23616" s="101"/>
    </row>
    <row r="23617" spans="9:9" x14ac:dyDescent="0.3">
      <c r="I23617" s="101"/>
    </row>
    <row r="23618" spans="9:9" x14ac:dyDescent="0.3">
      <c r="I23618" s="101"/>
    </row>
    <row r="23619" spans="9:9" x14ac:dyDescent="0.3">
      <c r="I23619" s="101"/>
    </row>
    <row r="23620" spans="9:9" x14ac:dyDescent="0.3">
      <c r="I23620" s="101"/>
    </row>
    <row r="23621" spans="9:9" x14ac:dyDescent="0.3">
      <c r="I23621" s="101"/>
    </row>
    <row r="23622" spans="9:9" x14ac:dyDescent="0.3">
      <c r="I23622" s="101"/>
    </row>
    <row r="23623" spans="9:9" x14ac:dyDescent="0.3">
      <c r="I23623" s="101"/>
    </row>
    <row r="23624" spans="9:9" x14ac:dyDescent="0.3">
      <c r="I23624" s="101"/>
    </row>
    <row r="23625" spans="9:9" x14ac:dyDescent="0.3">
      <c r="I23625" s="101"/>
    </row>
    <row r="23626" spans="9:9" x14ac:dyDescent="0.3">
      <c r="I23626" s="101"/>
    </row>
    <row r="23627" spans="9:9" x14ac:dyDescent="0.3">
      <c r="I23627" s="101"/>
    </row>
    <row r="23628" spans="9:9" x14ac:dyDescent="0.3">
      <c r="I23628" s="101"/>
    </row>
    <row r="23629" spans="9:9" x14ac:dyDescent="0.3">
      <c r="I23629" s="101"/>
    </row>
    <row r="23630" spans="9:9" x14ac:dyDescent="0.3">
      <c r="I23630" s="101"/>
    </row>
    <row r="23631" spans="9:9" x14ac:dyDescent="0.3">
      <c r="I23631" s="101"/>
    </row>
    <row r="23632" spans="9:9" x14ac:dyDescent="0.3">
      <c r="I23632" s="101"/>
    </row>
    <row r="23633" spans="9:9" x14ac:dyDescent="0.3">
      <c r="I23633" s="101"/>
    </row>
    <row r="23634" spans="9:9" x14ac:dyDescent="0.3">
      <c r="I23634" s="101"/>
    </row>
    <row r="23635" spans="9:9" x14ac:dyDescent="0.3">
      <c r="I23635" s="101"/>
    </row>
    <row r="23636" spans="9:9" x14ac:dyDescent="0.3">
      <c r="I23636" s="101"/>
    </row>
    <row r="23637" spans="9:9" x14ac:dyDescent="0.3">
      <c r="I23637" s="101"/>
    </row>
    <row r="23638" spans="9:9" x14ac:dyDescent="0.3">
      <c r="I23638" s="101"/>
    </row>
    <row r="23639" spans="9:9" x14ac:dyDescent="0.3">
      <c r="I23639" s="101"/>
    </row>
    <row r="23640" spans="9:9" x14ac:dyDescent="0.3">
      <c r="I23640" s="101"/>
    </row>
    <row r="23641" spans="9:9" x14ac:dyDescent="0.3">
      <c r="I23641" s="101"/>
    </row>
    <row r="23642" spans="9:9" x14ac:dyDescent="0.3">
      <c r="I23642" s="101"/>
    </row>
    <row r="23643" spans="9:9" x14ac:dyDescent="0.3">
      <c r="I23643" s="101"/>
    </row>
    <row r="23644" spans="9:9" x14ac:dyDescent="0.3">
      <c r="I23644" s="101"/>
    </row>
    <row r="23645" spans="9:9" x14ac:dyDescent="0.3">
      <c r="I23645" s="101"/>
    </row>
    <row r="23646" spans="9:9" x14ac:dyDescent="0.3">
      <c r="I23646" s="101"/>
    </row>
    <row r="23647" spans="9:9" x14ac:dyDescent="0.3">
      <c r="I23647" s="101"/>
    </row>
    <row r="23648" spans="9:9" x14ac:dyDescent="0.3">
      <c r="I23648" s="101"/>
    </row>
    <row r="23649" spans="9:9" x14ac:dyDescent="0.3">
      <c r="I23649" s="101"/>
    </row>
    <row r="23650" spans="9:9" x14ac:dyDescent="0.3">
      <c r="I23650" s="101"/>
    </row>
    <row r="23651" spans="9:9" x14ac:dyDescent="0.3">
      <c r="I23651" s="101"/>
    </row>
    <row r="23652" spans="9:9" x14ac:dyDescent="0.3">
      <c r="I23652" s="101"/>
    </row>
    <row r="23653" spans="9:9" x14ac:dyDescent="0.3">
      <c r="I23653" s="101"/>
    </row>
    <row r="23654" spans="9:9" x14ac:dyDescent="0.3">
      <c r="I23654" s="101"/>
    </row>
    <row r="23655" spans="9:9" x14ac:dyDescent="0.3">
      <c r="I23655" s="101"/>
    </row>
    <row r="23656" spans="9:9" x14ac:dyDescent="0.3">
      <c r="I23656" s="101"/>
    </row>
    <row r="23657" spans="9:9" x14ac:dyDescent="0.3">
      <c r="I23657" s="101"/>
    </row>
    <row r="23658" spans="9:9" x14ac:dyDescent="0.3">
      <c r="I23658" s="101"/>
    </row>
    <row r="23659" spans="9:9" x14ac:dyDescent="0.3">
      <c r="I23659" s="101"/>
    </row>
    <row r="23660" spans="9:9" x14ac:dyDescent="0.3">
      <c r="I23660" s="101"/>
    </row>
    <row r="23661" spans="9:9" x14ac:dyDescent="0.3">
      <c r="I23661" s="101"/>
    </row>
    <row r="23662" spans="9:9" x14ac:dyDescent="0.3">
      <c r="I23662" s="101"/>
    </row>
    <row r="23663" spans="9:9" x14ac:dyDescent="0.3">
      <c r="I23663" s="101"/>
    </row>
    <row r="23664" spans="9:9" x14ac:dyDescent="0.3">
      <c r="I23664" s="101"/>
    </row>
    <row r="23665" spans="9:9" x14ac:dyDescent="0.3">
      <c r="I23665" s="101"/>
    </row>
    <row r="23666" spans="9:9" x14ac:dyDescent="0.3">
      <c r="I23666" s="101"/>
    </row>
    <row r="23667" spans="9:9" x14ac:dyDescent="0.3">
      <c r="I23667" s="101"/>
    </row>
    <row r="23668" spans="9:9" x14ac:dyDescent="0.3">
      <c r="I23668" s="101"/>
    </row>
    <row r="23669" spans="9:9" x14ac:dyDescent="0.3">
      <c r="I23669" s="101"/>
    </row>
    <row r="23670" spans="9:9" x14ac:dyDescent="0.3">
      <c r="I23670" s="101"/>
    </row>
    <row r="23671" spans="9:9" x14ac:dyDescent="0.3">
      <c r="I23671" s="101"/>
    </row>
    <row r="23672" spans="9:9" x14ac:dyDescent="0.3">
      <c r="I23672" s="101"/>
    </row>
    <row r="23673" spans="9:9" x14ac:dyDescent="0.3">
      <c r="I23673" s="101"/>
    </row>
    <row r="23674" spans="9:9" x14ac:dyDescent="0.3">
      <c r="I23674" s="101"/>
    </row>
    <row r="23675" spans="9:9" x14ac:dyDescent="0.3">
      <c r="I23675" s="101"/>
    </row>
    <row r="23676" spans="9:9" x14ac:dyDescent="0.3">
      <c r="I23676" s="101"/>
    </row>
    <row r="23677" spans="9:9" x14ac:dyDescent="0.3">
      <c r="I23677" s="101"/>
    </row>
    <row r="23678" spans="9:9" x14ac:dyDescent="0.3">
      <c r="I23678" s="101"/>
    </row>
    <row r="23679" spans="9:9" x14ac:dyDescent="0.3">
      <c r="I23679" s="101"/>
    </row>
    <row r="23680" spans="9:9" x14ac:dyDescent="0.3">
      <c r="I23680" s="101"/>
    </row>
    <row r="23681" spans="9:9" x14ac:dyDescent="0.3">
      <c r="I23681" s="101"/>
    </row>
    <row r="23682" spans="9:9" x14ac:dyDescent="0.3">
      <c r="I23682" s="101"/>
    </row>
    <row r="23683" spans="9:9" x14ac:dyDescent="0.3">
      <c r="I23683" s="101"/>
    </row>
    <row r="23684" spans="9:9" x14ac:dyDescent="0.3">
      <c r="I23684" s="101"/>
    </row>
    <row r="23685" spans="9:9" x14ac:dyDescent="0.3">
      <c r="I23685" s="101"/>
    </row>
    <row r="23686" spans="9:9" x14ac:dyDescent="0.3">
      <c r="I23686" s="101"/>
    </row>
    <row r="23687" spans="9:9" x14ac:dyDescent="0.3">
      <c r="I23687" s="101"/>
    </row>
    <row r="23688" spans="9:9" x14ac:dyDescent="0.3">
      <c r="I23688" s="101"/>
    </row>
    <row r="23689" spans="9:9" x14ac:dyDescent="0.3">
      <c r="I23689" s="101"/>
    </row>
    <row r="23690" spans="9:9" x14ac:dyDescent="0.3">
      <c r="I23690" s="101"/>
    </row>
    <row r="23691" spans="9:9" x14ac:dyDescent="0.3">
      <c r="I23691" s="101"/>
    </row>
    <row r="23692" spans="9:9" x14ac:dyDescent="0.3">
      <c r="I23692" s="101"/>
    </row>
    <row r="23693" spans="9:9" x14ac:dyDescent="0.3">
      <c r="I23693" s="101"/>
    </row>
    <row r="23694" spans="9:9" x14ac:dyDescent="0.3">
      <c r="I23694" s="101"/>
    </row>
    <row r="23695" spans="9:9" x14ac:dyDescent="0.3">
      <c r="I23695" s="101"/>
    </row>
    <row r="23696" spans="9:9" x14ac:dyDescent="0.3">
      <c r="I23696" s="101"/>
    </row>
    <row r="23697" spans="9:9" x14ac:dyDescent="0.3">
      <c r="I23697" s="101"/>
    </row>
    <row r="23698" spans="9:9" x14ac:dyDescent="0.3">
      <c r="I23698" s="101"/>
    </row>
    <row r="23699" spans="9:9" x14ac:dyDescent="0.3">
      <c r="I23699" s="101"/>
    </row>
    <row r="23700" spans="9:9" x14ac:dyDescent="0.3">
      <c r="I23700" s="101"/>
    </row>
    <row r="23701" spans="9:9" x14ac:dyDescent="0.3">
      <c r="I23701" s="101"/>
    </row>
    <row r="23702" spans="9:9" x14ac:dyDescent="0.3">
      <c r="I23702" s="101"/>
    </row>
    <row r="23703" spans="9:9" x14ac:dyDescent="0.3">
      <c r="I23703" s="101"/>
    </row>
    <row r="23704" spans="9:9" x14ac:dyDescent="0.3">
      <c r="I23704" s="101"/>
    </row>
    <row r="23705" spans="9:9" x14ac:dyDescent="0.3">
      <c r="I23705" s="101"/>
    </row>
    <row r="23706" spans="9:9" x14ac:dyDescent="0.3">
      <c r="I23706" s="101"/>
    </row>
    <row r="23707" spans="9:9" x14ac:dyDescent="0.3">
      <c r="I23707" s="101"/>
    </row>
    <row r="23708" spans="9:9" x14ac:dyDescent="0.3">
      <c r="I23708" s="101"/>
    </row>
    <row r="23709" spans="9:9" x14ac:dyDescent="0.3">
      <c r="I23709" s="101"/>
    </row>
    <row r="23710" spans="9:9" x14ac:dyDescent="0.3">
      <c r="I23710" s="101"/>
    </row>
    <row r="23711" spans="9:9" x14ac:dyDescent="0.3">
      <c r="I23711" s="101"/>
    </row>
    <row r="23712" spans="9:9" x14ac:dyDescent="0.3">
      <c r="I23712" s="101"/>
    </row>
    <row r="23713" spans="9:9" x14ac:dyDescent="0.3">
      <c r="I23713" s="101"/>
    </row>
    <row r="23714" spans="9:9" x14ac:dyDescent="0.3">
      <c r="I23714" s="101"/>
    </row>
    <row r="23715" spans="9:9" x14ac:dyDescent="0.3">
      <c r="I23715" s="101"/>
    </row>
    <row r="23716" spans="9:9" x14ac:dyDescent="0.3">
      <c r="I23716" s="101"/>
    </row>
    <row r="23717" spans="9:9" x14ac:dyDescent="0.3">
      <c r="I23717" s="101"/>
    </row>
    <row r="23718" spans="9:9" x14ac:dyDescent="0.3">
      <c r="I23718" s="101"/>
    </row>
    <row r="23719" spans="9:9" x14ac:dyDescent="0.3">
      <c r="I23719" s="101"/>
    </row>
    <row r="23720" spans="9:9" x14ac:dyDescent="0.3">
      <c r="I23720" s="101"/>
    </row>
    <row r="23721" spans="9:9" x14ac:dyDescent="0.3">
      <c r="I23721" s="101"/>
    </row>
    <row r="23722" spans="9:9" x14ac:dyDescent="0.3">
      <c r="I23722" s="101"/>
    </row>
    <row r="23723" spans="9:9" x14ac:dyDescent="0.3">
      <c r="I23723" s="101"/>
    </row>
    <row r="23724" spans="9:9" x14ac:dyDescent="0.3">
      <c r="I23724" s="101"/>
    </row>
    <row r="23725" spans="9:9" x14ac:dyDescent="0.3">
      <c r="I23725" s="101"/>
    </row>
    <row r="23726" spans="9:9" x14ac:dyDescent="0.3">
      <c r="I23726" s="101"/>
    </row>
    <row r="23727" spans="9:9" x14ac:dyDescent="0.3">
      <c r="I23727" s="101"/>
    </row>
    <row r="23728" spans="9:9" x14ac:dyDescent="0.3">
      <c r="I23728" s="101"/>
    </row>
    <row r="23729" spans="9:9" x14ac:dyDescent="0.3">
      <c r="I23729" s="101"/>
    </row>
    <row r="23730" spans="9:9" x14ac:dyDescent="0.3">
      <c r="I23730" s="101"/>
    </row>
    <row r="23731" spans="9:9" x14ac:dyDescent="0.3">
      <c r="I23731" s="101"/>
    </row>
    <row r="23732" spans="9:9" x14ac:dyDescent="0.3">
      <c r="I23732" s="101"/>
    </row>
    <row r="23733" spans="9:9" x14ac:dyDescent="0.3">
      <c r="I23733" s="101"/>
    </row>
    <row r="23734" spans="9:9" x14ac:dyDescent="0.3">
      <c r="I23734" s="101"/>
    </row>
    <row r="23735" spans="9:9" x14ac:dyDescent="0.3">
      <c r="I23735" s="101"/>
    </row>
    <row r="23736" spans="9:9" x14ac:dyDescent="0.3">
      <c r="I23736" s="101"/>
    </row>
    <row r="23737" spans="9:9" x14ac:dyDescent="0.3">
      <c r="I23737" s="101"/>
    </row>
    <row r="23738" spans="9:9" x14ac:dyDescent="0.3">
      <c r="I23738" s="101"/>
    </row>
    <row r="23739" spans="9:9" x14ac:dyDescent="0.3">
      <c r="I23739" s="101"/>
    </row>
    <row r="23740" spans="9:9" x14ac:dyDescent="0.3">
      <c r="I23740" s="101"/>
    </row>
    <row r="23741" spans="9:9" x14ac:dyDescent="0.3">
      <c r="I23741" s="101"/>
    </row>
    <row r="23742" spans="9:9" x14ac:dyDescent="0.3">
      <c r="I23742" s="101"/>
    </row>
    <row r="23743" spans="9:9" x14ac:dyDescent="0.3">
      <c r="I23743" s="101"/>
    </row>
    <row r="23744" spans="9:9" x14ac:dyDescent="0.3">
      <c r="I23744" s="101"/>
    </row>
    <row r="23745" spans="9:9" x14ac:dyDescent="0.3">
      <c r="I23745" s="101"/>
    </row>
    <row r="23746" spans="9:9" x14ac:dyDescent="0.3">
      <c r="I23746" s="101"/>
    </row>
    <row r="23747" spans="9:9" x14ac:dyDescent="0.3">
      <c r="I23747" s="101"/>
    </row>
    <row r="23748" spans="9:9" x14ac:dyDescent="0.3">
      <c r="I23748" s="101"/>
    </row>
    <row r="23749" spans="9:9" x14ac:dyDescent="0.3">
      <c r="I23749" s="101"/>
    </row>
    <row r="23750" spans="9:9" x14ac:dyDescent="0.3">
      <c r="I23750" s="101"/>
    </row>
    <row r="23751" spans="9:9" x14ac:dyDescent="0.3">
      <c r="I23751" s="101"/>
    </row>
    <row r="23752" spans="9:9" x14ac:dyDescent="0.3">
      <c r="I23752" s="101"/>
    </row>
    <row r="23753" spans="9:9" x14ac:dyDescent="0.3">
      <c r="I23753" s="101"/>
    </row>
    <row r="23754" spans="9:9" x14ac:dyDescent="0.3">
      <c r="I23754" s="101"/>
    </row>
    <row r="23755" spans="9:9" x14ac:dyDescent="0.3">
      <c r="I23755" s="101"/>
    </row>
    <row r="23756" spans="9:9" x14ac:dyDescent="0.3">
      <c r="I23756" s="101"/>
    </row>
    <row r="23757" spans="9:9" x14ac:dyDescent="0.3">
      <c r="I23757" s="101"/>
    </row>
    <row r="23758" spans="9:9" x14ac:dyDescent="0.3">
      <c r="I23758" s="101"/>
    </row>
    <row r="23759" spans="9:9" x14ac:dyDescent="0.3">
      <c r="I23759" s="101"/>
    </row>
    <row r="23760" spans="9:9" x14ac:dyDescent="0.3">
      <c r="I23760" s="101"/>
    </row>
    <row r="23761" spans="9:9" x14ac:dyDescent="0.3">
      <c r="I23761" s="101"/>
    </row>
    <row r="23762" spans="9:9" x14ac:dyDescent="0.3">
      <c r="I23762" s="101"/>
    </row>
    <row r="23763" spans="9:9" x14ac:dyDescent="0.3">
      <c r="I23763" s="101"/>
    </row>
    <row r="23764" spans="9:9" x14ac:dyDescent="0.3">
      <c r="I23764" s="101"/>
    </row>
    <row r="23765" spans="9:9" x14ac:dyDescent="0.3">
      <c r="I23765" s="101"/>
    </row>
    <row r="23766" spans="9:9" x14ac:dyDescent="0.3">
      <c r="I23766" s="101"/>
    </row>
    <row r="23767" spans="9:9" x14ac:dyDescent="0.3">
      <c r="I23767" s="101"/>
    </row>
    <row r="23768" spans="9:9" x14ac:dyDescent="0.3">
      <c r="I23768" s="101"/>
    </row>
    <row r="23769" spans="9:9" x14ac:dyDescent="0.3">
      <c r="I23769" s="101"/>
    </row>
    <row r="23770" spans="9:9" x14ac:dyDescent="0.3">
      <c r="I23770" s="101"/>
    </row>
    <row r="23771" spans="9:9" x14ac:dyDescent="0.3">
      <c r="I23771" s="101"/>
    </row>
    <row r="23772" spans="9:9" x14ac:dyDescent="0.3">
      <c r="I23772" s="101"/>
    </row>
    <row r="23773" spans="9:9" x14ac:dyDescent="0.3">
      <c r="I23773" s="101"/>
    </row>
    <row r="23774" spans="9:9" x14ac:dyDescent="0.3">
      <c r="I23774" s="101"/>
    </row>
    <row r="23775" spans="9:9" x14ac:dyDescent="0.3">
      <c r="I23775" s="101"/>
    </row>
    <row r="23776" spans="9:9" x14ac:dyDescent="0.3">
      <c r="I23776" s="101"/>
    </row>
    <row r="23777" spans="9:9" x14ac:dyDescent="0.3">
      <c r="I23777" s="101"/>
    </row>
    <row r="23778" spans="9:9" x14ac:dyDescent="0.3">
      <c r="I23778" s="101"/>
    </row>
    <row r="23779" spans="9:9" x14ac:dyDescent="0.3">
      <c r="I23779" s="101"/>
    </row>
    <row r="23780" spans="9:9" x14ac:dyDescent="0.3">
      <c r="I23780" s="101"/>
    </row>
    <row r="23781" spans="9:9" x14ac:dyDescent="0.3">
      <c r="I23781" s="101"/>
    </row>
    <row r="23782" spans="9:9" x14ac:dyDescent="0.3">
      <c r="I23782" s="101"/>
    </row>
    <row r="23783" spans="9:9" x14ac:dyDescent="0.3">
      <c r="I23783" s="101"/>
    </row>
    <row r="23784" spans="9:9" x14ac:dyDescent="0.3">
      <c r="I23784" s="101"/>
    </row>
    <row r="23785" spans="9:9" x14ac:dyDescent="0.3">
      <c r="I23785" s="101"/>
    </row>
    <row r="23786" spans="9:9" x14ac:dyDescent="0.3">
      <c r="I23786" s="101"/>
    </row>
    <row r="23787" spans="9:9" x14ac:dyDescent="0.3">
      <c r="I23787" s="101"/>
    </row>
    <row r="23788" spans="9:9" x14ac:dyDescent="0.3">
      <c r="I23788" s="101"/>
    </row>
    <row r="23789" spans="9:9" x14ac:dyDescent="0.3">
      <c r="I23789" s="101"/>
    </row>
    <row r="23790" spans="9:9" x14ac:dyDescent="0.3">
      <c r="I23790" s="101"/>
    </row>
    <row r="23791" spans="9:9" x14ac:dyDescent="0.3">
      <c r="I23791" s="101"/>
    </row>
    <row r="23792" spans="9:9" x14ac:dyDescent="0.3">
      <c r="I23792" s="101"/>
    </row>
    <row r="23793" spans="9:9" x14ac:dyDescent="0.3">
      <c r="I23793" s="101"/>
    </row>
    <row r="23794" spans="9:9" x14ac:dyDescent="0.3">
      <c r="I23794" s="101"/>
    </row>
    <row r="23795" spans="9:9" x14ac:dyDescent="0.3">
      <c r="I23795" s="101"/>
    </row>
    <row r="23796" spans="9:9" x14ac:dyDescent="0.3">
      <c r="I23796" s="101"/>
    </row>
    <row r="23797" spans="9:9" x14ac:dyDescent="0.3">
      <c r="I23797" s="101"/>
    </row>
    <row r="23798" spans="9:9" x14ac:dyDescent="0.3">
      <c r="I23798" s="101"/>
    </row>
    <row r="23799" spans="9:9" x14ac:dyDescent="0.3">
      <c r="I23799" s="101"/>
    </row>
    <row r="23800" spans="9:9" x14ac:dyDescent="0.3">
      <c r="I23800" s="101"/>
    </row>
    <row r="23801" spans="9:9" x14ac:dyDescent="0.3">
      <c r="I23801" s="101"/>
    </row>
    <row r="23802" spans="9:9" x14ac:dyDescent="0.3">
      <c r="I23802" s="101"/>
    </row>
    <row r="23803" spans="9:9" x14ac:dyDescent="0.3">
      <c r="I23803" s="101"/>
    </row>
    <row r="23804" spans="9:9" x14ac:dyDescent="0.3">
      <c r="I23804" s="101"/>
    </row>
    <row r="23805" spans="9:9" x14ac:dyDescent="0.3">
      <c r="I23805" s="101"/>
    </row>
    <row r="23806" spans="9:9" x14ac:dyDescent="0.3">
      <c r="I23806" s="101"/>
    </row>
    <row r="23807" spans="9:9" x14ac:dyDescent="0.3">
      <c r="I23807" s="101"/>
    </row>
    <row r="23808" spans="9:9" x14ac:dyDescent="0.3">
      <c r="I23808" s="101"/>
    </row>
    <row r="23809" spans="9:9" x14ac:dyDescent="0.3">
      <c r="I23809" s="101"/>
    </row>
    <row r="23810" spans="9:9" x14ac:dyDescent="0.3">
      <c r="I23810" s="101"/>
    </row>
    <row r="23811" spans="9:9" x14ac:dyDescent="0.3">
      <c r="I23811" s="101"/>
    </row>
    <row r="23812" spans="9:9" x14ac:dyDescent="0.3">
      <c r="I23812" s="101"/>
    </row>
    <row r="23813" spans="9:9" x14ac:dyDescent="0.3">
      <c r="I23813" s="101"/>
    </row>
    <row r="23814" spans="9:9" x14ac:dyDescent="0.3">
      <c r="I23814" s="101"/>
    </row>
    <row r="23815" spans="9:9" x14ac:dyDescent="0.3">
      <c r="I23815" s="101"/>
    </row>
    <row r="23816" spans="9:9" x14ac:dyDescent="0.3">
      <c r="I23816" s="101"/>
    </row>
    <row r="23817" spans="9:9" x14ac:dyDescent="0.3">
      <c r="I23817" s="101"/>
    </row>
    <row r="23818" spans="9:9" x14ac:dyDescent="0.3">
      <c r="I23818" s="101"/>
    </row>
    <row r="23819" spans="9:9" x14ac:dyDescent="0.3">
      <c r="I23819" s="101"/>
    </row>
    <row r="23820" spans="9:9" x14ac:dyDescent="0.3">
      <c r="I23820" s="101"/>
    </row>
    <row r="23821" spans="9:9" x14ac:dyDescent="0.3">
      <c r="I23821" s="101"/>
    </row>
    <row r="23822" spans="9:9" x14ac:dyDescent="0.3">
      <c r="I23822" s="101"/>
    </row>
    <row r="23823" spans="9:9" x14ac:dyDescent="0.3">
      <c r="I23823" s="101"/>
    </row>
    <row r="23824" spans="9:9" x14ac:dyDescent="0.3">
      <c r="I23824" s="101"/>
    </row>
    <row r="23825" spans="9:9" x14ac:dyDescent="0.3">
      <c r="I23825" s="101"/>
    </row>
    <row r="23826" spans="9:9" x14ac:dyDescent="0.3">
      <c r="I23826" s="101"/>
    </row>
    <row r="23827" spans="9:9" x14ac:dyDescent="0.3">
      <c r="I23827" s="101"/>
    </row>
    <row r="23828" spans="9:9" x14ac:dyDescent="0.3">
      <c r="I23828" s="101"/>
    </row>
    <row r="23829" spans="9:9" x14ac:dyDescent="0.3">
      <c r="I23829" s="101"/>
    </row>
    <row r="23830" spans="9:9" x14ac:dyDescent="0.3">
      <c r="I23830" s="101"/>
    </row>
    <row r="23831" spans="9:9" x14ac:dyDescent="0.3">
      <c r="I23831" s="101"/>
    </row>
    <row r="23832" spans="9:9" x14ac:dyDescent="0.3">
      <c r="I23832" s="101"/>
    </row>
    <row r="23833" spans="9:9" x14ac:dyDescent="0.3">
      <c r="I23833" s="101"/>
    </row>
    <row r="23834" spans="9:9" x14ac:dyDescent="0.3">
      <c r="I23834" s="101"/>
    </row>
    <row r="23835" spans="9:9" x14ac:dyDescent="0.3">
      <c r="I23835" s="101"/>
    </row>
    <row r="23836" spans="9:9" x14ac:dyDescent="0.3">
      <c r="I23836" s="101"/>
    </row>
    <row r="23837" spans="9:9" x14ac:dyDescent="0.3">
      <c r="I23837" s="101"/>
    </row>
    <row r="23838" spans="9:9" x14ac:dyDescent="0.3">
      <c r="I23838" s="101"/>
    </row>
    <row r="23839" spans="9:9" x14ac:dyDescent="0.3">
      <c r="I23839" s="101"/>
    </row>
    <row r="23840" spans="9:9" x14ac:dyDescent="0.3">
      <c r="I23840" s="101"/>
    </row>
    <row r="23841" spans="9:9" x14ac:dyDescent="0.3">
      <c r="I23841" s="101"/>
    </row>
    <row r="23842" spans="9:9" x14ac:dyDescent="0.3">
      <c r="I23842" s="101"/>
    </row>
    <row r="23843" spans="9:9" x14ac:dyDescent="0.3">
      <c r="I23843" s="101"/>
    </row>
    <row r="23844" spans="9:9" x14ac:dyDescent="0.3">
      <c r="I23844" s="101"/>
    </row>
    <row r="23845" spans="9:9" x14ac:dyDescent="0.3">
      <c r="I23845" s="101"/>
    </row>
    <row r="23846" spans="9:9" x14ac:dyDescent="0.3">
      <c r="I23846" s="101"/>
    </row>
    <row r="23847" spans="9:9" x14ac:dyDescent="0.3">
      <c r="I23847" s="101"/>
    </row>
    <row r="23848" spans="9:9" x14ac:dyDescent="0.3">
      <c r="I23848" s="101"/>
    </row>
    <row r="23849" spans="9:9" x14ac:dyDescent="0.3">
      <c r="I23849" s="101"/>
    </row>
    <row r="23850" spans="9:9" x14ac:dyDescent="0.3">
      <c r="I23850" s="101"/>
    </row>
    <row r="23851" spans="9:9" x14ac:dyDescent="0.3">
      <c r="I23851" s="101"/>
    </row>
    <row r="23852" spans="9:9" x14ac:dyDescent="0.3">
      <c r="I23852" s="101"/>
    </row>
    <row r="23853" spans="9:9" x14ac:dyDescent="0.3">
      <c r="I23853" s="101"/>
    </row>
    <row r="23854" spans="9:9" x14ac:dyDescent="0.3">
      <c r="I23854" s="101"/>
    </row>
    <row r="23855" spans="9:9" x14ac:dyDescent="0.3">
      <c r="I23855" s="101"/>
    </row>
    <row r="23856" spans="9:9" x14ac:dyDescent="0.3">
      <c r="I23856" s="101"/>
    </row>
    <row r="23857" spans="9:9" x14ac:dyDescent="0.3">
      <c r="I23857" s="101"/>
    </row>
    <row r="23858" spans="9:9" x14ac:dyDescent="0.3">
      <c r="I23858" s="101"/>
    </row>
    <row r="23859" spans="9:9" x14ac:dyDescent="0.3">
      <c r="I23859" s="101"/>
    </row>
    <row r="23860" spans="9:9" x14ac:dyDescent="0.3">
      <c r="I23860" s="101"/>
    </row>
    <row r="23861" spans="9:9" x14ac:dyDescent="0.3">
      <c r="I23861" s="101"/>
    </row>
    <row r="23862" spans="9:9" x14ac:dyDescent="0.3">
      <c r="I23862" s="101"/>
    </row>
    <row r="23863" spans="9:9" x14ac:dyDescent="0.3">
      <c r="I23863" s="101"/>
    </row>
    <row r="23864" spans="9:9" x14ac:dyDescent="0.3">
      <c r="I23864" s="101"/>
    </row>
    <row r="23865" spans="9:9" x14ac:dyDescent="0.3">
      <c r="I23865" s="101"/>
    </row>
    <row r="23866" spans="9:9" x14ac:dyDescent="0.3">
      <c r="I23866" s="101"/>
    </row>
    <row r="23867" spans="9:9" x14ac:dyDescent="0.3">
      <c r="I23867" s="101"/>
    </row>
    <row r="23868" spans="9:9" x14ac:dyDescent="0.3">
      <c r="I23868" s="101"/>
    </row>
    <row r="23869" spans="9:9" x14ac:dyDescent="0.3">
      <c r="I23869" s="101"/>
    </row>
    <row r="23870" spans="9:9" x14ac:dyDescent="0.3">
      <c r="I23870" s="101"/>
    </row>
    <row r="23871" spans="9:9" x14ac:dyDescent="0.3">
      <c r="I23871" s="101"/>
    </row>
    <row r="23872" spans="9:9" x14ac:dyDescent="0.3">
      <c r="I23872" s="101"/>
    </row>
    <row r="23873" spans="9:9" x14ac:dyDescent="0.3">
      <c r="I23873" s="101"/>
    </row>
    <row r="23874" spans="9:9" x14ac:dyDescent="0.3">
      <c r="I23874" s="101"/>
    </row>
    <row r="23875" spans="9:9" x14ac:dyDescent="0.3">
      <c r="I23875" s="101"/>
    </row>
    <row r="23876" spans="9:9" x14ac:dyDescent="0.3">
      <c r="I23876" s="101"/>
    </row>
    <row r="23877" spans="9:9" x14ac:dyDescent="0.3">
      <c r="I23877" s="101"/>
    </row>
    <row r="23878" spans="9:9" x14ac:dyDescent="0.3">
      <c r="I23878" s="101"/>
    </row>
    <row r="23879" spans="9:9" x14ac:dyDescent="0.3">
      <c r="I23879" s="101"/>
    </row>
    <row r="23880" spans="9:9" x14ac:dyDescent="0.3">
      <c r="I23880" s="101"/>
    </row>
    <row r="23881" spans="9:9" x14ac:dyDescent="0.3">
      <c r="I23881" s="101"/>
    </row>
    <row r="23882" spans="9:9" x14ac:dyDescent="0.3">
      <c r="I23882" s="101"/>
    </row>
    <row r="23883" spans="9:9" x14ac:dyDescent="0.3">
      <c r="I23883" s="101"/>
    </row>
    <row r="23884" spans="9:9" x14ac:dyDescent="0.3">
      <c r="I23884" s="101"/>
    </row>
    <row r="23885" spans="9:9" x14ac:dyDescent="0.3">
      <c r="I23885" s="101"/>
    </row>
    <row r="23886" spans="9:9" x14ac:dyDescent="0.3">
      <c r="I23886" s="101"/>
    </row>
    <row r="23887" spans="9:9" x14ac:dyDescent="0.3">
      <c r="I23887" s="101"/>
    </row>
    <row r="23888" spans="9:9" x14ac:dyDescent="0.3">
      <c r="I23888" s="101"/>
    </row>
    <row r="23889" spans="9:9" x14ac:dyDescent="0.3">
      <c r="I23889" s="101"/>
    </row>
    <row r="23890" spans="9:9" x14ac:dyDescent="0.3">
      <c r="I23890" s="101"/>
    </row>
    <row r="23891" spans="9:9" x14ac:dyDescent="0.3">
      <c r="I23891" s="101"/>
    </row>
    <row r="23892" spans="9:9" x14ac:dyDescent="0.3">
      <c r="I23892" s="101"/>
    </row>
    <row r="23893" spans="9:9" x14ac:dyDescent="0.3">
      <c r="I23893" s="101"/>
    </row>
    <row r="23894" spans="9:9" x14ac:dyDescent="0.3">
      <c r="I23894" s="101"/>
    </row>
    <row r="23895" spans="9:9" x14ac:dyDescent="0.3">
      <c r="I23895" s="101"/>
    </row>
    <row r="23896" spans="9:9" x14ac:dyDescent="0.3">
      <c r="I23896" s="101"/>
    </row>
    <row r="23897" spans="9:9" x14ac:dyDescent="0.3">
      <c r="I23897" s="101"/>
    </row>
    <row r="23898" spans="9:9" x14ac:dyDescent="0.3">
      <c r="I23898" s="101"/>
    </row>
    <row r="23899" spans="9:9" x14ac:dyDescent="0.3">
      <c r="I23899" s="101"/>
    </row>
    <row r="23900" spans="9:9" x14ac:dyDescent="0.3">
      <c r="I23900" s="101"/>
    </row>
    <row r="23901" spans="9:9" x14ac:dyDescent="0.3">
      <c r="I23901" s="101"/>
    </row>
    <row r="23902" spans="9:9" x14ac:dyDescent="0.3">
      <c r="I23902" s="101"/>
    </row>
    <row r="23903" spans="9:9" x14ac:dyDescent="0.3">
      <c r="I23903" s="101"/>
    </row>
    <row r="23904" spans="9:9" x14ac:dyDescent="0.3">
      <c r="I23904" s="101"/>
    </row>
    <row r="23905" spans="9:9" x14ac:dyDescent="0.3">
      <c r="I23905" s="101"/>
    </row>
    <row r="23906" spans="9:9" x14ac:dyDescent="0.3">
      <c r="I23906" s="101"/>
    </row>
    <row r="23907" spans="9:9" x14ac:dyDescent="0.3">
      <c r="I23907" s="101"/>
    </row>
    <row r="23908" spans="9:9" x14ac:dyDescent="0.3">
      <c r="I23908" s="101"/>
    </row>
    <row r="23909" spans="9:9" x14ac:dyDescent="0.3">
      <c r="I23909" s="101"/>
    </row>
    <row r="23910" spans="9:9" x14ac:dyDescent="0.3">
      <c r="I23910" s="101"/>
    </row>
    <row r="23911" spans="9:9" x14ac:dyDescent="0.3">
      <c r="I23911" s="101"/>
    </row>
    <row r="23912" spans="9:9" x14ac:dyDescent="0.3">
      <c r="I23912" s="101"/>
    </row>
    <row r="23913" spans="9:9" x14ac:dyDescent="0.3">
      <c r="I23913" s="101"/>
    </row>
    <row r="23914" spans="9:9" x14ac:dyDescent="0.3">
      <c r="I23914" s="101"/>
    </row>
    <row r="23915" spans="9:9" x14ac:dyDescent="0.3">
      <c r="I23915" s="101"/>
    </row>
    <row r="23916" spans="9:9" x14ac:dyDescent="0.3">
      <c r="I23916" s="101"/>
    </row>
    <row r="23917" spans="9:9" x14ac:dyDescent="0.3">
      <c r="I23917" s="101"/>
    </row>
    <row r="23918" spans="9:9" x14ac:dyDescent="0.3">
      <c r="I23918" s="101"/>
    </row>
    <row r="23919" spans="9:9" x14ac:dyDescent="0.3">
      <c r="I23919" s="101"/>
    </row>
    <row r="23920" spans="9:9" x14ac:dyDescent="0.3">
      <c r="I23920" s="101"/>
    </row>
    <row r="23921" spans="9:9" x14ac:dyDescent="0.3">
      <c r="I23921" s="101"/>
    </row>
    <row r="23922" spans="9:9" x14ac:dyDescent="0.3">
      <c r="I23922" s="101"/>
    </row>
    <row r="23923" spans="9:9" x14ac:dyDescent="0.3">
      <c r="I23923" s="101"/>
    </row>
    <row r="23924" spans="9:9" x14ac:dyDescent="0.3">
      <c r="I23924" s="101"/>
    </row>
    <row r="23925" spans="9:9" x14ac:dyDescent="0.3">
      <c r="I23925" s="101"/>
    </row>
    <row r="23926" spans="9:9" x14ac:dyDescent="0.3">
      <c r="I23926" s="101"/>
    </row>
    <row r="23927" spans="9:9" x14ac:dyDescent="0.3">
      <c r="I23927" s="101"/>
    </row>
    <row r="23928" spans="9:9" x14ac:dyDescent="0.3">
      <c r="I23928" s="101"/>
    </row>
    <row r="23929" spans="9:9" x14ac:dyDescent="0.3">
      <c r="I23929" s="101"/>
    </row>
    <row r="23930" spans="9:9" x14ac:dyDescent="0.3">
      <c r="I23930" s="101"/>
    </row>
    <row r="23931" spans="9:9" x14ac:dyDescent="0.3">
      <c r="I23931" s="101"/>
    </row>
    <row r="23932" spans="9:9" x14ac:dyDescent="0.3">
      <c r="I23932" s="101"/>
    </row>
    <row r="23933" spans="9:9" x14ac:dyDescent="0.3">
      <c r="I23933" s="101"/>
    </row>
    <row r="23934" spans="9:9" x14ac:dyDescent="0.3">
      <c r="I23934" s="101"/>
    </row>
    <row r="23935" spans="9:9" x14ac:dyDescent="0.3">
      <c r="I23935" s="101"/>
    </row>
    <row r="23936" spans="9:9" x14ac:dyDescent="0.3">
      <c r="I23936" s="101"/>
    </row>
    <row r="23937" spans="9:9" x14ac:dyDescent="0.3">
      <c r="I23937" s="101"/>
    </row>
    <row r="23938" spans="9:9" x14ac:dyDescent="0.3">
      <c r="I23938" s="101"/>
    </row>
    <row r="23939" spans="9:9" x14ac:dyDescent="0.3">
      <c r="I23939" s="101"/>
    </row>
    <row r="23940" spans="9:9" x14ac:dyDescent="0.3">
      <c r="I23940" s="101"/>
    </row>
    <row r="23941" spans="9:9" x14ac:dyDescent="0.3">
      <c r="I23941" s="101"/>
    </row>
    <row r="23942" spans="9:9" x14ac:dyDescent="0.3">
      <c r="I23942" s="101"/>
    </row>
    <row r="23943" spans="9:9" x14ac:dyDescent="0.3">
      <c r="I23943" s="101"/>
    </row>
    <row r="23944" spans="9:9" x14ac:dyDescent="0.3">
      <c r="I23944" s="101"/>
    </row>
    <row r="23945" spans="9:9" x14ac:dyDescent="0.3">
      <c r="I23945" s="101"/>
    </row>
    <row r="23946" spans="9:9" x14ac:dyDescent="0.3">
      <c r="I23946" s="101"/>
    </row>
    <row r="23947" spans="9:9" x14ac:dyDescent="0.3">
      <c r="I23947" s="101"/>
    </row>
    <row r="23948" spans="9:9" x14ac:dyDescent="0.3">
      <c r="I23948" s="101"/>
    </row>
    <row r="23949" spans="9:9" x14ac:dyDescent="0.3">
      <c r="I23949" s="101"/>
    </row>
    <row r="23950" spans="9:9" x14ac:dyDescent="0.3">
      <c r="I23950" s="101"/>
    </row>
    <row r="23951" spans="9:9" x14ac:dyDescent="0.3">
      <c r="I23951" s="101"/>
    </row>
    <row r="23952" spans="9:9" x14ac:dyDescent="0.3">
      <c r="I23952" s="101"/>
    </row>
    <row r="23953" spans="9:9" x14ac:dyDescent="0.3">
      <c r="I23953" s="101"/>
    </row>
    <row r="23954" spans="9:9" x14ac:dyDescent="0.3">
      <c r="I23954" s="101"/>
    </row>
    <row r="23955" spans="9:9" x14ac:dyDescent="0.3">
      <c r="I23955" s="101"/>
    </row>
    <row r="23956" spans="9:9" x14ac:dyDescent="0.3">
      <c r="I23956" s="101"/>
    </row>
    <row r="23957" spans="9:9" x14ac:dyDescent="0.3">
      <c r="I23957" s="101"/>
    </row>
    <row r="23958" spans="9:9" x14ac:dyDescent="0.3">
      <c r="I23958" s="101"/>
    </row>
    <row r="23959" spans="9:9" x14ac:dyDescent="0.3">
      <c r="I23959" s="101"/>
    </row>
    <row r="23960" spans="9:9" x14ac:dyDescent="0.3">
      <c r="I23960" s="101"/>
    </row>
    <row r="23961" spans="9:9" x14ac:dyDescent="0.3">
      <c r="I23961" s="101"/>
    </row>
    <row r="23962" spans="9:9" x14ac:dyDescent="0.3">
      <c r="I23962" s="101"/>
    </row>
    <row r="23963" spans="9:9" x14ac:dyDescent="0.3">
      <c r="I23963" s="101"/>
    </row>
    <row r="23964" spans="9:9" x14ac:dyDescent="0.3">
      <c r="I23964" s="101"/>
    </row>
    <row r="23965" spans="9:9" x14ac:dyDescent="0.3">
      <c r="I23965" s="101"/>
    </row>
    <row r="23966" spans="9:9" x14ac:dyDescent="0.3">
      <c r="I23966" s="101"/>
    </row>
    <row r="23967" spans="9:9" x14ac:dyDescent="0.3">
      <c r="I23967" s="101"/>
    </row>
    <row r="23968" spans="9:9" x14ac:dyDescent="0.3">
      <c r="I23968" s="101"/>
    </row>
    <row r="23969" spans="9:9" x14ac:dyDescent="0.3">
      <c r="I23969" s="101"/>
    </row>
    <row r="23970" spans="9:9" x14ac:dyDescent="0.3">
      <c r="I23970" s="101"/>
    </row>
    <row r="23971" spans="9:9" x14ac:dyDescent="0.3">
      <c r="I23971" s="101"/>
    </row>
    <row r="23972" spans="9:9" x14ac:dyDescent="0.3">
      <c r="I23972" s="101"/>
    </row>
    <row r="23973" spans="9:9" x14ac:dyDescent="0.3">
      <c r="I23973" s="101"/>
    </row>
    <row r="23974" spans="9:9" x14ac:dyDescent="0.3">
      <c r="I23974" s="101"/>
    </row>
    <row r="23975" spans="9:9" x14ac:dyDescent="0.3">
      <c r="I23975" s="101"/>
    </row>
    <row r="23976" spans="9:9" x14ac:dyDescent="0.3">
      <c r="I23976" s="101"/>
    </row>
    <row r="23977" spans="9:9" x14ac:dyDescent="0.3">
      <c r="I23977" s="101"/>
    </row>
    <row r="23978" spans="9:9" x14ac:dyDescent="0.3">
      <c r="I23978" s="101"/>
    </row>
    <row r="23979" spans="9:9" x14ac:dyDescent="0.3">
      <c r="I23979" s="101"/>
    </row>
    <row r="23980" spans="9:9" x14ac:dyDescent="0.3">
      <c r="I23980" s="101"/>
    </row>
    <row r="23981" spans="9:9" x14ac:dyDescent="0.3">
      <c r="I23981" s="101"/>
    </row>
    <row r="23982" spans="9:9" x14ac:dyDescent="0.3">
      <c r="I23982" s="101"/>
    </row>
    <row r="23983" spans="9:9" x14ac:dyDescent="0.3">
      <c r="I23983" s="101"/>
    </row>
    <row r="23984" spans="9:9" x14ac:dyDescent="0.3">
      <c r="I23984" s="101"/>
    </row>
    <row r="23985" spans="9:9" x14ac:dyDescent="0.3">
      <c r="I23985" s="101"/>
    </row>
    <row r="23986" spans="9:9" x14ac:dyDescent="0.3">
      <c r="I23986" s="101"/>
    </row>
    <row r="23987" spans="9:9" x14ac:dyDescent="0.3">
      <c r="I23987" s="101"/>
    </row>
    <row r="23988" spans="9:9" x14ac:dyDescent="0.3">
      <c r="I23988" s="101"/>
    </row>
    <row r="23989" spans="9:9" x14ac:dyDescent="0.3">
      <c r="I23989" s="101"/>
    </row>
    <row r="23990" spans="9:9" x14ac:dyDescent="0.3">
      <c r="I23990" s="101"/>
    </row>
    <row r="23991" spans="9:9" x14ac:dyDescent="0.3">
      <c r="I23991" s="101"/>
    </row>
    <row r="23992" spans="9:9" x14ac:dyDescent="0.3">
      <c r="I23992" s="101"/>
    </row>
    <row r="23993" spans="9:9" x14ac:dyDescent="0.3">
      <c r="I23993" s="101"/>
    </row>
    <row r="23994" spans="9:9" x14ac:dyDescent="0.3">
      <c r="I23994" s="101"/>
    </row>
    <row r="23995" spans="9:9" x14ac:dyDescent="0.3">
      <c r="I23995" s="101"/>
    </row>
    <row r="23996" spans="9:9" x14ac:dyDescent="0.3">
      <c r="I23996" s="101"/>
    </row>
    <row r="23997" spans="9:9" x14ac:dyDescent="0.3">
      <c r="I23997" s="101"/>
    </row>
    <row r="23998" spans="9:9" x14ac:dyDescent="0.3">
      <c r="I23998" s="101"/>
    </row>
    <row r="23999" spans="9:9" x14ac:dyDescent="0.3">
      <c r="I23999" s="101"/>
    </row>
    <row r="24000" spans="9:9" x14ac:dyDescent="0.3">
      <c r="I24000" s="101"/>
    </row>
    <row r="24001" spans="9:9" x14ac:dyDescent="0.3">
      <c r="I24001" s="101"/>
    </row>
    <row r="24002" spans="9:9" x14ac:dyDescent="0.3">
      <c r="I24002" s="101"/>
    </row>
    <row r="24003" spans="9:9" x14ac:dyDescent="0.3">
      <c r="I24003" s="101"/>
    </row>
    <row r="24004" spans="9:9" x14ac:dyDescent="0.3">
      <c r="I24004" s="101"/>
    </row>
    <row r="24005" spans="9:9" x14ac:dyDescent="0.3">
      <c r="I24005" s="101"/>
    </row>
    <row r="24006" spans="9:9" x14ac:dyDescent="0.3">
      <c r="I24006" s="101"/>
    </row>
    <row r="24007" spans="9:9" x14ac:dyDescent="0.3">
      <c r="I24007" s="101"/>
    </row>
    <row r="24008" spans="9:9" x14ac:dyDescent="0.3">
      <c r="I24008" s="101"/>
    </row>
    <row r="24009" spans="9:9" x14ac:dyDescent="0.3">
      <c r="I24009" s="101"/>
    </row>
    <row r="24010" spans="9:9" x14ac:dyDescent="0.3">
      <c r="I24010" s="101"/>
    </row>
    <row r="24011" spans="9:9" x14ac:dyDescent="0.3">
      <c r="I24011" s="101"/>
    </row>
    <row r="24012" spans="9:9" x14ac:dyDescent="0.3">
      <c r="I24012" s="101"/>
    </row>
    <row r="24013" spans="9:9" x14ac:dyDescent="0.3">
      <c r="I24013" s="101"/>
    </row>
    <row r="24014" spans="9:9" x14ac:dyDescent="0.3">
      <c r="I24014" s="101"/>
    </row>
    <row r="24015" spans="9:9" x14ac:dyDescent="0.3">
      <c r="I24015" s="101"/>
    </row>
    <row r="24016" spans="9:9" x14ac:dyDescent="0.3">
      <c r="I24016" s="101"/>
    </row>
    <row r="24017" spans="9:9" x14ac:dyDescent="0.3">
      <c r="I24017" s="101"/>
    </row>
    <row r="24018" spans="9:9" x14ac:dyDescent="0.3">
      <c r="I24018" s="101"/>
    </row>
    <row r="24019" spans="9:9" x14ac:dyDescent="0.3">
      <c r="I24019" s="101"/>
    </row>
    <row r="24020" spans="9:9" x14ac:dyDescent="0.3">
      <c r="I24020" s="101"/>
    </row>
    <row r="24021" spans="9:9" x14ac:dyDescent="0.3">
      <c r="I24021" s="101"/>
    </row>
    <row r="24022" spans="9:9" x14ac:dyDescent="0.3">
      <c r="I24022" s="101"/>
    </row>
    <row r="24023" spans="9:9" x14ac:dyDescent="0.3">
      <c r="I24023" s="101"/>
    </row>
    <row r="24024" spans="9:9" x14ac:dyDescent="0.3">
      <c r="I24024" s="101"/>
    </row>
    <row r="24025" spans="9:9" x14ac:dyDescent="0.3">
      <c r="I24025" s="101"/>
    </row>
    <row r="24026" spans="9:9" x14ac:dyDescent="0.3">
      <c r="I24026" s="101"/>
    </row>
    <row r="24027" spans="9:9" x14ac:dyDescent="0.3">
      <c r="I24027" s="101"/>
    </row>
    <row r="24028" spans="9:9" x14ac:dyDescent="0.3">
      <c r="I24028" s="101"/>
    </row>
    <row r="24029" spans="9:9" x14ac:dyDescent="0.3">
      <c r="I24029" s="101"/>
    </row>
    <row r="24030" spans="9:9" x14ac:dyDescent="0.3">
      <c r="I24030" s="101"/>
    </row>
    <row r="24031" spans="9:9" x14ac:dyDescent="0.3">
      <c r="I24031" s="101"/>
    </row>
    <row r="24032" spans="9:9" x14ac:dyDescent="0.3">
      <c r="I24032" s="101"/>
    </row>
    <row r="24033" spans="9:9" x14ac:dyDescent="0.3">
      <c r="I24033" s="101"/>
    </row>
    <row r="24034" spans="9:9" x14ac:dyDescent="0.3">
      <c r="I24034" s="101"/>
    </row>
    <row r="24035" spans="9:9" x14ac:dyDescent="0.3">
      <c r="I24035" s="101"/>
    </row>
    <row r="24036" spans="9:9" x14ac:dyDescent="0.3">
      <c r="I24036" s="101"/>
    </row>
    <row r="24037" spans="9:9" x14ac:dyDescent="0.3">
      <c r="I24037" s="101"/>
    </row>
    <row r="24038" spans="9:9" x14ac:dyDescent="0.3">
      <c r="I24038" s="101"/>
    </row>
    <row r="24039" spans="9:9" x14ac:dyDescent="0.3">
      <c r="I24039" s="101"/>
    </row>
    <row r="24040" spans="9:9" x14ac:dyDescent="0.3">
      <c r="I24040" s="101"/>
    </row>
    <row r="24041" spans="9:9" x14ac:dyDescent="0.3">
      <c r="I24041" s="101"/>
    </row>
    <row r="24042" spans="9:9" x14ac:dyDescent="0.3">
      <c r="I24042" s="101"/>
    </row>
    <row r="24043" spans="9:9" x14ac:dyDescent="0.3">
      <c r="I24043" s="101"/>
    </row>
    <row r="24044" spans="9:9" x14ac:dyDescent="0.3">
      <c r="I24044" s="101"/>
    </row>
    <row r="24045" spans="9:9" x14ac:dyDescent="0.3">
      <c r="I24045" s="101"/>
    </row>
    <row r="24046" spans="9:9" x14ac:dyDescent="0.3">
      <c r="I24046" s="101"/>
    </row>
    <row r="24047" spans="9:9" x14ac:dyDescent="0.3">
      <c r="I24047" s="101"/>
    </row>
    <row r="24048" spans="9:9" x14ac:dyDescent="0.3">
      <c r="I24048" s="101"/>
    </row>
    <row r="24049" spans="9:9" x14ac:dyDescent="0.3">
      <c r="I24049" s="101"/>
    </row>
    <row r="24050" spans="9:9" x14ac:dyDescent="0.3">
      <c r="I24050" s="101"/>
    </row>
    <row r="24051" spans="9:9" x14ac:dyDescent="0.3">
      <c r="I24051" s="101"/>
    </row>
    <row r="24052" spans="9:9" x14ac:dyDescent="0.3">
      <c r="I24052" s="101"/>
    </row>
    <row r="24053" spans="9:9" x14ac:dyDescent="0.3">
      <c r="I24053" s="101"/>
    </row>
    <row r="24054" spans="9:9" x14ac:dyDescent="0.3">
      <c r="I24054" s="101"/>
    </row>
    <row r="24055" spans="9:9" x14ac:dyDescent="0.3">
      <c r="I24055" s="101"/>
    </row>
    <row r="24056" spans="9:9" x14ac:dyDescent="0.3">
      <c r="I24056" s="101"/>
    </row>
    <row r="24057" spans="9:9" x14ac:dyDescent="0.3">
      <c r="I24057" s="101"/>
    </row>
    <row r="24058" spans="9:9" x14ac:dyDescent="0.3">
      <c r="I24058" s="101"/>
    </row>
    <row r="24059" spans="9:9" x14ac:dyDescent="0.3">
      <c r="I24059" s="101"/>
    </row>
    <row r="24060" spans="9:9" x14ac:dyDescent="0.3">
      <c r="I24060" s="101"/>
    </row>
    <row r="24061" spans="9:9" x14ac:dyDescent="0.3">
      <c r="I24061" s="101"/>
    </row>
    <row r="24062" spans="9:9" x14ac:dyDescent="0.3">
      <c r="I24062" s="101"/>
    </row>
    <row r="24063" spans="9:9" x14ac:dyDescent="0.3">
      <c r="I24063" s="101"/>
    </row>
    <row r="24064" spans="9:9" x14ac:dyDescent="0.3">
      <c r="I24064" s="101"/>
    </row>
    <row r="24065" spans="9:9" x14ac:dyDescent="0.3">
      <c r="I24065" s="101"/>
    </row>
    <row r="24066" spans="9:9" x14ac:dyDescent="0.3">
      <c r="I24066" s="101"/>
    </row>
    <row r="24067" spans="9:9" x14ac:dyDescent="0.3">
      <c r="I24067" s="101"/>
    </row>
    <row r="24068" spans="9:9" x14ac:dyDescent="0.3">
      <c r="I24068" s="101"/>
    </row>
    <row r="24069" spans="9:9" x14ac:dyDescent="0.3">
      <c r="I24069" s="101"/>
    </row>
    <row r="24070" spans="9:9" x14ac:dyDescent="0.3">
      <c r="I24070" s="101"/>
    </row>
    <row r="24071" spans="9:9" x14ac:dyDescent="0.3">
      <c r="I24071" s="101"/>
    </row>
    <row r="24072" spans="9:9" x14ac:dyDescent="0.3">
      <c r="I24072" s="101"/>
    </row>
    <row r="24073" spans="9:9" x14ac:dyDescent="0.3">
      <c r="I24073" s="101"/>
    </row>
    <row r="24074" spans="9:9" x14ac:dyDescent="0.3">
      <c r="I24074" s="101"/>
    </row>
    <row r="24075" spans="9:9" x14ac:dyDescent="0.3">
      <c r="I24075" s="101"/>
    </row>
    <row r="24076" spans="9:9" x14ac:dyDescent="0.3">
      <c r="I24076" s="101"/>
    </row>
    <row r="24077" spans="9:9" x14ac:dyDescent="0.3">
      <c r="I24077" s="101"/>
    </row>
    <row r="24078" spans="9:9" x14ac:dyDescent="0.3">
      <c r="I24078" s="101"/>
    </row>
    <row r="24079" spans="9:9" x14ac:dyDescent="0.3">
      <c r="I24079" s="101"/>
    </row>
    <row r="24080" spans="9:9" x14ac:dyDescent="0.3">
      <c r="I24080" s="101"/>
    </row>
    <row r="24081" spans="9:9" x14ac:dyDescent="0.3">
      <c r="I24081" s="101"/>
    </row>
    <row r="24082" spans="9:9" x14ac:dyDescent="0.3">
      <c r="I24082" s="101"/>
    </row>
    <row r="24083" spans="9:9" x14ac:dyDescent="0.3">
      <c r="I24083" s="101"/>
    </row>
    <row r="24084" spans="9:9" x14ac:dyDescent="0.3">
      <c r="I24084" s="101"/>
    </row>
    <row r="24085" spans="9:9" x14ac:dyDescent="0.3">
      <c r="I24085" s="101"/>
    </row>
    <row r="24086" spans="9:9" x14ac:dyDescent="0.3">
      <c r="I24086" s="101"/>
    </row>
    <row r="24087" spans="9:9" x14ac:dyDescent="0.3">
      <c r="I24087" s="101"/>
    </row>
    <row r="24088" spans="9:9" x14ac:dyDescent="0.3">
      <c r="I24088" s="101"/>
    </row>
    <row r="24089" spans="9:9" x14ac:dyDescent="0.3">
      <c r="I24089" s="101"/>
    </row>
    <row r="24090" spans="9:9" x14ac:dyDescent="0.3">
      <c r="I24090" s="101"/>
    </row>
    <row r="24091" spans="9:9" x14ac:dyDescent="0.3">
      <c r="I24091" s="101"/>
    </row>
    <row r="24092" spans="9:9" x14ac:dyDescent="0.3">
      <c r="I24092" s="101"/>
    </row>
    <row r="24093" spans="9:9" x14ac:dyDescent="0.3">
      <c r="I24093" s="101"/>
    </row>
    <row r="24094" spans="9:9" x14ac:dyDescent="0.3">
      <c r="I24094" s="101"/>
    </row>
    <row r="24095" spans="9:9" x14ac:dyDescent="0.3">
      <c r="I24095" s="101"/>
    </row>
    <row r="24096" spans="9:9" x14ac:dyDescent="0.3">
      <c r="I24096" s="101"/>
    </row>
    <row r="24097" spans="9:9" x14ac:dyDescent="0.3">
      <c r="I24097" s="101"/>
    </row>
    <row r="24098" spans="9:9" x14ac:dyDescent="0.3">
      <c r="I24098" s="101"/>
    </row>
    <row r="24099" spans="9:9" x14ac:dyDescent="0.3">
      <c r="I24099" s="101"/>
    </row>
    <row r="24100" spans="9:9" x14ac:dyDescent="0.3">
      <c r="I24100" s="101"/>
    </row>
    <row r="24101" spans="9:9" x14ac:dyDescent="0.3">
      <c r="I24101" s="101"/>
    </row>
    <row r="24102" spans="9:9" x14ac:dyDescent="0.3">
      <c r="I24102" s="101"/>
    </row>
    <row r="24103" spans="9:9" x14ac:dyDescent="0.3">
      <c r="I24103" s="101"/>
    </row>
    <row r="24104" spans="9:9" x14ac:dyDescent="0.3">
      <c r="I24104" s="101"/>
    </row>
    <row r="24105" spans="9:9" x14ac:dyDescent="0.3">
      <c r="I24105" s="101"/>
    </row>
    <row r="24106" spans="9:9" x14ac:dyDescent="0.3">
      <c r="I24106" s="101"/>
    </row>
    <row r="24107" spans="9:9" x14ac:dyDescent="0.3">
      <c r="I24107" s="101"/>
    </row>
    <row r="24108" spans="9:9" x14ac:dyDescent="0.3">
      <c r="I24108" s="101"/>
    </row>
    <row r="24109" spans="9:9" x14ac:dyDescent="0.3">
      <c r="I24109" s="101"/>
    </row>
    <row r="24110" spans="9:9" x14ac:dyDescent="0.3">
      <c r="I24110" s="101"/>
    </row>
    <row r="24111" spans="9:9" x14ac:dyDescent="0.3">
      <c r="I24111" s="101"/>
    </row>
    <row r="24112" spans="9:9" x14ac:dyDescent="0.3">
      <c r="I24112" s="101"/>
    </row>
    <row r="24113" spans="9:9" x14ac:dyDescent="0.3">
      <c r="I24113" s="101"/>
    </row>
    <row r="24114" spans="9:9" x14ac:dyDescent="0.3">
      <c r="I24114" s="101"/>
    </row>
    <row r="24115" spans="9:9" x14ac:dyDescent="0.3">
      <c r="I24115" s="101"/>
    </row>
    <row r="24116" spans="9:9" x14ac:dyDescent="0.3">
      <c r="I24116" s="101"/>
    </row>
    <row r="24117" spans="9:9" x14ac:dyDescent="0.3">
      <c r="I24117" s="101"/>
    </row>
    <row r="24118" spans="9:9" x14ac:dyDescent="0.3">
      <c r="I24118" s="101"/>
    </row>
    <row r="24119" spans="9:9" x14ac:dyDescent="0.3">
      <c r="I24119" s="101"/>
    </row>
    <row r="24120" spans="9:9" x14ac:dyDescent="0.3">
      <c r="I24120" s="101"/>
    </row>
    <row r="24121" spans="9:9" x14ac:dyDescent="0.3">
      <c r="I24121" s="101"/>
    </row>
    <row r="24122" spans="9:9" x14ac:dyDescent="0.3">
      <c r="I24122" s="101"/>
    </row>
    <row r="24123" spans="9:9" x14ac:dyDescent="0.3">
      <c r="I24123" s="101"/>
    </row>
    <row r="24124" spans="9:9" x14ac:dyDescent="0.3">
      <c r="I24124" s="101"/>
    </row>
    <row r="24125" spans="9:9" x14ac:dyDescent="0.3">
      <c r="I24125" s="101"/>
    </row>
    <row r="24126" spans="9:9" x14ac:dyDescent="0.3">
      <c r="I24126" s="101"/>
    </row>
    <row r="24127" spans="9:9" x14ac:dyDescent="0.3">
      <c r="I24127" s="101"/>
    </row>
    <row r="24128" spans="9:9" x14ac:dyDescent="0.3">
      <c r="I24128" s="101"/>
    </row>
    <row r="24129" spans="9:9" x14ac:dyDescent="0.3">
      <c r="I24129" s="101"/>
    </row>
    <row r="24130" spans="9:9" x14ac:dyDescent="0.3">
      <c r="I24130" s="101"/>
    </row>
    <row r="24131" spans="9:9" x14ac:dyDescent="0.3">
      <c r="I24131" s="101"/>
    </row>
    <row r="24132" spans="9:9" x14ac:dyDescent="0.3">
      <c r="I24132" s="101"/>
    </row>
    <row r="24133" spans="9:9" x14ac:dyDescent="0.3">
      <c r="I24133" s="101"/>
    </row>
    <row r="24134" spans="9:9" x14ac:dyDescent="0.3">
      <c r="I24134" s="101"/>
    </row>
    <row r="24135" spans="9:9" x14ac:dyDescent="0.3">
      <c r="I24135" s="101"/>
    </row>
    <row r="24136" spans="9:9" x14ac:dyDescent="0.3">
      <c r="I24136" s="101"/>
    </row>
    <row r="24137" spans="9:9" x14ac:dyDescent="0.3">
      <c r="I24137" s="101"/>
    </row>
    <row r="24138" spans="9:9" x14ac:dyDescent="0.3">
      <c r="I24138" s="101"/>
    </row>
    <row r="24139" spans="9:9" x14ac:dyDescent="0.3">
      <c r="I24139" s="101"/>
    </row>
    <row r="24140" spans="9:9" x14ac:dyDescent="0.3">
      <c r="I24140" s="101"/>
    </row>
    <row r="24141" spans="9:9" x14ac:dyDescent="0.3">
      <c r="I24141" s="101"/>
    </row>
    <row r="24142" spans="9:9" x14ac:dyDescent="0.3">
      <c r="I24142" s="101"/>
    </row>
    <row r="24143" spans="9:9" x14ac:dyDescent="0.3">
      <c r="I24143" s="101"/>
    </row>
    <row r="24144" spans="9:9" x14ac:dyDescent="0.3">
      <c r="I24144" s="101"/>
    </row>
    <row r="24145" spans="9:9" x14ac:dyDescent="0.3">
      <c r="I24145" s="101"/>
    </row>
    <row r="24146" spans="9:9" x14ac:dyDescent="0.3">
      <c r="I24146" s="101"/>
    </row>
    <row r="24147" spans="9:9" x14ac:dyDescent="0.3">
      <c r="I24147" s="101"/>
    </row>
    <row r="24148" spans="9:9" x14ac:dyDescent="0.3">
      <c r="I24148" s="101"/>
    </row>
    <row r="24149" spans="9:9" x14ac:dyDescent="0.3">
      <c r="I24149" s="101"/>
    </row>
    <row r="24150" spans="9:9" x14ac:dyDescent="0.3">
      <c r="I24150" s="101"/>
    </row>
    <row r="24151" spans="9:9" x14ac:dyDescent="0.3">
      <c r="I24151" s="101"/>
    </row>
    <row r="24152" spans="9:9" x14ac:dyDescent="0.3">
      <c r="I24152" s="101"/>
    </row>
    <row r="24153" spans="9:9" x14ac:dyDescent="0.3">
      <c r="I24153" s="101"/>
    </row>
    <row r="24154" spans="9:9" x14ac:dyDescent="0.3">
      <c r="I24154" s="101"/>
    </row>
    <row r="24155" spans="9:9" x14ac:dyDescent="0.3">
      <c r="I24155" s="101"/>
    </row>
    <row r="24156" spans="9:9" x14ac:dyDescent="0.3">
      <c r="I24156" s="101"/>
    </row>
    <row r="24157" spans="9:9" x14ac:dyDescent="0.3">
      <c r="I24157" s="101"/>
    </row>
    <row r="24158" spans="9:9" x14ac:dyDescent="0.3">
      <c r="I24158" s="101"/>
    </row>
    <row r="24159" spans="9:9" x14ac:dyDescent="0.3">
      <c r="I24159" s="101"/>
    </row>
    <row r="24160" spans="9:9" x14ac:dyDescent="0.3">
      <c r="I24160" s="101"/>
    </row>
    <row r="24161" spans="9:9" x14ac:dyDescent="0.3">
      <c r="I24161" s="101"/>
    </row>
    <row r="24162" spans="9:9" x14ac:dyDescent="0.3">
      <c r="I24162" s="101"/>
    </row>
    <row r="24163" spans="9:9" x14ac:dyDescent="0.3">
      <c r="I24163" s="101"/>
    </row>
    <row r="24164" spans="9:9" x14ac:dyDescent="0.3">
      <c r="I24164" s="101"/>
    </row>
    <row r="24165" spans="9:9" x14ac:dyDescent="0.3">
      <c r="I24165" s="101"/>
    </row>
    <row r="24166" spans="9:9" x14ac:dyDescent="0.3">
      <c r="I24166" s="101"/>
    </row>
    <row r="24167" spans="9:9" x14ac:dyDescent="0.3">
      <c r="I24167" s="101"/>
    </row>
    <row r="24168" spans="9:9" x14ac:dyDescent="0.3">
      <c r="I24168" s="101"/>
    </row>
    <row r="24169" spans="9:9" x14ac:dyDescent="0.3">
      <c r="I24169" s="101"/>
    </row>
    <row r="24170" spans="9:9" x14ac:dyDescent="0.3">
      <c r="I24170" s="101"/>
    </row>
    <row r="24171" spans="9:9" x14ac:dyDescent="0.3">
      <c r="I24171" s="101"/>
    </row>
    <row r="24172" spans="9:9" x14ac:dyDescent="0.3">
      <c r="I24172" s="101"/>
    </row>
    <row r="24173" spans="9:9" x14ac:dyDescent="0.3">
      <c r="I24173" s="101"/>
    </row>
    <row r="24174" spans="9:9" x14ac:dyDescent="0.3">
      <c r="I24174" s="101"/>
    </row>
    <row r="24175" spans="9:9" x14ac:dyDescent="0.3">
      <c r="I24175" s="101"/>
    </row>
    <row r="24176" spans="9:9" x14ac:dyDescent="0.3">
      <c r="I24176" s="101"/>
    </row>
    <row r="24177" spans="9:9" x14ac:dyDescent="0.3">
      <c r="I24177" s="101"/>
    </row>
    <row r="24178" spans="9:9" x14ac:dyDescent="0.3">
      <c r="I24178" s="101"/>
    </row>
    <row r="24179" spans="9:9" x14ac:dyDescent="0.3">
      <c r="I24179" s="101"/>
    </row>
    <row r="24180" spans="9:9" x14ac:dyDescent="0.3">
      <c r="I24180" s="101"/>
    </row>
    <row r="24181" spans="9:9" x14ac:dyDescent="0.3">
      <c r="I24181" s="101"/>
    </row>
    <row r="24182" spans="9:9" x14ac:dyDescent="0.3">
      <c r="I24182" s="101"/>
    </row>
    <row r="24183" spans="9:9" x14ac:dyDescent="0.3">
      <c r="I24183" s="101"/>
    </row>
    <row r="24184" spans="9:9" x14ac:dyDescent="0.3">
      <c r="I24184" s="101"/>
    </row>
    <row r="24185" spans="9:9" x14ac:dyDescent="0.3">
      <c r="I24185" s="101"/>
    </row>
    <row r="24186" spans="9:9" x14ac:dyDescent="0.3">
      <c r="I24186" s="101"/>
    </row>
    <row r="24187" spans="9:9" x14ac:dyDescent="0.3">
      <c r="I24187" s="101"/>
    </row>
    <row r="24188" spans="9:9" x14ac:dyDescent="0.3">
      <c r="I24188" s="101"/>
    </row>
    <row r="24189" spans="9:9" x14ac:dyDescent="0.3">
      <c r="I24189" s="101"/>
    </row>
    <row r="24190" spans="9:9" x14ac:dyDescent="0.3">
      <c r="I24190" s="101"/>
    </row>
    <row r="24191" spans="9:9" x14ac:dyDescent="0.3">
      <c r="I24191" s="101"/>
    </row>
    <row r="24192" spans="9:9" x14ac:dyDescent="0.3">
      <c r="I24192" s="101"/>
    </row>
    <row r="24193" spans="9:9" x14ac:dyDescent="0.3">
      <c r="I24193" s="101"/>
    </row>
    <row r="24194" spans="9:9" x14ac:dyDescent="0.3">
      <c r="I24194" s="101"/>
    </row>
    <row r="24195" spans="9:9" x14ac:dyDescent="0.3">
      <c r="I24195" s="101"/>
    </row>
    <row r="24196" spans="9:9" x14ac:dyDescent="0.3">
      <c r="I24196" s="101"/>
    </row>
    <row r="24197" spans="9:9" x14ac:dyDescent="0.3">
      <c r="I24197" s="101"/>
    </row>
    <row r="24198" spans="9:9" x14ac:dyDescent="0.3">
      <c r="I24198" s="101"/>
    </row>
    <row r="24199" spans="9:9" x14ac:dyDescent="0.3">
      <c r="I24199" s="101"/>
    </row>
    <row r="24200" spans="9:9" x14ac:dyDescent="0.3">
      <c r="I24200" s="101"/>
    </row>
    <row r="24201" spans="9:9" x14ac:dyDescent="0.3">
      <c r="I24201" s="101"/>
    </row>
    <row r="24202" spans="9:9" x14ac:dyDescent="0.3">
      <c r="I24202" s="101"/>
    </row>
    <row r="24203" spans="9:9" x14ac:dyDescent="0.3">
      <c r="I24203" s="101"/>
    </row>
    <row r="24204" spans="9:9" x14ac:dyDescent="0.3">
      <c r="I24204" s="101"/>
    </row>
    <row r="24205" spans="9:9" x14ac:dyDescent="0.3">
      <c r="I24205" s="101"/>
    </row>
    <row r="24206" spans="9:9" x14ac:dyDescent="0.3">
      <c r="I24206" s="101"/>
    </row>
    <row r="24207" spans="9:9" x14ac:dyDescent="0.3">
      <c r="I24207" s="101"/>
    </row>
    <row r="24208" spans="9:9" x14ac:dyDescent="0.3">
      <c r="I24208" s="101"/>
    </row>
    <row r="24209" spans="9:9" x14ac:dyDescent="0.3">
      <c r="I24209" s="101"/>
    </row>
    <row r="24210" spans="9:9" x14ac:dyDescent="0.3">
      <c r="I24210" s="101"/>
    </row>
    <row r="24211" spans="9:9" x14ac:dyDescent="0.3">
      <c r="I24211" s="101"/>
    </row>
    <row r="24212" spans="9:9" x14ac:dyDescent="0.3">
      <c r="I24212" s="101"/>
    </row>
    <row r="24213" spans="9:9" x14ac:dyDescent="0.3">
      <c r="I24213" s="101"/>
    </row>
    <row r="24214" spans="9:9" x14ac:dyDescent="0.3">
      <c r="I24214" s="101"/>
    </row>
    <row r="24215" spans="9:9" x14ac:dyDescent="0.3">
      <c r="I24215" s="101"/>
    </row>
    <row r="24216" spans="9:9" x14ac:dyDescent="0.3">
      <c r="I24216" s="101"/>
    </row>
    <row r="24217" spans="9:9" x14ac:dyDescent="0.3">
      <c r="I24217" s="101"/>
    </row>
    <row r="24218" spans="9:9" x14ac:dyDescent="0.3">
      <c r="I24218" s="101"/>
    </row>
    <row r="24219" spans="9:9" x14ac:dyDescent="0.3">
      <c r="I24219" s="101"/>
    </row>
    <row r="24220" spans="9:9" x14ac:dyDescent="0.3">
      <c r="I24220" s="101"/>
    </row>
    <row r="24221" spans="9:9" x14ac:dyDescent="0.3">
      <c r="I24221" s="101"/>
    </row>
    <row r="24222" spans="9:9" x14ac:dyDescent="0.3">
      <c r="I24222" s="101"/>
    </row>
    <row r="24223" spans="9:9" x14ac:dyDescent="0.3">
      <c r="I24223" s="101"/>
    </row>
    <row r="24224" spans="9:9" x14ac:dyDescent="0.3">
      <c r="I24224" s="101"/>
    </row>
    <row r="24225" spans="9:9" x14ac:dyDescent="0.3">
      <c r="I24225" s="101"/>
    </row>
    <row r="24226" spans="9:9" x14ac:dyDescent="0.3">
      <c r="I24226" s="101"/>
    </row>
    <row r="24227" spans="9:9" x14ac:dyDescent="0.3">
      <c r="I24227" s="101"/>
    </row>
    <row r="24228" spans="9:9" x14ac:dyDescent="0.3">
      <c r="I24228" s="101"/>
    </row>
    <row r="24229" spans="9:9" x14ac:dyDescent="0.3">
      <c r="I24229" s="101"/>
    </row>
    <row r="24230" spans="9:9" x14ac:dyDescent="0.3">
      <c r="I24230" s="101"/>
    </row>
    <row r="24231" spans="9:9" x14ac:dyDescent="0.3">
      <c r="I24231" s="101"/>
    </row>
    <row r="24232" spans="9:9" x14ac:dyDescent="0.3">
      <c r="I24232" s="101"/>
    </row>
    <row r="24233" spans="9:9" x14ac:dyDescent="0.3">
      <c r="I24233" s="101"/>
    </row>
    <row r="24234" spans="9:9" x14ac:dyDescent="0.3">
      <c r="I24234" s="101"/>
    </row>
    <row r="24235" spans="9:9" x14ac:dyDescent="0.3">
      <c r="I24235" s="101"/>
    </row>
    <row r="24236" spans="9:9" x14ac:dyDescent="0.3">
      <c r="I24236" s="101"/>
    </row>
    <row r="24237" spans="9:9" x14ac:dyDescent="0.3">
      <c r="I24237" s="101"/>
    </row>
    <row r="24238" spans="9:9" x14ac:dyDescent="0.3">
      <c r="I24238" s="101"/>
    </row>
    <row r="24239" spans="9:9" x14ac:dyDescent="0.3">
      <c r="I24239" s="101"/>
    </row>
    <row r="24240" spans="9:9" x14ac:dyDescent="0.3">
      <c r="I24240" s="101"/>
    </row>
    <row r="24241" spans="9:9" x14ac:dyDescent="0.3">
      <c r="I24241" s="101"/>
    </row>
    <row r="24242" spans="9:9" x14ac:dyDescent="0.3">
      <c r="I24242" s="101"/>
    </row>
    <row r="24243" spans="9:9" x14ac:dyDescent="0.3">
      <c r="I24243" s="101"/>
    </row>
    <row r="24244" spans="9:9" x14ac:dyDescent="0.3">
      <c r="I24244" s="101"/>
    </row>
    <row r="24245" spans="9:9" x14ac:dyDescent="0.3">
      <c r="I24245" s="101"/>
    </row>
    <row r="24246" spans="9:9" x14ac:dyDescent="0.3">
      <c r="I24246" s="101"/>
    </row>
    <row r="24247" spans="9:9" x14ac:dyDescent="0.3">
      <c r="I24247" s="101"/>
    </row>
    <row r="24248" spans="9:9" x14ac:dyDescent="0.3">
      <c r="I24248" s="101"/>
    </row>
    <row r="24249" spans="9:9" x14ac:dyDescent="0.3">
      <c r="I24249" s="101"/>
    </row>
    <row r="24250" spans="9:9" x14ac:dyDescent="0.3">
      <c r="I24250" s="101"/>
    </row>
    <row r="24251" spans="9:9" x14ac:dyDescent="0.3">
      <c r="I24251" s="101"/>
    </row>
    <row r="24252" spans="9:9" x14ac:dyDescent="0.3">
      <c r="I24252" s="101"/>
    </row>
    <row r="24253" spans="9:9" x14ac:dyDescent="0.3">
      <c r="I24253" s="101"/>
    </row>
    <row r="24254" spans="9:9" x14ac:dyDescent="0.3">
      <c r="I24254" s="101"/>
    </row>
    <row r="24255" spans="9:9" x14ac:dyDescent="0.3">
      <c r="I24255" s="101"/>
    </row>
    <row r="24256" spans="9:9" x14ac:dyDescent="0.3">
      <c r="I24256" s="101"/>
    </row>
    <row r="24257" spans="9:9" x14ac:dyDescent="0.3">
      <c r="I24257" s="101"/>
    </row>
    <row r="24258" spans="9:9" x14ac:dyDescent="0.3">
      <c r="I24258" s="101"/>
    </row>
    <row r="24259" spans="9:9" x14ac:dyDescent="0.3">
      <c r="I24259" s="101"/>
    </row>
    <row r="24260" spans="9:9" x14ac:dyDescent="0.3">
      <c r="I24260" s="101"/>
    </row>
    <row r="24261" spans="9:9" x14ac:dyDescent="0.3">
      <c r="I24261" s="101"/>
    </row>
    <row r="24262" spans="9:9" x14ac:dyDescent="0.3">
      <c r="I24262" s="101"/>
    </row>
    <row r="24263" spans="9:9" x14ac:dyDescent="0.3">
      <c r="I24263" s="101"/>
    </row>
    <row r="24264" spans="9:9" x14ac:dyDescent="0.3">
      <c r="I24264" s="101"/>
    </row>
    <row r="24265" spans="9:9" x14ac:dyDescent="0.3">
      <c r="I24265" s="101"/>
    </row>
    <row r="24266" spans="9:9" x14ac:dyDescent="0.3">
      <c r="I24266" s="101"/>
    </row>
    <row r="24267" spans="9:9" x14ac:dyDescent="0.3">
      <c r="I24267" s="101"/>
    </row>
    <row r="24268" spans="9:9" x14ac:dyDescent="0.3">
      <c r="I24268" s="101"/>
    </row>
    <row r="24269" spans="9:9" x14ac:dyDescent="0.3">
      <c r="I24269" s="101"/>
    </row>
    <row r="24270" spans="9:9" x14ac:dyDescent="0.3">
      <c r="I24270" s="101"/>
    </row>
    <row r="24271" spans="9:9" x14ac:dyDescent="0.3">
      <c r="I24271" s="101"/>
    </row>
    <row r="24272" spans="9:9" x14ac:dyDescent="0.3">
      <c r="I24272" s="101"/>
    </row>
    <row r="24273" spans="9:9" x14ac:dyDescent="0.3">
      <c r="I24273" s="101"/>
    </row>
    <row r="24274" spans="9:9" x14ac:dyDescent="0.3">
      <c r="I24274" s="101"/>
    </row>
    <row r="24275" spans="9:9" x14ac:dyDescent="0.3">
      <c r="I24275" s="101"/>
    </row>
    <row r="24276" spans="9:9" x14ac:dyDescent="0.3">
      <c r="I24276" s="101"/>
    </row>
    <row r="24277" spans="9:9" x14ac:dyDescent="0.3">
      <c r="I24277" s="101"/>
    </row>
    <row r="24278" spans="9:9" x14ac:dyDescent="0.3">
      <c r="I24278" s="101"/>
    </row>
    <row r="24279" spans="9:9" x14ac:dyDescent="0.3">
      <c r="I24279" s="101"/>
    </row>
    <row r="24280" spans="9:9" x14ac:dyDescent="0.3">
      <c r="I24280" s="101"/>
    </row>
    <row r="24281" spans="9:9" x14ac:dyDescent="0.3">
      <c r="I24281" s="101"/>
    </row>
    <row r="24282" spans="9:9" x14ac:dyDescent="0.3">
      <c r="I24282" s="101"/>
    </row>
    <row r="24283" spans="9:9" x14ac:dyDescent="0.3">
      <c r="I24283" s="101"/>
    </row>
    <row r="24284" spans="9:9" x14ac:dyDescent="0.3">
      <c r="I24284" s="101"/>
    </row>
    <row r="24285" spans="9:9" x14ac:dyDescent="0.3">
      <c r="I24285" s="101"/>
    </row>
    <row r="24286" spans="9:9" x14ac:dyDescent="0.3">
      <c r="I24286" s="101"/>
    </row>
    <row r="24287" spans="9:9" x14ac:dyDescent="0.3">
      <c r="I24287" s="101"/>
    </row>
    <row r="24288" spans="9:9" x14ac:dyDescent="0.3">
      <c r="I24288" s="101"/>
    </row>
    <row r="24289" spans="9:9" x14ac:dyDescent="0.3">
      <c r="I24289" s="101"/>
    </row>
    <row r="24290" spans="9:9" x14ac:dyDescent="0.3">
      <c r="I24290" s="101"/>
    </row>
    <row r="24291" spans="9:9" x14ac:dyDescent="0.3">
      <c r="I24291" s="101"/>
    </row>
    <row r="24292" spans="9:9" x14ac:dyDescent="0.3">
      <c r="I24292" s="101"/>
    </row>
    <row r="24293" spans="9:9" x14ac:dyDescent="0.3">
      <c r="I24293" s="101"/>
    </row>
    <row r="24294" spans="9:9" x14ac:dyDescent="0.3">
      <c r="I24294" s="101"/>
    </row>
    <row r="24295" spans="9:9" x14ac:dyDescent="0.3">
      <c r="I24295" s="101"/>
    </row>
    <row r="24296" spans="9:9" x14ac:dyDescent="0.3">
      <c r="I24296" s="101"/>
    </row>
    <row r="24297" spans="9:9" x14ac:dyDescent="0.3">
      <c r="I24297" s="101"/>
    </row>
    <row r="24298" spans="9:9" x14ac:dyDescent="0.3">
      <c r="I24298" s="101"/>
    </row>
    <row r="24299" spans="9:9" x14ac:dyDescent="0.3">
      <c r="I24299" s="101"/>
    </row>
    <row r="24300" spans="9:9" x14ac:dyDescent="0.3">
      <c r="I24300" s="101"/>
    </row>
    <row r="24301" spans="9:9" x14ac:dyDescent="0.3">
      <c r="I24301" s="101"/>
    </row>
    <row r="24302" spans="9:9" x14ac:dyDescent="0.3">
      <c r="I24302" s="101"/>
    </row>
    <row r="24303" spans="9:9" x14ac:dyDescent="0.3">
      <c r="I24303" s="101"/>
    </row>
    <row r="24304" spans="9:9" x14ac:dyDescent="0.3">
      <c r="I24304" s="101"/>
    </row>
    <row r="24305" spans="9:9" x14ac:dyDescent="0.3">
      <c r="I24305" s="101"/>
    </row>
    <row r="24306" spans="9:9" x14ac:dyDescent="0.3">
      <c r="I24306" s="101"/>
    </row>
    <row r="24307" spans="9:9" x14ac:dyDescent="0.3">
      <c r="I24307" s="101"/>
    </row>
    <row r="24308" spans="9:9" x14ac:dyDescent="0.3">
      <c r="I24308" s="101"/>
    </row>
    <row r="24309" spans="9:9" x14ac:dyDescent="0.3">
      <c r="I24309" s="101"/>
    </row>
    <row r="24310" spans="9:9" x14ac:dyDescent="0.3">
      <c r="I24310" s="101"/>
    </row>
    <row r="24311" spans="9:9" x14ac:dyDescent="0.3">
      <c r="I24311" s="101"/>
    </row>
    <row r="24312" spans="9:9" x14ac:dyDescent="0.3">
      <c r="I24312" s="101"/>
    </row>
    <row r="24313" spans="9:9" x14ac:dyDescent="0.3">
      <c r="I24313" s="101"/>
    </row>
    <row r="24314" spans="9:9" x14ac:dyDescent="0.3">
      <c r="I24314" s="101"/>
    </row>
    <row r="24315" spans="9:9" x14ac:dyDescent="0.3">
      <c r="I24315" s="101"/>
    </row>
    <row r="24316" spans="9:9" x14ac:dyDescent="0.3">
      <c r="I24316" s="101"/>
    </row>
    <row r="24317" spans="9:9" x14ac:dyDescent="0.3">
      <c r="I24317" s="101"/>
    </row>
    <row r="24318" spans="9:9" x14ac:dyDescent="0.3">
      <c r="I24318" s="101"/>
    </row>
    <row r="24319" spans="9:9" x14ac:dyDescent="0.3">
      <c r="I24319" s="101"/>
    </row>
    <row r="24320" spans="9:9" x14ac:dyDescent="0.3">
      <c r="I24320" s="101"/>
    </row>
    <row r="24321" spans="9:9" x14ac:dyDescent="0.3">
      <c r="I24321" s="101"/>
    </row>
    <row r="24322" spans="9:9" x14ac:dyDescent="0.3">
      <c r="I24322" s="101"/>
    </row>
    <row r="24323" spans="9:9" x14ac:dyDescent="0.3">
      <c r="I24323" s="101"/>
    </row>
    <row r="24324" spans="9:9" x14ac:dyDescent="0.3">
      <c r="I24324" s="101"/>
    </row>
    <row r="24325" spans="9:9" x14ac:dyDescent="0.3">
      <c r="I24325" s="101"/>
    </row>
    <row r="24326" spans="9:9" x14ac:dyDescent="0.3">
      <c r="I24326" s="101"/>
    </row>
    <row r="24327" spans="9:9" x14ac:dyDescent="0.3">
      <c r="I24327" s="101"/>
    </row>
    <row r="24328" spans="9:9" x14ac:dyDescent="0.3">
      <c r="I24328" s="101"/>
    </row>
    <row r="24329" spans="9:9" x14ac:dyDescent="0.3">
      <c r="I24329" s="101"/>
    </row>
    <row r="24330" spans="9:9" x14ac:dyDescent="0.3">
      <c r="I24330" s="101"/>
    </row>
    <row r="24331" spans="9:9" x14ac:dyDescent="0.3">
      <c r="I24331" s="101"/>
    </row>
    <row r="24332" spans="9:9" x14ac:dyDescent="0.3">
      <c r="I24332" s="101"/>
    </row>
    <row r="24333" spans="9:9" x14ac:dyDescent="0.3">
      <c r="I24333" s="101"/>
    </row>
    <row r="24334" spans="9:9" x14ac:dyDescent="0.3">
      <c r="I24334" s="101"/>
    </row>
    <row r="24335" spans="9:9" x14ac:dyDescent="0.3">
      <c r="I24335" s="101"/>
    </row>
    <row r="24336" spans="9:9" x14ac:dyDescent="0.3">
      <c r="I24336" s="101"/>
    </row>
    <row r="24337" spans="9:9" x14ac:dyDescent="0.3">
      <c r="I24337" s="101"/>
    </row>
    <row r="24338" spans="9:9" x14ac:dyDescent="0.3">
      <c r="I24338" s="101"/>
    </row>
    <row r="24339" spans="9:9" x14ac:dyDescent="0.3">
      <c r="I24339" s="101"/>
    </row>
    <row r="24340" spans="9:9" x14ac:dyDescent="0.3">
      <c r="I24340" s="101"/>
    </row>
    <row r="24341" spans="9:9" x14ac:dyDescent="0.3">
      <c r="I24341" s="101"/>
    </row>
    <row r="24342" spans="9:9" x14ac:dyDescent="0.3">
      <c r="I24342" s="101"/>
    </row>
    <row r="24343" spans="9:9" x14ac:dyDescent="0.3">
      <c r="I24343" s="101"/>
    </row>
    <row r="24344" spans="9:9" x14ac:dyDescent="0.3">
      <c r="I24344" s="101"/>
    </row>
    <row r="24345" spans="9:9" x14ac:dyDescent="0.3">
      <c r="I24345" s="101"/>
    </row>
    <row r="24346" spans="9:9" x14ac:dyDescent="0.3">
      <c r="I24346" s="101"/>
    </row>
    <row r="24347" spans="9:9" x14ac:dyDescent="0.3">
      <c r="I24347" s="101"/>
    </row>
    <row r="24348" spans="9:9" x14ac:dyDescent="0.3">
      <c r="I24348" s="101"/>
    </row>
    <row r="24349" spans="9:9" x14ac:dyDescent="0.3">
      <c r="I24349" s="101"/>
    </row>
    <row r="24350" spans="9:9" x14ac:dyDescent="0.3">
      <c r="I24350" s="101"/>
    </row>
    <row r="24351" spans="9:9" x14ac:dyDescent="0.3">
      <c r="I24351" s="101"/>
    </row>
    <row r="24352" spans="9:9" x14ac:dyDescent="0.3">
      <c r="I24352" s="101"/>
    </row>
    <row r="24353" spans="9:9" x14ac:dyDescent="0.3">
      <c r="I24353" s="101"/>
    </row>
    <row r="24354" spans="9:9" x14ac:dyDescent="0.3">
      <c r="I24354" s="101"/>
    </row>
    <row r="24355" spans="9:9" x14ac:dyDescent="0.3">
      <c r="I24355" s="101"/>
    </row>
    <row r="24356" spans="9:9" x14ac:dyDescent="0.3">
      <c r="I24356" s="101"/>
    </row>
    <row r="24357" spans="9:9" x14ac:dyDescent="0.3">
      <c r="I24357" s="101"/>
    </row>
    <row r="24358" spans="9:9" x14ac:dyDescent="0.3">
      <c r="I24358" s="101"/>
    </row>
    <row r="24359" spans="9:9" x14ac:dyDescent="0.3">
      <c r="I24359" s="101"/>
    </row>
    <row r="24360" spans="9:9" x14ac:dyDescent="0.3">
      <c r="I24360" s="101"/>
    </row>
    <row r="24361" spans="9:9" x14ac:dyDescent="0.3">
      <c r="I24361" s="101"/>
    </row>
    <row r="24362" spans="9:9" x14ac:dyDescent="0.3">
      <c r="I24362" s="101"/>
    </row>
    <row r="24363" spans="9:9" x14ac:dyDescent="0.3">
      <c r="I24363" s="101"/>
    </row>
    <row r="24364" spans="9:9" x14ac:dyDescent="0.3">
      <c r="I24364" s="101"/>
    </row>
    <row r="24365" spans="9:9" x14ac:dyDescent="0.3">
      <c r="I24365" s="101"/>
    </row>
    <row r="24366" spans="9:9" x14ac:dyDescent="0.3">
      <c r="I24366" s="101"/>
    </row>
    <row r="24367" spans="9:9" x14ac:dyDescent="0.3">
      <c r="I24367" s="101"/>
    </row>
    <row r="24368" spans="9:9" x14ac:dyDescent="0.3">
      <c r="I24368" s="101"/>
    </row>
    <row r="24369" spans="9:9" x14ac:dyDescent="0.3">
      <c r="I24369" s="101"/>
    </row>
    <row r="24370" spans="9:9" x14ac:dyDescent="0.3">
      <c r="I24370" s="101"/>
    </row>
    <row r="24371" spans="9:9" x14ac:dyDescent="0.3">
      <c r="I24371" s="101"/>
    </row>
    <row r="24372" spans="9:9" x14ac:dyDescent="0.3">
      <c r="I24372" s="101"/>
    </row>
    <row r="24373" spans="9:9" x14ac:dyDescent="0.3">
      <c r="I24373" s="101"/>
    </row>
    <row r="24374" spans="9:9" x14ac:dyDescent="0.3">
      <c r="I24374" s="101"/>
    </row>
    <row r="24375" spans="9:9" x14ac:dyDescent="0.3">
      <c r="I24375" s="101"/>
    </row>
    <row r="24376" spans="9:9" x14ac:dyDescent="0.3">
      <c r="I24376" s="101"/>
    </row>
    <row r="24377" spans="9:9" x14ac:dyDescent="0.3">
      <c r="I24377" s="101"/>
    </row>
    <row r="24378" spans="9:9" x14ac:dyDescent="0.3">
      <c r="I24378" s="101"/>
    </row>
    <row r="24379" spans="9:9" x14ac:dyDescent="0.3">
      <c r="I24379" s="101"/>
    </row>
    <row r="24380" spans="9:9" x14ac:dyDescent="0.3">
      <c r="I24380" s="101"/>
    </row>
    <row r="24381" spans="9:9" x14ac:dyDescent="0.3">
      <c r="I24381" s="101"/>
    </row>
    <row r="24382" spans="9:9" x14ac:dyDescent="0.3">
      <c r="I24382" s="101"/>
    </row>
    <row r="24383" spans="9:9" x14ac:dyDescent="0.3">
      <c r="I24383" s="101"/>
    </row>
    <row r="24384" spans="9:9" x14ac:dyDescent="0.3">
      <c r="I24384" s="101"/>
    </row>
    <row r="24385" spans="9:9" x14ac:dyDescent="0.3">
      <c r="I24385" s="101"/>
    </row>
    <row r="24386" spans="9:9" x14ac:dyDescent="0.3">
      <c r="I24386" s="101"/>
    </row>
    <row r="24387" spans="9:9" x14ac:dyDescent="0.3">
      <c r="I24387" s="101"/>
    </row>
    <row r="24388" spans="9:9" x14ac:dyDescent="0.3">
      <c r="I24388" s="101"/>
    </row>
    <row r="24389" spans="9:9" x14ac:dyDescent="0.3">
      <c r="I24389" s="101"/>
    </row>
    <row r="24390" spans="9:9" x14ac:dyDescent="0.3">
      <c r="I24390" s="101"/>
    </row>
    <row r="24391" spans="9:9" x14ac:dyDescent="0.3">
      <c r="I24391" s="101"/>
    </row>
    <row r="24392" spans="9:9" x14ac:dyDescent="0.3">
      <c r="I24392" s="101"/>
    </row>
    <row r="24393" spans="9:9" x14ac:dyDescent="0.3">
      <c r="I24393" s="101"/>
    </row>
    <row r="24394" spans="9:9" x14ac:dyDescent="0.3">
      <c r="I24394" s="101"/>
    </row>
    <row r="24395" spans="9:9" x14ac:dyDescent="0.3">
      <c r="I24395" s="101"/>
    </row>
    <row r="24396" spans="9:9" x14ac:dyDescent="0.3">
      <c r="I24396" s="101"/>
    </row>
    <row r="24397" spans="9:9" x14ac:dyDescent="0.3">
      <c r="I24397" s="101"/>
    </row>
    <row r="24398" spans="9:9" x14ac:dyDescent="0.3">
      <c r="I24398" s="101"/>
    </row>
    <row r="24399" spans="9:9" x14ac:dyDescent="0.3">
      <c r="I24399" s="101"/>
    </row>
    <row r="24400" spans="9:9" x14ac:dyDescent="0.3">
      <c r="I24400" s="101"/>
    </row>
    <row r="24401" spans="9:9" x14ac:dyDescent="0.3">
      <c r="I24401" s="101"/>
    </row>
    <row r="24402" spans="9:9" x14ac:dyDescent="0.3">
      <c r="I24402" s="101"/>
    </row>
    <row r="24403" spans="9:9" x14ac:dyDescent="0.3">
      <c r="I24403" s="101"/>
    </row>
    <row r="24404" spans="9:9" x14ac:dyDescent="0.3">
      <c r="I24404" s="101"/>
    </row>
    <row r="24405" spans="9:9" x14ac:dyDescent="0.3">
      <c r="I24405" s="101"/>
    </row>
    <row r="24406" spans="9:9" x14ac:dyDescent="0.3">
      <c r="I24406" s="101"/>
    </row>
    <row r="24407" spans="9:9" x14ac:dyDescent="0.3">
      <c r="I24407" s="101"/>
    </row>
    <row r="24408" spans="9:9" x14ac:dyDescent="0.3">
      <c r="I24408" s="101"/>
    </row>
    <row r="24409" spans="9:9" x14ac:dyDescent="0.3">
      <c r="I24409" s="101"/>
    </row>
    <row r="24410" spans="9:9" x14ac:dyDescent="0.3">
      <c r="I24410" s="101"/>
    </row>
    <row r="24411" spans="9:9" x14ac:dyDescent="0.3">
      <c r="I24411" s="101"/>
    </row>
    <row r="24412" spans="9:9" x14ac:dyDescent="0.3">
      <c r="I24412" s="101"/>
    </row>
    <row r="24413" spans="9:9" x14ac:dyDescent="0.3">
      <c r="I24413" s="101"/>
    </row>
    <row r="24414" spans="9:9" x14ac:dyDescent="0.3">
      <c r="I24414" s="101"/>
    </row>
    <row r="24415" spans="9:9" x14ac:dyDescent="0.3">
      <c r="I24415" s="101"/>
    </row>
    <row r="24416" spans="9:9" x14ac:dyDescent="0.3">
      <c r="I24416" s="101"/>
    </row>
    <row r="24417" spans="9:9" x14ac:dyDescent="0.3">
      <c r="I24417" s="101"/>
    </row>
    <row r="24418" spans="9:9" x14ac:dyDescent="0.3">
      <c r="I24418" s="101"/>
    </row>
    <row r="24419" spans="9:9" x14ac:dyDescent="0.3">
      <c r="I24419" s="101"/>
    </row>
    <row r="24420" spans="9:9" x14ac:dyDescent="0.3">
      <c r="I24420" s="101"/>
    </row>
    <row r="24421" spans="9:9" x14ac:dyDescent="0.3">
      <c r="I24421" s="101"/>
    </row>
    <row r="24422" spans="9:9" x14ac:dyDescent="0.3">
      <c r="I24422" s="101"/>
    </row>
    <row r="24423" spans="9:9" x14ac:dyDescent="0.3">
      <c r="I24423" s="101"/>
    </row>
    <row r="24424" spans="9:9" x14ac:dyDescent="0.3">
      <c r="I24424" s="101"/>
    </row>
    <row r="24425" spans="9:9" x14ac:dyDescent="0.3">
      <c r="I24425" s="101"/>
    </row>
    <row r="24426" spans="9:9" x14ac:dyDescent="0.3">
      <c r="I24426" s="101"/>
    </row>
    <row r="24427" spans="9:9" x14ac:dyDescent="0.3">
      <c r="I24427" s="101"/>
    </row>
    <row r="24428" spans="9:9" x14ac:dyDescent="0.3">
      <c r="I24428" s="101"/>
    </row>
    <row r="24429" spans="9:9" x14ac:dyDescent="0.3">
      <c r="I24429" s="101"/>
    </row>
    <row r="24430" spans="9:9" x14ac:dyDescent="0.3">
      <c r="I24430" s="101"/>
    </row>
    <row r="24431" spans="9:9" x14ac:dyDescent="0.3">
      <c r="I24431" s="101"/>
    </row>
    <row r="24432" spans="9:9" x14ac:dyDescent="0.3">
      <c r="I24432" s="101"/>
    </row>
    <row r="24433" spans="9:9" x14ac:dyDescent="0.3">
      <c r="I24433" s="101"/>
    </row>
    <row r="24434" spans="9:9" x14ac:dyDescent="0.3">
      <c r="I24434" s="101"/>
    </row>
    <row r="24435" spans="9:9" x14ac:dyDescent="0.3">
      <c r="I24435" s="101"/>
    </row>
    <row r="24436" spans="9:9" x14ac:dyDescent="0.3">
      <c r="I24436" s="101"/>
    </row>
    <row r="24437" spans="9:9" x14ac:dyDescent="0.3">
      <c r="I24437" s="101"/>
    </row>
    <row r="24438" spans="9:9" x14ac:dyDescent="0.3">
      <c r="I24438" s="101"/>
    </row>
    <row r="24439" spans="9:9" x14ac:dyDescent="0.3">
      <c r="I24439" s="101"/>
    </row>
    <row r="24440" spans="9:9" x14ac:dyDescent="0.3">
      <c r="I24440" s="101"/>
    </row>
    <row r="24441" spans="9:9" x14ac:dyDescent="0.3">
      <c r="I24441" s="101"/>
    </row>
    <row r="24442" spans="9:9" x14ac:dyDescent="0.3">
      <c r="I24442" s="101"/>
    </row>
    <row r="24443" spans="9:9" x14ac:dyDescent="0.3">
      <c r="I24443" s="101"/>
    </row>
    <row r="24444" spans="9:9" x14ac:dyDescent="0.3">
      <c r="I24444" s="101"/>
    </row>
    <row r="24445" spans="9:9" x14ac:dyDescent="0.3">
      <c r="I24445" s="101"/>
    </row>
    <row r="24446" spans="9:9" x14ac:dyDescent="0.3">
      <c r="I24446" s="101"/>
    </row>
    <row r="24447" spans="9:9" x14ac:dyDescent="0.3">
      <c r="I24447" s="101"/>
    </row>
    <row r="24448" spans="9:9" x14ac:dyDescent="0.3">
      <c r="I24448" s="101"/>
    </row>
    <row r="24449" spans="9:9" x14ac:dyDescent="0.3">
      <c r="I24449" s="101"/>
    </row>
    <row r="24450" spans="9:9" x14ac:dyDescent="0.3">
      <c r="I24450" s="101"/>
    </row>
    <row r="24451" spans="9:9" x14ac:dyDescent="0.3">
      <c r="I24451" s="101"/>
    </row>
    <row r="24452" spans="9:9" x14ac:dyDescent="0.3">
      <c r="I24452" s="101"/>
    </row>
    <row r="24453" spans="9:9" x14ac:dyDescent="0.3">
      <c r="I24453" s="101"/>
    </row>
    <row r="24454" spans="9:9" x14ac:dyDescent="0.3">
      <c r="I24454" s="101"/>
    </row>
    <row r="24455" spans="9:9" x14ac:dyDescent="0.3">
      <c r="I24455" s="101"/>
    </row>
    <row r="24456" spans="9:9" x14ac:dyDescent="0.3">
      <c r="I24456" s="101"/>
    </row>
    <row r="24457" spans="9:9" x14ac:dyDescent="0.3">
      <c r="I24457" s="101"/>
    </row>
    <row r="24458" spans="9:9" x14ac:dyDescent="0.3">
      <c r="I24458" s="101"/>
    </row>
    <row r="24459" spans="9:9" x14ac:dyDescent="0.3">
      <c r="I24459" s="101"/>
    </row>
    <row r="24460" spans="9:9" x14ac:dyDescent="0.3">
      <c r="I24460" s="101"/>
    </row>
    <row r="24461" spans="9:9" x14ac:dyDescent="0.3">
      <c r="I24461" s="101"/>
    </row>
    <row r="24462" spans="9:9" x14ac:dyDescent="0.3">
      <c r="I24462" s="101"/>
    </row>
    <row r="24463" spans="9:9" x14ac:dyDescent="0.3">
      <c r="I24463" s="101"/>
    </row>
    <row r="24464" spans="9:9" x14ac:dyDescent="0.3">
      <c r="I24464" s="101"/>
    </row>
    <row r="24465" spans="9:9" x14ac:dyDescent="0.3">
      <c r="I24465" s="101"/>
    </row>
    <row r="24466" spans="9:9" x14ac:dyDescent="0.3">
      <c r="I24466" s="101"/>
    </row>
    <row r="24467" spans="9:9" x14ac:dyDescent="0.3">
      <c r="I24467" s="101"/>
    </row>
    <row r="24468" spans="9:9" x14ac:dyDescent="0.3">
      <c r="I24468" s="101"/>
    </row>
    <row r="24469" spans="9:9" x14ac:dyDescent="0.3">
      <c r="I24469" s="101"/>
    </row>
    <row r="24470" spans="9:9" x14ac:dyDescent="0.3">
      <c r="I24470" s="101"/>
    </row>
    <row r="24471" spans="9:9" x14ac:dyDescent="0.3">
      <c r="I24471" s="101"/>
    </row>
    <row r="24472" spans="9:9" x14ac:dyDescent="0.3">
      <c r="I24472" s="101"/>
    </row>
    <row r="24473" spans="9:9" x14ac:dyDescent="0.3">
      <c r="I24473" s="101"/>
    </row>
    <row r="24474" spans="9:9" x14ac:dyDescent="0.3">
      <c r="I24474" s="101"/>
    </row>
    <row r="24475" spans="9:9" x14ac:dyDescent="0.3">
      <c r="I24475" s="101"/>
    </row>
    <row r="24476" spans="9:9" x14ac:dyDescent="0.3">
      <c r="I24476" s="101"/>
    </row>
    <row r="24477" spans="9:9" x14ac:dyDescent="0.3">
      <c r="I24477" s="101"/>
    </row>
    <row r="24478" spans="9:9" x14ac:dyDescent="0.3">
      <c r="I24478" s="101"/>
    </row>
    <row r="24479" spans="9:9" x14ac:dyDescent="0.3">
      <c r="I24479" s="101"/>
    </row>
    <row r="24480" spans="9:9" x14ac:dyDescent="0.3">
      <c r="I24480" s="101"/>
    </row>
    <row r="24481" spans="9:9" x14ac:dyDescent="0.3">
      <c r="I24481" s="101"/>
    </row>
    <row r="24482" spans="9:9" x14ac:dyDescent="0.3">
      <c r="I24482" s="101"/>
    </row>
    <row r="24483" spans="9:9" x14ac:dyDescent="0.3">
      <c r="I24483" s="101"/>
    </row>
    <row r="24484" spans="9:9" x14ac:dyDescent="0.3">
      <c r="I24484" s="101"/>
    </row>
    <row r="24485" spans="9:9" x14ac:dyDescent="0.3">
      <c r="I24485" s="101"/>
    </row>
    <row r="24486" spans="9:9" x14ac:dyDescent="0.3">
      <c r="I24486" s="101"/>
    </row>
    <row r="24487" spans="9:9" x14ac:dyDescent="0.3">
      <c r="I24487" s="101"/>
    </row>
    <row r="24488" spans="9:9" x14ac:dyDescent="0.3">
      <c r="I24488" s="101"/>
    </row>
    <row r="24489" spans="9:9" x14ac:dyDescent="0.3">
      <c r="I24489" s="101"/>
    </row>
    <row r="24490" spans="9:9" x14ac:dyDescent="0.3">
      <c r="I24490" s="101"/>
    </row>
    <row r="24491" spans="9:9" x14ac:dyDescent="0.3">
      <c r="I24491" s="101"/>
    </row>
    <row r="24492" spans="9:9" x14ac:dyDescent="0.3">
      <c r="I24492" s="101"/>
    </row>
    <row r="24493" spans="9:9" x14ac:dyDescent="0.3">
      <c r="I24493" s="101"/>
    </row>
    <row r="24494" spans="9:9" x14ac:dyDescent="0.3">
      <c r="I24494" s="101"/>
    </row>
    <row r="24495" spans="9:9" x14ac:dyDescent="0.3">
      <c r="I24495" s="101"/>
    </row>
    <row r="24496" spans="9:9" x14ac:dyDescent="0.3">
      <c r="I24496" s="101"/>
    </row>
    <row r="24497" spans="9:9" x14ac:dyDescent="0.3">
      <c r="I24497" s="101"/>
    </row>
    <row r="24498" spans="9:9" x14ac:dyDescent="0.3">
      <c r="I24498" s="101"/>
    </row>
    <row r="24499" spans="9:9" x14ac:dyDescent="0.3">
      <c r="I24499" s="101"/>
    </row>
    <row r="24500" spans="9:9" x14ac:dyDescent="0.3">
      <c r="I24500" s="101"/>
    </row>
    <row r="24501" spans="9:9" x14ac:dyDescent="0.3">
      <c r="I24501" s="101"/>
    </row>
    <row r="24502" spans="9:9" x14ac:dyDescent="0.3">
      <c r="I24502" s="101"/>
    </row>
    <row r="24503" spans="9:9" x14ac:dyDescent="0.3">
      <c r="I24503" s="101"/>
    </row>
    <row r="24504" spans="9:9" x14ac:dyDescent="0.3">
      <c r="I24504" s="101"/>
    </row>
    <row r="24505" spans="9:9" x14ac:dyDescent="0.3">
      <c r="I24505" s="101"/>
    </row>
    <row r="24506" spans="9:9" x14ac:dyDescent="0.3">
      <c r="I24506" s="101"/>
    </row>
    <row r="24507" spans="9:9" x14ac:dyDescent="0.3">
      <c r="I24507" s="101"/>
    </row>
    <row r="24508" spans="9:9" x14ac:dyDescent="0.3">
      <c r="I24508" s="101"/>
    </row>
    <row r="24509" spans="9:9" x14ac:dyDescent="0.3">
      <c r="I24509" s="101"/>
    </row>
    <row r="24510" spans="9:9" x14ac:dyDescent="0.3">
      <c r="I24510" s="101"/>
    </row>
    <row r="24511" spans="9:9" x14ac:dyDescent="0.3">
      <c r="I24511" s="101"/>
    </row>
    <row r="24512" spans="9:9" x14ac:dyDescent="0.3">
      <c r="I24512" s="101"/>
    </row>
    <row r="24513" spans="9:9" x14ac:dyDescent="0.3">
      <c r="I24513" s="101"/>
    </row>
    <row r="24514" spans="9:9" x14ac:dyDescent="0.3">
      <c r="I24514" s="101"/>
    </row>
    <row r="24515" spans="9:9" x14ac:dyDescent="0.3">
      <c r="I24515" s="101"/>
    </row>
    <row r="24516" spans="9:9" x14ac:dyDescent="0.3">
      <c r="I24516" s="101"/>
    </row>
    <row r="24517" spans="9:9" x14ac:dyDescent="0.3">
      <c r="I24517" s="101"/>
    </row>
    <row r="24518" spans="9:9" x14ac:dyDescent="0.3">
      <c r="I24518" s="101"/>
    </row>
    <row r="24519" spans="9:9" x14ac:dyDescent="0.3">
      <c r="I24519" s="101"/>
    </row>
    <row r="24520" spans="9:9" x14ac:dyDescent="0.3">
      <c r="I24520" s="101"/>
    </row>
    <row r="24521" spans="9:9" x14ac:dyDescent="0.3">
      <c r="I24521" s="101"/>
    </row>
    <row r="24522" spans="9:9" x14ac:dyDescent="0.3">
      <c r="I24522" s="101"/>
    </row>
    <row r="24523" spans="9:9" x14ac:dyDescent="0.3">
      <c r="I24523" s="101"/>
    </row>
    <row r="24524" spans="9:9" x14ac:dyDescent="0.3">
      <c r="I24524" s="101"/>
    </row>
    <row r="24525" spans="9:9" x14ac:dyDescent="0.3">
      <c r="I24525" s="101"/>
    </row>
    <row r="24526" spans="9:9" x14ac:dyDescent="0.3">
      <c r="I24526" s="101"/>
    </row>
    <row r="24527" spans="9:9" x14ac:dyDescent="0.3">
      <c r="I24527" s="101"/>
    </row>
    <row r="24528" spans="9:9" x14ac:dyDescent="0.3">
      <c r="I24528" s="101"/>
    </row>
    <row r="24529" spans="9:9" x14ac:dyDescent="0.3">
      <c r="I24529" s="101"/>
    </row>
    <row r="24530" spans="9:9" x14ac:dyDescent="0.3">
      <c r="I24530" s="101"/>
    </row>
    <row r="24531" spans="9:9" x14ac:dyDescent="0.3">
      <c r="I24531" s="101"/>
    </row>
    <row r="24532" spans="9:9" x14ac:dyDescent="0.3">
      <c r="I24532" s="101"/>
    </row>
    <row r="24533" spans="9:9" x14ac:dyDescent="0.3">
      <c r="I24533" s="101"/>
    </row>
    <row r="24534" spans="9:9" x14ac:dyDescent="0.3">
      <c r="I24534" s="101"/>
    </row>
    <row r="24535" spans="9:9" x14ac:dyDescent="0.3">
      <c r="I24535" s="101"/>
    </row>
    <row r="24536" spans="9:9" x14ac:dyDescent="0.3">
      <c r="I24536" s="101"/>
    </row>
    <row r="24537" spans="9:9" x14ac:dyDescent="0.3">
      <c r="I24537" s="101"/>
    </row>
    <row r="24538" spans="9:9" x14ac:dyDescent="0.3">
      <c r="I24538" s="101"/>
    </row>
    <row r="24539" spans="9:9" x14ac:dyDescent="0.3">
      <c r="I24539" s="101"/>
    </row>
    <row r="24540" spans="9:9" x14ac:dyDescent="0.3">
      <c r="I24540" s="101"/>
    </row>
    <row r="24541" spans="9:9" x14ac:dyDescent="0.3">
      <c r="I24541" s="101"/>
    </row>
    <row r="24542" spans="9:9" x14ac:dyDescent="0.3">
      <c r="I24542" s="101"/>
    </row>
    <row r="24543" spans="9:9" x14ac:dyDescent="0.3">
      <c r="I24543" s="101"/>
    </row>
    <row r="24544" spans="9:9" x14ac:dyDescent="0.3">
      <c r="I24544" s="101"/>
    </row>
    <row r="24545" spans="9:9" x14ac:dyDescent="0.3">
      <c r="I24545" s="101"/>
    </row>
    <row r="24546" spans="9:9" x14ac:dyDescent="0.3">
      <c r="I24546" s="101"/>
    </row>
    <row r="24547" spans="9:9" x14ac:dyDescent="0.3">
      <c r="I24547" s="101"/>
    </row>
    <row r="24548" spans="9:9" x14ac:dyDescent="0.3">
      <c r="I24548" s="101"/>
    </row>
    <row r="24549" spans="9:9" x14ac:dyDescent="0.3">
      <c r="I24549" s="101"/>
    </row>
    <row r="24550" spans="9:9" x14ac:dyDescent="0.3">
      <c r="I24550" s="101"/>
    </row>
    <row r="24551" spans="9:9" x14ac:dyDescent="0.3">
      <c r="I24551" s="101"/>
    </row>
    <row r="24552" spans="9:9" x14ac:dyDescent="0.3">
      <c r="I24552" s="101"/>
    </row>
    <row r="24553" spans="9:9" x14ac:dyDescent="0.3">
      <c r="I24553" s="101"/>
    </row>
    <row r="24554" spans="9:9" x14ac:dyDescent="0.3">
      <c r="I24554" s="101"/>
    </row>
    <row r="24555" spans="9:9" x14ac:dyDescent="0.3">
      <c r="I24555" s="101"/>
    </row>
    <row r="24556" spans="9:9" x14ac:dyDescent="0.3">
      <c r="I24556" s="101"/>
    </row>
    <row r="24557" spans="9:9" x14ac:dyDescent="0.3">
      <c r="I24557" s="101"/>
    </row>
    <row r="24558" spans="9:9" x14ac:dyDescent="0.3">
      <c r="I24558" s="101"/>
    </row>
    <row r="24559" spans="9:9" x14ac:dyDescent="0.3">
      <c r="I24559" s="101"/>
    </row>
    <row r="24560" spans="9:9" x14ac:dyDescent="0.3">
      <c r="I24560" s="101"/>
    </row>
    <row r="24561" spans="9:9" x14ac:dyDescent="0.3">
      <c r="I24561" s="101"/>
    </row>
    <row r="24562" spans="9:9" x14ac:dyDescent="0.3">
      <c r="I24562" s="101"/>
    </row>
    <row r="24563" spans="9:9" x14ac:dyDescent="0.3">
      <c r="I24563" s="101"/>
    </row>
    <row r="24564" spans="9:9" x14ac:dyDescent="0.3">
      <c r="I24564" s="101"/>
    </row>
    <row r="24565" spans="9:9" x14ac:dyDescent="0.3">
      <c r="I24565" s="101"/>
    </row>
    <row r="24566" spans="9:9" x14ac:dyDescent="0.3">
      <c r="I24566" s="101"/>
    </row>
    <row r="24567" spans="9:9" x14ac:dyDescent="0.3">
      <c r="I24567" s="101"/>
    </row>
    <row r="24568" spans="9:9" x14ac:dyDescent="0.3">
      <c r="I24568" s="101"/>
    </row>
    <row r="24569" spans="9:9" x14ac:dyDescent="0.3">
      <c r="I24569" s="101"/>
    </row>
    <row r="24570" spans="9:9" x14ac:dyDescent="0.3">
      <c r="I24570" s="101"/>
    </row>
    <row r="24571" spans="9:9" x14ac:dyDescent="0.3">
      <c r="I24571" s="101"/>
    </row>
    <row r="24572" spans="9:9" x14ac:dyDescent="0.3">
      <c r="I24572" s="101"/>
    </row>
    <row r="24573" spans="9:9" x14ac:dyDescent="0.3">
      <c r="I24573" s="101"/>
    </row>
    <row r="24574" spans="9:9" x14ac:dyDescent="0.3">
      <c r="I24574" s="101"/>
    </row>
    <row r="24575" spans="9:9" x14ac:dyDescent="0.3">
      <c r="I24575" s="101"/>
    </row>
    <row r="24576" spans="9:9" x14ac:dyDescent="0.3">
      <c r="I24576" s="101"/>
    </row>
    <row r="24577" spans="9:9" x14ac:dyDescent="0.3">
      <c r="I24577" s="101"/>
    </row>
    <row r="24578" spans="9:9" x14ac:dyDescent="0.3">
      <c r="I24578" s="101"/>
    </row>
    <row r="24579" spans="9:9" x14ac:dyDescent="0.3">
      <c r="I24579" s="101"/>
    </row>
    <row r="24580" spans="9:9" x14ac:dyDescent="0.3">
      <c r="I24580" s="101"/>
    </row>
    <row r="24581" spans="9:9" x14ac:dyDescent="0.3">
      <c r="I24581" s="101"/>
    </row>
    <row r="24582" spans="9:9" x14ac:dyDescent="0.3">
      <c r="I24582" s="101"/>
    </row>
    <row r="24583" spans="9:9" x14ac:dyDescent="0.3">
      <c r="I24583" s="101"/>
    </row>
    <row r="24584" spans="9:9" x14ac:dyDescent="0.3">
      <c r="I24584" s="101"/>
    </row>
    <row r="24585" spans="9:9" x14ac:dyDescent="0.3">
      <c r="I24585" s="101"/>
    </row>
    <row r="24586" spans="9:9" x14ac:dyDescent="0.3">
      <c r="I24586" s="101"/>
    </row>
    <row r="24587" spans="9:9" x14ac:dyDescent="0.3">
      <c r="I24587" s="101"/>
    </row>
    <row r="24588" spans="9:9" x14ac:dyDescent="0.3">
      <c r="I24588" s="101"/>
    </row>
    <row r="24589" spans="9:9" x14ac:dyDescent="0.3">
      <c r="I24589" s="101"/>
    </row>
    <row r="24590" spans="9:9" x14ac:dyDescent="0.3">
      <c r="I24590" s="101"/>
    </row>
    <row r="24591" spans="9:9" x14ac:dyDescent="0.3">
      <c r="I24591" s="101"/>
    </row>
    <row r="24592" spans="9:9" x14ac:dyDescent="0.3">
      <c r="I24592" s="101"/>
    </row>
    <row r="24593" spans="9:9" x14ac:dyDescent="0.3">
      <c r="I24593" s="101"/>
    </row>
    <row r="24594" spans="9:9" x14ac:dyDescent="0.3">
      <c r="I24594" s="101"/>
    </row>
    <row r="24595" spans="9:9" x14ac:dyDescent="0.3">
      <c r="I24595" s="101"/>
    </row>
    <row r="24596" spans="9:9" x14ac:dyDescent="0.3">
      <c r="I24596" s="101"/>
    </row>
    <row r="24597" spans="9:9" x14ac:dyDescent="0.3">
      <c r="I24597" s="101"/>
    </row>
    <row r="24598" spans="9:9" x14ac:dyDescent="0.3">
      <c r="I24598" s="101"/>
    </row>
    <row r="24599" spans="9:9" x14ac:dyDescent="0.3">
      <c r="I24599" s="101"/>
    </row>
    <row r="24600" spans="9:9" x14ac:dyDescent="0.3">
      <c r="I24600" s="101"/>
    </row>
    <row r="24601" spans="9:9" x14ac:dyDescent="0.3">
      <c r="I24601" s="101"/>
    </row>
    <row r="24602" spans="9:9" x14ac:dyDescent="0.3">
      <c r="I24602" s="101"/>
    </row>
    <row r="24603" spans="9:9" x14ac:dyDescent="0.3">
      <c r="I24603" s="101"/>
    </row>
    <row r="24604" spans="9:9" x14ac:dyDescent="0.3">
      <c r="I24604" s="101"/>
    </row>
    <row r="24605" spans="9:9" x14ac:dyDescent="0.3">
      <c r="I24605" s="101"/>
    </row>
    <row r="24606" spans="9:9" x14ac:dyDescent="0.3">
      <c r="I24606" s="101"/>
    </row>
    <row r="24607" spans="9:9" x14ac:dyDescent="0.3">
      <c r="I24607" s="101"/>
    </row>
    <row r="24608" spans="9:9" x14ac:dyDescent="0.3">
      <c r="I24608" s="101"/>
    </row>
    <row r="24609" spans="9:9" x14ac:dyDescent="0.3">
      <c r="I24609" s="101"/>
    </row>
    <row r="24610" spans="9:9" x14ac:dyDescent="0.3">
      <c r="I24610" s="101"/>
    </row>
    <row r="24611" spans="9:9" x14ac:dyDescent="0.3">
      <c r="I24611" s="101"/>
    </row>
    <row r="24612" spans="9:9" x14ac:dyDescent="0.3">
      <c r="I24612" s="101"/>
    </row>
    <row r="24613" spans="9:9" x14ac:dyDescent="0.3">
      <c r="I24613" s="101"/>
    </row>
    <row r="24614" spans="9:9" x14ac:dyDescent="0.3">
      <c r="I24614" s="101"/>
    </row>
    <row r="24615" spans="9:9" x14ac:dyDescent="0.3">
      <c r="I24615" s="101"/>
    </row>
    <row r="24616" spans="9:9" x14ac:dyDescent="0.3">
      <c r="I24616" s="101"/>
    </row>
    <row r="24617" spans="9:9" x14ac:dyDescent="0.3">
      <c r="I24617" s="101"/>
    </row>
    <row r="24618" spans="9:9" x14ac:dyDescent="0.3">
      <c r="I24618" s="101"/>
    </row>
    <row r="24619" spans="9:9" x14ac:dyDescent="0.3">
      <c r="I24619" s="101"/>
    </row>
    <row r="24620" spans="9:9" x14ac:dyDescent="0.3">
      <c r="I24620" s="101"/>
    </row>
    <row r="24621" spans="9:9" x14ac:dyDescent="0.3">
      <c r="I24621" s="101"/>
    </row>
    <row r="24622" spans="9:9" x14ac:dyDescent="0.3">
      <c r="I24622" s="101"/>
    </row>
    <row r="24623" spans="9:9" x14ac:dyDescent="0.3">
      <c r="I24623" s="101"/>
    </row>
    <row r="24624" spans="9:9" x14ac:dyDescent="0.3">
      <c r="I24624" s="101"/>
    </row>
    <row r="24625" spans="9:9" x14ac:dyDescent="0.3">
      <c r="I24625" s="101"/>
    </row>
    <row r="24626" spans="9:9" x14ac:dyDescent="0.3">
      <c r="I24626" s="101"/>
    </row>
    <row r="24627" spans="9:9" x14ac:dyDescent="0.3">
      <c r="I24627" s="101"/>
    </row>
    <row r="24628" spans="9:9" x14ac:dyDescent="0.3">
      <c r="I24628" s="101"/>
    </row>
    <row r="24629" spans="9:9" x14ac:dyDescent="0.3">
      <c r="I24629" s="101"/>
    </row>
    <row r="24630" spans="9:9" x14ac:dyDescent="0.3">
      <c r="I24630" s="101"/>
    </row>
    <row r="24631" spans="9:9" x14ac:dyDescent="0.3">
      <c r="I24631" s="101"/>
    </row>
    <row r="24632" spans="9:9" x14ac:dyDescent="0.3">
      <c r="I24632" s="101"/>
    </row>
    <row r="24633" spans="9:9" x14ac:dyDescent="0.3">
      <c r="I24633" s="101"/>
    </row>
    <row r="24634" spans="9:9" x14ac:dyDescent="0.3">
      <c r="I24634" s="101"/>
    </row>
    <row r="24635" spans="9:9" x14ac:dyDescent="0.3">
      <c r="I24635" s="101"/>
    </row>
    <row r="24636" spans="9:9" x14ac:dyDescent="0.3">
      <c r="I24636" s="101"/>
    </row>
    <row r="24637" spans="9:9" x14ac:dyDescent="0.3">
      <c r="I24637" s="101"/>
    </row>
    <row r="24638" spans="9:9" x14ac:dyDescent="0.3">
      <c r="I24638" s="101"/>
    </row>
    <row r="24639" spans="9:9" x14ac:dyDescent="0.3">
      <c r="I24639" s="101"/>
    </row>
    <row r="24640" spans="9:9" x14ac:dyDescent="0.3">
      <c r="I24640" s="101"/>
    </row>
    <row r="24641" spans="9:9" x14ac:dyDescent="0.3">
      <c r="I24641" s="101"/>
    </row>
    <row r="24642" spans="9:9" x14ac:dyDescent="0.3">
      <c r="I24642" s="101"/>
    </row>
    <row r="24643" spans="9:9" x14ac:dyDescent="0.3">
      <c r="I24643" s="101"/>
    </row>
    <row r="24644" spans="9:9" x14ac:dyDescent="0.3">
      <c r="I24644" s="101"/>
    </row>
    <row r="24645" spans="9:9" x14ac:dyDescent="0.3">
      <c r="I24645" s="101"/>
    </row>
    <row r="24646" spans="9:9" x14ac:dyDescent="0.3">
      <c r="I24646" s="101"/>
    </row>
    <row r="24647" spans="9:9" x14ac:dyDescent="0.3">
      <c r="I24647" s="101"/>
    </row>
    <row r="24648" spans="9:9" x14ac:dyDescent="0.3">
      <c r="I24648" s="101"/>
    </row>
    <row r="24649" spans="9:9" x14ac:dyDescent="0.3">
      <c r="I24649" s="101"/>
    </row>
    <row r="24650" spans="9:9" x14ac:dyDescent="0.3">
      <c r="I24650" s="101"/>
    </row>
    <row r="24651" spans="9:9" x14ac:dyDescent="0.3">
      <c r="I24651" s="101"/>
    </row>
    <row r="24652" spans="9:9" x14ac:dyDescent="0.3">
      <c r="I24652" s="101"/>
    </row>
    <row r="24653" spans="9:9" x14ac:dyDescent="0.3">
      <c r="I24653" s="101"/>
    </row>
    <row r="24654" spans="9:9" x14ac:dyDescent="0.3">
      <c r="I24654" s="101"/>
    </row>
    <row r="24655" spans="9:9" x14ac:dyDescent="0.3">
      <c r="I24655" s="101"/>
    </row>
    <row r="24656" spans="9:9" x14ac:dyDescent="0.3">
      <c r="I24656" s="101"/>
    </row>
    <row r="24657" spans="9:9" x14ac:dyDescent="0.3">
      <c r="I24657" s="101"/>
    </row>
    <row r="24658" spans="9:9" x14ac:dyDescent="0.3">
      <c r="I24658" s="101"/>
    </row>
    <row r="24659" spans="9:9" x14ac:dyDescent="0.3">
      <c r="I24659" s="101"/>
    </row>
    <row r="24660" spans="9:9" x14ac:dyDescent="0.3">
      <c r="I24660" s="101"/>
    </row>
    <row r="24661" spans="9:9" x14ac:dyDescent="0.3">
      <c r="I24661" s="101"/>
    </row>
    <row r="24662" spans="9:9" x14ac:dyDescent="0.3">
      <c r="I24662" s="101"/>
    </row>
    <row r="24663" spans="9:9" x14ac:dyDescent="0.3">
      <c r="I24663" s="101"/>
    </row>
    <row r="24664" spans="9:9" x14ac:dyDescent="0.3">
      <c r="I24664" s="101"/>
    </row>
    <row r="24665" spans="9:9" x14ac:dyDescent="0.3">
      <c r="I24665" s="101"/>
    </row>
    <row r="24666" spans="9:9" x14ac:dyDescent="0.3">
      <c r="I24666" s="101"/>
    </row>
    <row r="24667" spans="9:9" x14ac:dyDescent="0.3">
      <c r="I24667" s="101"/>
    </row>
    <row r="24668" spans="9:9" x14ac:dyDescent="0.3">
      <c r="I24668" s="101"/>
    </row>
    <row r="24669" spans="9:9" x14ac:dyDescent="0.3">
      <c r="I24669" s="101"/>
    </row>
    <row r="24670" spans="9:9" x14ac:dyDescent="0.3">
      <c r="I24670" s="101"/>
    </row>
    <row r="24671" spans="9:9" x14ac:dyDescent="0.3">
      <c r="I24671" s="101"/>
    </row>
    <row r="24672" spans="9:9" x14ac:dyDescent="0.3">
      <c r="I24672" s="101"/>
    </row>
    <row r="24673" spans="9:9" x14ac:dyDescent="0.3">
      <c r="I24673" s="101"/>
    </row>
    <row r="24674" spans="9:9" x14ac:dyDescent="0.3">
      <c r="I24674" s="101"/>
    </row>
    <row r="24675" spans="9:9" x14ac:dyDescent="0.3">
      <c r="I24675" s="101"/>
    </row>
    <row r="24676" spans="9:9" x14ac:dyDescent="0.3">
      <c r="I24676" s="101"/>
    </row>
    <row r="24677" spans="9:9" x14ac:dyDescent="0.3">
      <c r="I24677" s="101"/>
    </row>
    <row r="24678" spans="9:9" x14ac:dyDescent="0.3">
      <c r="I24678" s="101"/>
    </row>
    <row r="24679" spans="9:9" x14ac:dyDescent="0.3">
      <c r="I24679" s="101"/>
    </row>
    <row r="24680" spans="9:9" x14ac:dyDescent="0.3">
      <c r="I24680" s="101"/>
    </row>
    <row r="24681" spans="9:9" x14ac:dyDescent="0.3">
      <c r="I24681" s="101"/>
    </row>
    <row r="24682" spans="9:9" x14ac:dyDescent="0.3">
      <c r="I24682" s="101"/>
    </row>
    <row r="24683" spans="9:9" x14ac:dyDescent="0.3">
      <c r="I24683" s="101"/>
    </row>
    <row r="24684" spans="9:9" x14ac:dyDescent="0.3">
      <c r="I24684" s="101"/>
    </row>
    <row r="24685" spans="9:9" x14ac:dyDescent="0.3">
      <c r="I24685" s="101"/>
    </row>
    <row r="24686" spans="9:9" x14ac:dyDescent="0.3">
      <c r="I24686" s="101"/>
    </row>
    <row r="24687" spans="9:9" x14ac:dyDescent="0.3">
      <c r="I24687" s="101"/>
    </row>
    <row r="24688" spans="9:9" x14ac:dyDescent="0.3">
      <c r="I24688" s="101"/>
    </row>
    <row r="24689" spans="9:9" x14ac:dyDescent="0.3">
      <c r="I24689" s="101"/>
    </row>
    <row r="24690" spans="9:9" x14ac:dyDescent="0.3">
      <c r="I24690" s="101"/>
    </row>
    <row r="24691" spans="9:9" x14ac:dyDescent="0.3">
      <c r="I24691" s="101"/>
    </row>
    <row r="24692" spans="9:9" x14ac:dyDescent="0.3">
      <c r="I24692" s="101"/>
    </row>
    <row r="24693" spans="9:9" x14ac:dyDescent="0.3">
      <c r="I24693" s="101"/>
    </row>
    <row r="24694" spans="9:9" x14ac:dyDescent="0.3">
      <c r="I24694" s="101"/>
    </row>
    <row r="24695" spans="9:9" x14ac:dyDescent="0.3">
      <c r="I24695" s="101"/>
    </row>
    <row r="24696" spans="9:9" x14ac:dyDescent="0.3">
      <c r="I24696" s="101"/>
    </row>
    <row r="24697" spans="9:9" x14ac:dyDescent="0.3">
      <c r="I24697" s="101"/>
    </row>
    <row r="24698" spans="9:9" x14ac:dyDescent="0.3">
      <c r="I24698" s="101"/>
    </row>
    <row r="24699" spans="9:9" x14ac:dyDescent="0.3">
      <c r="I24699" s="101"/>
    </row>
    <row r="24700" spans="9:9" x14ac:dyDescent="0.3">
      <c r="I24700" s="101"/>
    </row>
    <row r="24701" spans="9:9" x14ac:dyDescent="0.3">
      <c r="I24701" s="101"/>
    </row>
    <row r="24702" spans="9:9" x14ac:dyDescent="0.3">
      <c r="I24702" s="101"/>
    </row>
    <row r="24703" spans="9:9" x14ac:dyDescent="0.3">
      <c r="I24703" s="101"/>
    </row>
    <row r="24704" spans="9:9" x14ac:dyDescent="0.3">
      <c r="I24704" s="101"/>
    </row>
    <row r="24705" spans="9:9" x14ac:dyDescent="0.3">
      <c r="I24705" s="101"/>
    </row>
    <row r="24706" spans="9:9" x14ac:dyDescent="0.3">
      <c r="I24706" s="101"/>
    </row>
    <row r="24707" spans="9:9" x14ac:dyDescent="0.3">
      <c r="I24707" s="101"/>
    </row>
    <row r="24708" spans="9:9" x14ac:dyDescent="0.3">
      <c r="I24708" s="101"/>
    </row>
    <row r="24709" spans="9:9" x14ac:dyDescent="0.3">
      <c r="I24709" s="101"/>
    </row>
    <row r="24710" spans="9:9" x14ac:dyDescent="0.3">
      <c r="I24710" s="101"/>
    </row>
    <row r="24711" spans="9:9" x14ac:dyDescent="0.3">
      <c r="I24711" s="101"/>
    </row>
    <row r="24712" spans="9:9" x14ac:dyDescent="0.3">
      <c r="I24712" s="101"/>
    </row>
    <row r="24713" spans="9:9" x14ac:dyDescent="0.3">
      <c r="I24713" s="101"/>
    </row>
    <row r="24714" spans="9:9" x14ac:dyDescent="0.3">
      <c r="I24714" s="101"/>
    </row>
    <row r="24715" spans="9:9" x14ac:dyDescent="0.3">
      <c r="I24715" s="101"/>
    </row>
    <row r="24716" spans="9:9" x14ac:dyDescent="0.3">
      <c r="I24716" s="101"/>
    </row>
    <row r="24717" spans="9:9" x14ac:dyDescent="0.3">
      <c r="I24717" s="101"/>
    </row>
    <row r="24718" spans="9:9" x14ac:dyDescent="0.3">
      <c r="I24718" s="101"/>
    </row>
    <row r="24719" spans="9:9" x14ac:dyDescent="0.3">
      <c r="I24719" s="101"/>
    </row>
    <row r="24720" spans="9:9" x14ac:dyDescent="0.3">
      <c r="I24720" s="101"/>
    </row>
    <row r="24721" spans="9:9" x14ac:dyDescent="0.3">
      <c r="I24721" s="101"/>
    </row>
    <row r="24722" spans="9:9" x14ac:dyDescent="0.3">
      <c r="I24722" s="101"/>
    </row>
    <row r="24723" spans="9:9" x14ac:dyDescent="0.3">
      <c r="I24723" s="101"/>
    </row>
    <row r="24724" spans="9:9" x14ac:dyDescent="0.3">
      <c r="I24724" s="101"/>
    </row>
    <row r="24725" spans="9:9" x14ac:dyDescent="0.3">
      <c r="I24725" s="101"/>
    </row>
    <row r="24726" spans="9:9" x14ac:dyDescent="0.3">
      <c r="I24726" s="101"/>
    </row>
    <row r="24727" spans="9:9" x14ac:dyDescent="0.3">
      <c r="I24727" s="101"/>
    </row>
    <row r="24728" spans="9:9" x14ac:dyDescent="0.3">
      <c r="I24728" s="101"/>
    </row>
    <row r="24729" spans="9:9" x14ac:dyDescent="0.3">
      <c r="I24729" s="101"/>
    </row>
    <row r="24730" spans="9:9" x14ac:dyDescent="0.3">
      <c r="I24730" s="101"/>
    </row>
    <row r="24731" spans="9:9" x14ac:dyDescent="0.3">
      <c r="I24731" s="101"/>
    </row>
    <row r="24732" spans="9:9" x14ac:dyDescent="0.3">
      <c r="I24732" s="101"/>
    </row>
    <row r="24733" spans="9:9" x14ac:dyDescent="0.3">
      <c r="I24733" s="101"/>
    </row>
    <row r="24734" spans="9:9" x14ac:dyDescent="0.3">
      <c r="I24734" s="101"/>
    </row>
    <row r="24735" spans="9:9" x14ac:dyDescent="0.3">
      <c r="I24735" s="101"/>
    </row>
    <row r="24736" spans="9:9" x14ac:dyDescent="0.3">
      <c r="I24736" s="101"/>
    </row>
    <row r="24737" spans="9:9" x14ac:dyDescent="0.3">
      <c r="I24737" s="101"/>
    </row>
    <row r="24738" spans="9:9" x14ac:dyDescent="0.3">
      <c r="I24738" s="101"/>
    </row>
    <row r="24739" spans="9:9" x14ac:dyDescent="0.3">
      <c r="I24739" s="101"/>
    </row>
    <row r="24740" spans="9:9" x14ac:dyDescent="0.3">
      <c r="I24740" s="101"/>
    </row>
    <row r="24741" spans="9:9" x14ac:dyDescent="0.3">
      <c r="I24741" s="101"/>
    </row>
    <row r="24742" spans="9:9" x14ac:dyDescent="0.3">
      <c r="I24742" s="101"/>
    </row>
    <row r="24743" spans="9:9" x14ac:dyDescent="0.3">
      <c r="I24743" s="101"/>
    </row>
    <row r="24744" spans="9:9" x14ac:dyDescent="0.3">
      <c r="I24744" s="101"/>
    </row>
    <row r="24745" spans="9:9" x14ac:dyDescent="0.3">
      <c r="I24745" s="101"/>
    </row>
    <row r="24746" spans="9:9" x14ac:dyDescent="0.3">
      <c r="I24746" s="101"/>
    </row>
    <row r="24747" spans="9:9" x14ac:dyDescent="0.3">
      <c r="I24747" s="101"/>
    </row>
    <row r="24748" spans="9:9" x14ac:dyDescent="0.3">
      <c r="I24748" s="101"/>
    </row>
    <row r="24749" spans="9:9" x14ac:dyDescent="0.3">
      <c r="I24749" s="101"/>
    </row>
    <row r="24750" spans="9:9" x14ac:dyDescent="0.3">
      <c r="I24750" s="101"/>
    </row>
    <row r="24751" spans="9:9" x14ac:dyDescent="0.3">
      <c r="I24751" s="101"/>
    </row>
    <row r="24752" spans="9:9" x14ac:dyDescent="0.3">
      <c r="I24752" s="101"/>
    </row>
    <row r="24753" spans="9:9" x14ac:dyDescent="0.3">
      <c r="I24753" s="101"/>
    </row>
    <row r="24754" spans="9:9" x14ac:dyDescent="0.3">
      <c r="I24754" s="101"/>
    </row>
    <row r="24755" spans="9:9" x14ac:dyDescent="0.3">
      <c r="I24755" s="101"/>
    </row>
    <row r="24756" spans="9:9" x14ac:dyDescent="0.3">
      <c r="I24756" s="101"/>
    </row>
    <row r="24757" spans="9:9" x14ac:dyDescent="0.3">
      <c r="I24757" s="101"/>
    </row>
    <row r="24758" spans="9:9" x14ac:dyDescent="0.3">
      <c r="I24758" s="101"/>
    </row>
    <row r="24759" spans="9:9" x14ac:dyDescent="0.3">
      <c r="I24759" s="101"/>
    </row>
    <row r="24760" spans="9:9" x14ac:dyDescent="0.3">
      <c r="I24760" s="101"/>
    </row>
    <row r="24761" spans="9:9" x14ac:dyDescent="0.3">
      <c r="I24761" s="101"/>
    </row>
    <row r="24762" spans="9:9" x14ac:dyDescent="0.3">
      <c r="I24762" s="101"/>
    </row>
    <row r="24763" spans="9:9" x14ac:dyDescent="0.3">
      <c r="I24763" s="101"/>
    </row>
    <row r="24764" spans="9:9" x14ac:dyDescent="0.3">
      <c r="I24764" s="101"/>
    </row>
    <row r="24765" spans="9:9" x14ac:dyDescent="0.3">
      <c r="I24765" s="101"/>
    </row>
    <row r="24766" spans="9:9" x14ac:dyDescent="0.3">
      <c r="I24766" s="101"/>
    </row>
    <row r="24767" spans="9:9" x14ac:dyDescent="0.3">
      <c r="I24767" s="101"/>
    </row>
    <row r="24768" spans="9:9" x14ac:dyDescent="0.3">
      <c r="I24768" s="101"/>
    </row>
    <row r="24769" spans="9:9" x14ac:dyDescent="0.3">
      <c r="I24769" s="101"/>
    </row>
    <row r="24770" spans="9:9" x14ac:dyDescent="0.3">
      <c r="I24770" s="101"/>
    </row>
    <row r="24771" spans="9:9" x14ac:dyDescent="0.3">
      <c r="I24771" s="101"/>
    </row>
    <row r="24772" spans="9:9" x14ac:dyDescent="0.3">
      <c r="I24772" s="101"/>
    </row>
    <row r="24773" spans="9:9" x14ac:dyDescent="0.3">
      <c r="I24773" s="101"/>
    </row>
    <row r="24774" spans="9:9" x14ac:dyDescent="0.3">
      <c r="I24774" s="101"/>
    </row>
    <row r="24775" spans="9:9" x14ac:dyDescent="0.3">
      <c r="I24775" s="101"/>
    </row>
    <row r="24776" spans="9:9" x14ac:dyDescent="0.3">
      <c r="I24776" s="101"/>
    </row>
    <row r="24777" spans="9:9" x14ac:dyDescent="0.3">
      <c r="I24777" s="101"/>
    </row>
    <row r="24778" spans="9:9" x14ac:dyDescent="0.3">
      <c r="I24778" s="101"/>
    </row>
    <row r="24779" spans="9:9" x14ac:dyDescent="0.3">
      <c r="I24779" s="101"/>
    </row>
    <row r="24780" spans="9:9" x14ac:dyDescent="0.3">
      <c r="I24780" s="101"/>
    </row>
    <row r="24781" spans="9:9" x14ac:dyDescent="0.3">
      <c r="I24781" s="101"/>
    </row>
    <row r="24782" spans="9:9" x14ac:dyDescent="0.3">
      <c r="I24782" s="101"/>
    </row>
    <row r="24783" spans="9:9" x14ac:dyDescent="0.3">
      <c r="I24783" s="101"/>
    </row>
    <row r="24784" spans="9:9" x14ac:dyDescent="0.3">
      <c r="I24784" s="101"/>
    </row>
    <row r="24785" spans="9:9" x14ac:dyDescent="0.3">
      <c r="I24785" s="101"/>
    </row>
    <row r="24786" spans="9:9" x14ac:dyDescent="0.3">
      <c r="I24786" s="101"/>
    </row>
    <row r="24787" spans="9:9" x14ac:dyDescent="0.3">
      <c r="I24787" s="101"/>
    </row>
    <row r="24788" spans="9:9" x14ac:dyDescent="0.3">
      <c r="I24788" s="101"/>
    </row>
    <row r="24789" spans="9:9" x14ac:dyDescent="0.3">
      <c r="I24789" s="101"/>
    </row>
    <row r="24790" spans="9:9" x14ac:dyDescent="0.3">
      <c r="I24790" s="101"/>
    </row>
    <row r="24791" spans="9:9" x14ac:dyDescent="0.3">
      <c r="I24791" s="101"/>
    </row>
    <row r="24792" spans="9:9" x14ac:dyDescent="0.3">
      <c r="I24792" s="101"/>
    </row>
    <row r="24793" spans="9:9" x14ac:dyDescent="0.3">
      <c r="I24793" s="101"/>
    </row>
    <row r="24794" spans="9:9" x14ac:dyDescent="0.3">
      <c r="I24794" s="101"/>
    </row>
    <row r="24795" spans="9:9" x14ac:dyDescent="0.3">
      <c r="I24795" s="101"/>
    </row>
    <row r="24796" spans="9:9" x14ac:dyDescent="0.3">
      <c r="I24796" s="101"/>
    </row>
    <row r="24797" spans="9:9" x14ac:dyDescent="0.3">
      <c r="I24797" s="101"/>
    </row>
    <row r="24798" spans="9:9" x14ac:dyDescent="0.3">
      <c r="I24798" s="101"/>
    </row>
    <row r="24799" spans="9:9" x14ac:dyDescent="0.3">
      <c r="I24799" s="101"/>
    </row>
    <row r="24800" spans="9:9" x14ac:dyDescent="0.3">
      <c r="I24800" s="101"/>
    </row>
    <row r="24801" spans="9:9" x14ac:dyDescent="0.3">
      <c r="I24801" s="101"/>
    </row>
    <row r="24802" spans="9:9" x14ac:dyDescent="0.3">
      <c r="I24802" s="101"/>
    </row>
    <row r="24803" spans="9:9" x14ac:dyDescent="0.3">
      <c r="I24803" s="101"/>
    </row>
    <row r="24804" spans="9:9" x14ac:dyDescent="0.3">
      <c r="I24804" s="101"/>
    </row>
    <row r="24805" spans="9:9" x14ac:dyDescent="0.3">
      <c r="I24805" s="101"/>
    </row>
    <row r="24806" spans="9:9" x14ac:dyDescent="0.3">
      <c r="I24806" s="101"/>
    </row>
    <row r="24807" spans="9:9" x14ac:dyDescent="0.3">
      <c r="I24807" s="101"/>
    </row>
    <row r="24808" spans="9:9" x14ac:dyDescent="0.3">
      <c r="I24808" s="101"/>
    </row>
    <row r="24809" spans="9:9" x14ac:dyDescent="0.3">
      <c r="I24809" s="101"/>
    </row>
    <row r="24810" spans="9:9" x14ac:dyDescent="0.3">
      <c r="I24810" s="101"/>
    </row>
    <row r="24811" spans="9:9" x14ac:dyDescent="0.3">
      <c r="I24811" s="101"/>
    </row>
    <row r="24812" spans="9:9" x14ac:dyDescent="0.3">
      <c r="I24812" s="101"/>
    </row>
    <row r="24813" spans="9:9" x14ac:dyDescent="0.3">
      <c r="I24813" s="101"/>
    </row>
    <row r="24814" spans="9:9" x14ac:dyDescent="0.3">
      <c r="I24814" s="101"/>
    </row>
    <row r="24815" spans="9:9" x14ac:dyDescent="0.3">
      <c r="I24815" s="101"/>
    </row>
    <row r="24816" spans="9:9" x14ac:dyDescent="0.3">
      <c r="I24816" s="101"/>
    </row>
    <row r="24817" spans="9:9" x14ac:dyDescent="0.3">
      <c r="I24817" s="101"/>
    </row>
    <row r="24818" spans="9:9" x14ac:dyDescent="0.3">
      <c r="I24818" s="101"/>
    </row>
    <row r="24819" spans="9:9" x14ac:dyDescent="0.3">
      <c r="I24819" s="101"/>
    </row>
    <row r="24820" spans="9:9" x14ac:dyDescent="0.3">
      <c r="I24820" s="101"/>
    </row>
    <row r="24821" spans="9:9" x14ac:dyDescent="0.3">
      <c r="I24821" s="101"/>
    </row>
    <row r="24822" spans="9:9" x14ac:dyDescent="0.3">
      <c r="I24822" s="101"/>
    </row>
    <row r="24823" spans="9:9" x14ac:dyDescent="0.3">
      <c r="I24823" s="101"/>
    </row>
    <row r="24824" spans="9:9" x14ac:dyDescent="0.3">
      <c r="I24824" s="101"/>
    </row>
    <row r="24825" spans="9:9" x14ac:dyDescent="0.3">
      <c r="I24825" s="101"/>
    </row>
    <row r="24826" spans="9:9" x14ac:dyDescent="0.3">
      <c r="I24826" s="101"/>
    </row>
    <row r="24827" spans="9:9" x14ac:dyDescent="0.3">
      <c r="I24827" s="101"/>
    </row>
    <row r="24828" spans="9:9" x14ac:dyDescent="0.3">
      <c r="I24828" s="101"/>
    </row>
    <row r="24829" spans="9:9" x14ac:dyDescent="0.3">
      <c r="I24829" s="101"/>
    </row>
    <row r="24830" spans="9:9" x14ac:dyDescent="0.3">
      <c r="I24830" s="101"/>
    </row>
    <row r="24831" spans="9:9" x14ac:dyDescent="0.3">
      <c r="I24831" s="101"/>
    </row>
    <row r="24832" spans="9:9" x14ac:dyDescent="0.3">
      <c r="I24832" s="101"/>
    </row>
    <row r="24833" spans="9:9" x14ac:dyDescent="0.3">
      <c r="I24833" s="101"/>
    </row>
    <row r="24834" spans="9:9" x14ac:dyDescent="0.3">
      <c r="I24834" s="101"/>
    </row>
    <row r="24835" spans="9:9" x14ac:dyDescent="0.3">
      <c r="I24835" s="101"/>
    </row>
    <row r="24836" spans="9:9" x14ac:dyDescent="0.3">
      <c r="I24836" s="101"/>
    </row>
    <row r="24837" spans="9:9" x14ac:dyDescent="0.3">
      <c r="I24837" s="101"/>
    </row>
    <row r="24838" spans="9:9" x14ac:dyDescent="0.3">
      <c r="I24838" s="101"/>
    </row>
    <row r="24839" spans="9:9" x14ac:dyDescent="0.3">
      <c r="I24839" s="101"/>
    </row>
    <row r="24840" spans="9:9" x14ac:dyDescent="0.3">
      <c r="I24840" s="101"/>
    </row>
    <row r="24841" spans="9:9" x14ac:dyDescent="0.3">
      <c r="I24841" s="101"/>
    </row>
    <row r="24842" spans="9:9" x14ac:dyDescent="0.3">
      <c r="I24842" s="101"/>
    </row>
    <row r="24843" spans="9:9" x14ac:dyDescent="0.3">
      <c r="I24843" s="101"/>
    </row>
    <row r="24844" spans="9:9" x14ac:dyDescent="0.3">
      <c r="I24844" s="101"/>
    </row>
    <row r="24845" spans="9:9" x14ac:dyDescent="0.3">
      <c r="I24845" s="101"/>
    </row>
    <row r="24846" spans="9:9" x14ac:dyDescent="0.3">
      <c r="I24846" s="101"/>
    </row>
    <row r="24847" spans="9:9" x14ac:dyDescent="0.3">
      <c r="I24847" s="101"/>
    </row>
    <row r="24848" spans="9:9" x14ac:dyDescent="0.3">
      <c r="I24848" s="101"/>
    </row>
    <row r="24849" spans="9:9" x14ac:dyDescent="0.3">
      <c r="I24849" s="101"/>
    </row>
    <row r="24850" spans="9:9" x14ac:dyDescent="0.3">
      <c r="I24850" s="101"/>
    </row>
    <row r="24851" spans="9:9" x14ac:dyDescent="0.3">
      <c r="I24851" s="101"/>
    </row>
    <row r="24852" spans="9:9" x14ac:dyDescent="0.3">
      <c r="I24852" s="101"/>
    </row>
    <row r="24853" spans="9:9" x14ac:dyDescent="0.3">
      <c r="I24853" s="101"/>
    </row>
    <row r="24854" spans="9:9" x14ac:dyDescent="0.3">
      <c r="I24854" s="101"/>
    </row>
    <row r="24855" spans="9:9" x14ac:dyDescent="0.3">
      <c r="I24855" s="101"/>
    </row>
    <row r="24856" spans="9:9" x14ac:dyDescent="0.3">
      <c r="I24856" s="101"/>
    </row>
    <row r="24857" spans="9:9" x14ac:dyDescent="0.3">
      <c r="I24857" s="101"/>
    </row>
    <row r="24858" spans="9:9" x14ac:dyDescent="0.3">
      <c r="I24858" s="101"/>
    </row>
    <row r="24859" spans="9:9" x14ac:dyDescent="0.3">
      <c r="I24859" s="101"/>
    </row>
    <row r="24860" spans="9:9" x14ac:dyDescent="0.3">
      <c r="I24860" s="101"/>
    </row>
    <row r="24861" spans="9:9" x14ac:dyDescent="0.3">
      <c r="I24861" s="101"/>
    </row>
    <row r="24862" spans="9:9" x14ac:dyDescent="0.3">
      <c r="I24862" s="101"/>
    </row>
    <row r="24863" spans="9:9" x14ac:dyDescent="0.3">
      <c r="I24863" s="101"/>
    </row>
    <row r="24864" spans="9:9" x14ac:dyDescent="0.3">
      <c r="I24864" s="101"/>
    </row>
    <row r="24865" spans="9:9" x14ac:dyDescent="0.3">
      <c r="I24865" s="101"/>
    </row>
    <row r="24866" spans="9:9" x14ac:dyDescent="0.3">
      <c r="I24866" s="101"/>
    </row>
    <row r="24867" spans="9:9" x14ac:dyDescent="0.3">
      <c r="I24867" s="101"/>
    </row>
    <row r="24868" spans="9:9" x14ac:dyDescent="0.3">
      <c r="I24868" s="101"/>
    </row>
    <row r="24869" spans="9:9" x14ac:dyDescent="0.3">
      <c r="I24869" s="101"/>
    </row>
    <row r="24870" spans="9:9" x14ac:dyDescent="0.3">
      <c r="I24870" s="101"/>
    </row>
    <row r="24871" spans="9:9" x14ac:dyDescent="0.3">
      <c r="I24871" s="101"/>
    </row>
    <row r="24872" spans="9:9" x14ac:dyDescent="0.3">
      <c r="I24872" s="101"/>
    </row>
    <row r="24873" spans="9:9" x14ac:dyDescent="0.3">
      <c r="I24873" s="101"/>
    </row>
    <row r="24874" spans="9:9" x14ac:dyDescent="0.3">
      <c r="I24874" s="101"/>
    </row>
    <row r="24875" spans="9:9" x14ac:dyDescent="0.3">
      <c r="I24875" s="101"/>
    </row>
    <row r="24876" spans="9:9" x14ac:dyDescent="0.3">
      <c r="I24876" s="101"/>
    </row>
    <row r="24877" spans="9:9" x14ac:dyDescent="0.3">
      <c r="I24877" s="101"/>
    </row>
    <row r="24878" spans="9:9" x14ac:dyDescent="0.3">
      <c r="I24878" s="101"/>
    </row>
    <row r="24879" spans="9:9" x14ac:dyDescent="0.3">
      <c r="I24879" s="101"/>
    </row>
    <row r="24880" spans="9:9" x14ac:dyDescent="0.3">
      <c r="I24880" s="101"/>
    </row>
    <row r="24881" spans="9:9" x14ac:dyDescent="0.3">
      <c r="I24881" s="101"/>
    </row>
    <row r="24882" spans="9:9" x14ac:dyDescent="0.3">
      <c r="I24882" s="101"/>
    </row>
    <row r="24883" spans="9:9" x14ac:dyDescent="0.3">
      <c r="I24883" s="101"/>
    </row>
    <row r="24884" spans="9:9" x14ac:dyDescent="0.3">
      <c r="I24884" s="101"/>
    </row>
    <row r="24885" spans="9:9" x14ac:dyDescent="0.3">
      <c r="I24885" s="101"/>
    </row>
    <row r="24886" spans="9:9" x14ac:dyDescent="0.3">
      <c r="I24886" s="101"/>
    </row>
    <row r="24887" spans="9:9" x14ac:dyDescent="0.3">
      <c r="I24887" s="101"/>
    </row>
    <row r="24888" spans="9:9" x14ac:dyDescent="0.3">
      <c r="I24888" s="101"/>
    </row>
    <row r="24889" spans="9:9" x14ac:dyDescent="0.3">
      <c r="I24889" s="101"/>
    </row>
    <row r="24890" spans="9:9" x14ac:dyDescent="0.3">
      <c r="I24890" s="101"/>
    </row>
    <row r="24891" spans="9:9" x14ac:dyDescent="0.3">
      <c r="I24891" s="101"/>
    </row>
    <row r="24892" spans="9:9" x14ac:dyDescent="0.3">
      <c r="I24892" s="101"/>
    </row>
    <row r="24893" spans="9:9" x14ac:dyDescent="0.3">
      <c r="I24893" s="101"/>
    </row>
    <row r="24894" spans="9:9" x14ac:dyDescent="0.3">
      <c r="I24894" s="101"/>
    </row>
    <row r="24895" spans="9:9" x14ac:dyDescent="0.3">
      <c r="I24895" s="101"/>
    </row>
    <row r="24896" spans="9:9" x14ac:dyDescent="0.3">
      <c r="I24896" s="101"/>
    </row>
    <row r="24897" spans="9:9" x14ac:dyDescent="0.3">
      <c r="I24897" s="101"/>
    </row>
    <row r="24898" spans="9:9" x14ac:dyDescent="0.3">
      <c r="I24898" s="101"/>
    </row>
    <row r="24899" spans="9:9" x14ac:dyDescent="0.3">
      <c r="I24899" s="101"/>
    </row>
    <row r="24900" spans="9:9" x14ac:dyDescent="0.3">
      <c r="I24900" s="101"/>
    </row>
    <row r="24901" spans="9:9" x14ac:dyDescent="0.3">
      <c r="I24901" s="101"/>
    </row>
    <row r="24902" spans="9:9" x14ac:dyDescent="0.3">
      <c r="I24902" s="101"/>
    </row>
    <row r="24903" spans="9:9" x14ac:dyDescent="0.3">
      <c r="I24903" s="101"/>
    </row>
    <row r="24904" spans="9:9" x14ac:dyDescent="0.3">
      <c r="I24904" s="101"/>
    </row>
    <row r="24905" spans="9:9" x14ac:dyDescent="0.3">
      <c r="I24905" s="101"/>
    </row>
    <row r="24906" spans="9:9" x14ac:dyDescent="0.3">
      <c r="I24906" s="101"/>
    </row>
    <row r="24907" spans="9:9" x14ac:dyDescent="0.3">
      <c r="I24907" s="101"/>
    </row>
    <row r="24908" spans="9:9" x14ac:dyDescent="0.3">
      <c r="I24908" s="101"/>
    </row>
    <row r="24909" spans="9:9" x14ac:dyDescent="0.3">
      <c r="I24909" s="101"/>
    </row>
    <row r="24910" spans="9:9" x14ac:dyDescent="0.3">
      <c r="I24910" s="101"/>
    </row>
    <row r="24911" spans="9:9" x14ac:dyDescent="0.3">
      <c r="I24911" s="101"/>
    </row>
    <row r="24912" spans="9:9" x14ac:dyDescent="0.3">
      <c r="I24912" s="101"/>
    </row>
    <row r="24913" spans="9:9" x14ac:dyDescent="0.3">
      <c r="I24913" s="101"/>
    </row>
    <row r="24914" spans="9:9" x14ac:dyDescent="0.3">
      <c r="I24914" s="101"/>
    </row>
    <row r="24915" spans="9:9" x14ac:dyDescent="0.3">
      <c r="I24915" s="101"/>
    </row>
    <row r="24916" spans="9:9" x14ac:dyDescent="0.3">
      <c r="I24916" s="101"/>
    </row>
    <row r="24917" spans="9:9" x14ac:dyDescent="0.3">
      <c r="I24917" s="101"/>
    </row>
    <row r="24918" spans="9:9" x14ac:dyDescent="0.3">
      <c r="I24918" s="101"/>
    </row>
    <row r="24919" spans="9:9" x14ac:dyDescent="0.3">
      <c r="I24919" s="101"/>
    </row>
    <row r="24920" spans="9:9" x14ac:dyDescent="0.3">
      <c r="I24920" s="101"/>
    </row>
    <row r="24921" spans="9:9" x14ac:dyDescent="0.3">
      <c r="I24921" s="101"/>
    </row>
    <row r="24922" spans="9:9" x14ac:dyDescent="0.3">
      <c r="I24922" s="101"/>
    </row>
    <row r="24923" spans="9:9" x14ac:dyDescent="0.3">
      <c r="I24923" s="101"/>
    </row>
    <row r="24924" spans="9:9" x14ac:dyDescent="0.3">
      <c r="I24924" s="101"/>
    </row>
    <row r="24925" spans="9:9" x14ac:dyDescent="0.3">
      <c r="I24925" s="101"/>
    </row>
    <row r="24926" spans="9:9" x14ac:dyDescent="0.3">
      <c r="I24926" s="101"/>
    </row>
    <row r="24927" spans="9:9" x14ac:dyDescent="0.3">
      <c r="I24927" s="101"/>
    </row>
    <row r="24928" spans="9:9" x14ac:dyDescent="0.3">
      <c r="I24928" s="101"/>
    </row>
    <row r="24929" spans="9:9" x14ac:dyDescent="0.3">
      <c r="I24929" s="101"/>
    </row>
    <row r="24930" spans="9:9" x14ac:dyDescent="0.3">
      <c r="I24930" s="101"/>
    </row>
    <row r="24931" spans="9:9" x14ac:dyDescent="0.3">
      <c r="I24931" s="101"/>
    </row>
    <row r="24932" spans="9:9" x14ac:dyDescent="0.3">
      <c r="I24932" s="101"/>
    </row>
    <row r="24933" spans="9:9" x14ac:dyDescent="0.3">
      <c r="I24933" s="101"/>
    </row>
    <row r="24934" spans="9:9" x14ac:dyDescent="0.3">
      <c r="I24934" s="101"/>
    </row>
    <row r="24935" spans="9:9" x14ac:dyDescent="0.3">
      <c r="I24935" s="101"/>
    </row>
    <row r="24936" spans="9:9" x14ac:dyDescent="0.3">
      <c r="I24936" s="101"/>
    </row>
    <row r="24937" spans="9:9" x14ac:dyDescent="0.3">
      <c r="I24937" s="101"/>
    </row>
    <row r="24938" spans="9:9" x14ac:dyDescent="0.3">
      <c r="I24938" s="101"/>
    </row>
    <row r="24939" spans="9:9" x14ac:dyDescent="0.3">
      <c r="I24939" s="101"/>
    </row>
    <row r="24940" spans="9:9" x14ac:dyDescent="0.3">
      <c r="I24940" s="101"/>
    </row>
    <row r="24941" spans="9:9" x14ac:dyDescent="0.3">
      <c r="I24941" s="101"/>
    </row>
    <row r="24942" spans="9:9" x14ac:dyDescent="0.3">
      <c r="I24942" s="101"/>
    </row>
    <row r="24943" spans="9:9" x14ac:dyDescent="0.3">
      <c r="I24943" s="101"/>
    </row>
    <row r="24944" spans="9:9" x14ac:dyDescent="0.3">
      <c r="I24944" s="101"/>
    </row>
    <row r="24945" spans="9:9" x14ac:dyDescent="0.3">
      <c r="I24945" s="101"/>
    </row>
    <row r="24946" spans="9:9" x14ac:dyDescent="0.3">
      <c r="I24946" s="101"/>
    </row>
    <row r="24947" spans="9:9" x14ac:dyDescent="0.3">
      <c r="I24947" s="101"/>
    </row>
    <row r="24948" spans="9:9" x14ac:dyDescent="0.3">
      <c r="I24948" s="101"/>
    </row>
    <row r="24949" spans="9:9" x14ac:dyDescent="0.3">
      <c r="I24949" s="101"/>
    </row>
    <row r="24950" spans="9:9" x14ac:dyDescent="0.3">
      <c r="I24950" s="101"/>
    </row>
    <row r="24951" spans="9:9" x14ac:dyDescent="0.3">
      <c r="I24951" s="101"/>
    </row>
    <row r="24952" spans="9:9" x14ac:dyDescent="0.3">
      <c r="I24952" s="101"/>
    </row>
    <row r="24953" spans="9:9" x14ac:dyDescent="0.3">
      <c r="I24953" s="101"/>
    </row>
    <row r="24954" spans="9:9" x14ac:dyDescent="0.3">
      <c r="I24954" s="101"/>
    </row>
    <row r="24955" spans="9:9" x14ac:dyDescent="0.3">
      <c r="I24955" s="101"/>
    </row>
    <row r="24956" spans="9:9" x14ac:dyDescent="0.3">
      <c r="I24956" s="101"/>
    </row>
    <row r="24957" spans="9:9" x14ac:dyDescent="0.3">
      <c r="I24957" s="101"/>
    </row>
    <row r="24958" spans="9:9" x14ac:dyDescent="0.3">
      <c r="I24958" s="101"/>
    </row>
    <row r="24959" spans="9:9" x14ac:dyDescent="0.3">
      <c r="I24959" s="101"/>
    </row>
    <row r="24960" spans="9:9" x14ac:dyDescent="0.3">
      <c r="I24960" s="101"/>
    </row>
    <row r="24961" spans="9:9" x14ac:dyDescent="0.3">
      <c r="I24961" s="101"/>
    </row>
    <row r="24962" spans="9:9" x14ac:dyDescent="0.3">
      <c r="I24962" s="101"/>
    </row>
    <row r="24963" spans="9:9" x14ac:dyDescent="0.3">
      <c r="I24963" s="101"/>
    </row>
    <row r="24964" spans="9:9" x14ac:dyDescent="0.3">
      <c r="I24964" s="101"/>
    </row>
    <row r="24965" spans="9:9" x14ac:dyDescent="0.3">
      <c r="I24965" s="101"/>
    </row>
    <row r="24966" spans="9:9" x14ac:dyDescent="0.3">
      <c r="I24966" s="101"/>
    </row>
    <row r="24967" spans="9:9" x14ac:dyDescent="0.3">
      <c r="I24967" s="101"/>
    </row>
    <row r="24968" spans="9:9" x14ac:dyDescent="0.3">
      <c r="I24968" s="101"/>
    </row>
    <row r="24969" spans="9:9" x14ac:dyDescent="0.3">
      <c r="I24969" s="101"/>
    </row>
    <row r="24970" spans="9:9" x14ac:dyDescent="0.3">
      <c r="I24970" s="101"/>
    </row>
    <row r="24971" spans="9:9" x14ac:dyDescent="0.3">
      <c r="I24971" s="101"/>
    </row>
    <row r="24972" spans="9:9" x14ac:dyDescent="0.3">
      <c r="I24972" s="101"/>
    </row>
    <row r="24973" spans="9:9" x14ac:dyDescent="0.3">
      <c r="I24973" s="101"/>
    </row>
    <row r="24974" spans="9:9" x14ac:dyDescent="0.3">
      <c r="I24974" s="101"/>
    </row>
    <row r="24975" spans="9:9" x14ac:dyDescent="0.3">
      <c r="I24975" s="101"/>
    </row>
    <row r="24976" spans="9:9" x14ac:dyDescent="0.3">
      <c r="I24976" s="101"/>
    </row>
    <row r="24977" spans="9:9" x14ac:dyDescent="0.3">
      <c r="I24977" s="101"/>
    </row>
    <row r="24978" spans="9:9" x14ac:dyDescent="0.3">
      <c r="I24978" s="101"/>
    </row>
    <row r="24979" spans="9:9" x14ac:dyDescent="0.3">
      <c r="I24979" s="101"/>
    </row>
    <row r="24980" spans="9:9" x14ac:dyDescent="0.3">
      <c r="I24980" s="101"/>
    </row>
    <row r="24981" spans="9:9" x14ac:dyDescent="0.3">
      <c r="I24981" s="101"/>
    </row>
    <row r="24982" spans="9:9" x14ac:dyDescent="0.3">
      <c r="I24982" s="101"/>
    </row>
    <row r="24983" spans="9:9" x14ac:dyDescent="0.3">
      <c r="I24983" s="101"/>
    </row>
    <row r="24984" spans="9:9" x14ac:dyDescent="0.3">
      <c r="I24984" s="101"/>
    </row>
    <row r="24985" spans="9:9" x14ac:dyDescent="0.3">
      <c r="I24985" s="101"/>
    </row>
    <row r="24986" spans="9:9" x14ac:dyDescent="0.3">
      <c r="I24986" s="101"/>
    </row>
    <row r="24987" spans="9:9" x14ac:dyDescent="0.3">
      <c r="I24987" s="101"/>
    </row>
    <row r="24988" spans="9:9" x14ac:dyDescent="0.3">
      <c r="I24988" s="101"/>
    </row>
    <row r="24989" spans="9:9" x14ac:dyDescent="0.3">
      <c r="I24989" s="101"/>
    </row>
    <row r="24990" spans="9:9" x14ac:dyDescent="0.3">
      <c r="I24990" s="101"/>
    </row>
    <row r="24991" spans="9:9" x14ac:dyDescent="0.3">
      <c r="I24991" s="101"/>
    </row>
    <row r="24992" spans="9:9" x14ac:dyDescent="0.3">
      <c r="I24992" s="101"/>
    </row>
    <row r="24993" spans="9:9" x14ac:dyDescent="0.3">
      <c r="I24993" s="101"/>
    </row>
    <row r="24994" spans="9:9" x14ac:dyDescent="0.3">
      <c r="I24994" s="101"/>
    </row>
    <row r="24995" spans="9:9" x14ac:dyDescent="0.3">
      <c r="I24995" s="101"/>
    </row>
    <row r="24996" spans="9:9" x14ac:dyDescent="0.3">
      <c r="I24996" s="101"/>
    </row>
    <row r="24997" spans="9:9" x14ac:dyDescent="0.3">
      <c r="I24997" s="101"/>
    </row>
    <row r="24998" spans="9:9" x14ac:dyDescent="0.3">
      <c r="I24998" s="101"/>
    </row>
    <row r="24999" spans="9:9" x14ac:dyDescent="0.3">
      <c r="I24999" s="101"/>
    </row>
    <row r="25000" spans="9:9" x14ac:dyDescent="0.3">
      <c r="I25000" s="101"/>
    </row>
    <row r="25001" spans="9:9" x14ac:dyDescent="0.3">
      <c r="I25001" s="101"/>
    </row>
    <row r="25002" spans="9:9" x14ac:dyDescent="0.3">
      <c r="I25002" s="101"/>
    </row>
    <row r="25003" spans="9:9" x14ac:dyDescent="0.3">
      <c r="I25003" s="101"/>
    </row>
    <row r="25004" spans="9:9" x14ac:dyDescent="0.3">
      <c r="I25004" s="101"/>
    </row>
    <row r="25005" spans="9:9" x14ac:dyDescent="0.3">
      <c r="I25005" s="101"/>
    </row>
    <row r="25006" spans="9:9" x14ac:dyDescent="0.3">
      <c r="I25006" s="101"/>
    </row>
    <row r="25007" spans="9:9" x14ac:dyDescent="0.3">
      <c r="I25007" s="101"/>
    </row>
    <row r="25008" spans="9:9" x14ac:dyDescent="0.3">
      <c r="I25008" s="101"/>
    </row>
    <row r="25009" spans="9:9" x14ac:dyDescent="0.3">
      <c r="I25009" s="101"/>
    </row>
    <row r="25010" spans="9:9" x14ac:dyDescent="0.3">
      <c r="I25010" s="101"/>
    </row>
    <row r="25011" spans="9:9" x14ac:dyDescent="0.3">
      <c r="I25011" s="101"/>
    </row>
    <row r="25012" spans="9:9" x14ac:dyDescent="0.3">
      <c r="I25012" s="101"/>
    </row>
    <row r="25013" spans="9:9" x14ac:dyDescent="0.3">
      <c r="I25013" s="101"/>
    </row>
    <row r="25014" spans="9:9" x14ac:dyDescent="0.3">
      <c r="I25014" s="101"/>
    </row>
    <row r="25015" spans="9:9" x14ac:dyDescent="0.3">
      <c r="I25015" s="101"/>
    </row>
    <row r="25016" spans="9:9" x14ac:dyDescent="0.3">
      <c r="I25016" s="101"/>
    </row>
    <row r="25017" spans="9:9" x14ac:dyDescent="0.3">
      <c r="I25017" s="101"/>
    </row>
    <row r="25018" spans="9:9" x14ac:dyDescent="0.3">
      <c r="I25018" s="101"/>
    </row>
    <row r="25019" spans="9:9" x14ac:dyDescent="0.3">
      <c r="I25019" s="101"/>
    </row>
    <row r="25020" spans="9:9" x14ac:dyDescent="0.3">
      <c r="I25020" s="101"/>
    </row>
    <row r="25021" spans="9:9" x14ac:dyDescent="0.3">
      <c r="I25021" s="101"/>
    </row>
    <row r="25022" spans="9:9" x14ac:dyDescent="0.3">
      <c r="I25022" s="101"/>
    </row>
    <row r="25023" spans="9:9" x14ac:dyDescent="0.3">
      <c r="I25023" s="101"/>
    </row>
    <row r="25024" spans="9:9" x14ac:dyDescent="0.3">
      <c r="I25024" s="101"/>
    </row>
    <row r="25025" spans="9:9" x14ac:dyDescent="0.3">
      <c r="I25025" s="101"/>
    </row>
    <row r="25026" spans="9:9" x14ac:dyDescent="0.3">
      <c r="I25026" s="101"/>
    </row>
    <row r="25027" spans="9:9" x14ac:dyDescent="0.3">
      <c r="I25027" s="101"/>
    </row>
    <row r="25028" spans="9:9" x14ac:dyDescent="0.3">
      <c r="I25028" s="101"/>
    </row>
    <row r="25029" spans="9:9" x14ac:dyDescent="0.3">
      <c r="I25029" s="101"/>
    </row>
    <row r="25030" spans="9:9" x14ac:dyDescent="0.3">
      <c r="I25030" s="101"/>
    </row>
    <row r="25031" spans="9:9" x14ac:dyDescent="0.3">
      <c r="I25031" s="101"/>
    </row>
    <row r="25032" spans="9:9" x14ac:dyDescent="0.3">
      <c r="I25032" s="101"/>
    </row>
    <row r="25033" spans="9:9" x14ac:dyDescent="0.3">
      <c r="I25033" s="101"/>
    </row>
    <row r="25034" spans="9:9" x14ac:dyDescent="0.3">
      <c r="I25034" s="101"/>
    </row>
    <row r="25035" spans="9:9" x14ac:dyDescent="0.3">
      <c r="I25035" s="101"/>
    </row>
    <row r="25036" spans="9:9" x14ac:dyDescent="0.3">
      <c r="I25036" s="101"/>
    </row>
    <row r="25037" spans="9:9" x14ac:dyDescent="0.3">
      <c r="I25037" s="101"/>
    </row>
    <row r="25038" spans="9:9" x14ac:dyDescent="0.3">
      <c r="I25038" s="101"/>
    </row>
    <row r="25039" spans="9:9" x14ac:dyDescent="0.3">
      <c r="I25039" s="101"/>
    </row>
    <row r="25040" spans="9:9" x14ac:dyDescent="0.3">
      <c r="I25040" s="101"/>
    </row>
    <row r="25041" spans="9:9" x14ac:dyDescent="0.3">
      <c r="I25041" s="101"/>
    </row>
    <row r="25042" spans="9:9" x14ac:dyDescent="0.3">
      <c r="I25042" s="101"/>
    </row>
    <row r="25043" spans="9:9" x14ac:dyDescent="0.3">
      <c r="I25043" s="101"/>
    </row>
    <row r="25044" spans="9:9" x14ac:dyDescent="0.3">
      <c r="I25044" s="101"/>
    </row>
    <row r="25045" spans="9:9" x14ac:dyDescent="0.3">
      <c r="I25045" s="101"/>
    </row>
    <row r="25046" spans="9:9" x14ac:dyDescent="0.3">
      <c r="I25046" s="101"/>
    </row>
    <row r="25047" spans="9:9" x14ac:dyDescent="0.3">
      <c r="I25047" s="101"/>
    </row>
    <row r="25048" spans="9:9" x14ac:dyDescent="0.3">
      <c r="I25048" s="101"/>
    </row>
    <row r="25049" spans="9:9" x14ac:dyDescent="0.3">
      <c r="I25049" s="101"/>
    </row>
    <row r="25050" spans="9:9" x14ac:dyDescent="0.3">
      <c r="I25050" s="101"/>
    </row>
    <row r="25051" spans="9:9" x14ac:dyDescent="0.3">
      <c r="I25051" s="101"/>
    </row>
    <row r="25052" spans="9:9" x14ac:dyDescent="0.3">
      <c r="I25052" s="101"/>
    </row>
    <row r="25053" spans="9:9" x14ac:dyDescent="0.3">
      <c r="I25053" s="101"/>
    </row>
    <row r="25054" spans="9:9" x14ac:dyDescent="0.3">
      <c r="I25054" s="101"/>
    </row>
    <row r="25055" spans="9:9" x14ac:dyDescent="0.3">
      <c r="I25055" s="101"/>
    </row>
    <row r="25056" spans="9:9" x14ac:dyDescent="0.3">
      <c r="I25056" s="101"/>
    </row>
    <row r="25057" spans="9:9" x14ac:dyDescent="0.3">
      <c r="I25057" s="101"/>
    </row>
    <row r="25058" spans="9:9" x14ac:dyDescent="0.3">
      <c r="I25058" s="101"/>
    </row>
    <row r="25059" spans="9:9" x14ac:dyDescent="0.3">
      <c r="I25059" s="101"/>
    </row>
    <row r="25060" spans="9:9" x14ac:dyDescent="0.3">
      <c r="I25060" s="101"/>
    </row>
    <row r="25061" spans="9:9" x14ac:dyDescent="0.3">
      <c r="I25061" s="101"/>
    </row>
    <row r="25062" spans="9:9" x14ac:dyDescent="0.3">
      <c r="I25062" s="101"/>
    </row>
    <row r="25063" spans="9:9" x14ac:dyDescent="0.3">
      <c r="I25063" s="101"/>
    </row>
    <row r="25064" spans="9:9" x14ac:dyDescent="0.3">
      <c r="I25064" s="101"/>
    </row>
    <row r="25065" spans="9:9" x14ac:dyDescent="0.3">
      <c r="I25065" s="101"/>
    </row>
    <row r="25066" spans="9:9" x14ac:dyDescent="0.3">
      <c r="I25066" s="101"/>
    </row>
    <row r="25067" spans="9:9" x14ac:dyDescent="0.3">
      <c r="I25067" s="101"/>
    </row>
    <row r="25068" spans="9:9" x14ac:dyDescent="0.3">
      <c r="I25068" s="101"/>
    </row>
    <row r="25069" spans="9:9" x14ac:dyDescent="0.3">
      <c r="I25069" s="101"/>
    </row>
    <row r="25070" spans="9:9" x14ac:dyDescent="0.3">
      <c r="I25070" s="101"/>
    </row>
    <row r="25071" spans="9:9" x14ac:dyDescent="0.3">
      <c r="I25071" s="101"/>
    </row>
    <row r="25072" spans="9:9" x14ac:dyDescent="0.3">
      <c r="I25072" s="101"/>
    </row>
    <row r="25073" spans="9:9" x14ac:dyDescent="0.3">
      <c r="I25073" s="101"/>
    </row>
    <row r="25074" spans="9:9" x14ac:dyDescent="0.3">
      <c r="I25074" s="101"/>
    </row>
    <row r="25075" spans="9:9" x14ac:dyDescent="0.3">
      <c r="I25075" s="101"/>
    </row>
    <row r="25076" spans="9:9" x14ac:dyDescent="0.3">
      <c r="I25076" s="101"/>
    </row>
    <row r="25077" spans="9:9" x14ac:dyDescent="0.3">
      <c r="I25077" s="101"/>
    </row>
    <row r="25078" spans="9:9" x14ac:dyDescent="0.3">
      <c r="I25078" s="101"/>
    </row>
    <row r="25079" spans="9:9" x14ac:dyDescent="0.3">
      <c r="I25079" s="101"/>
    </row>
    <row r="25080" spans="9:9" x14ac:dyDescent="0.3">
      <c r="I25080" s="101"/>
    </row>
    <row r="25081" spans="9:9" x14ac:dyDescent="0.3">
      <c r="I25081" s="101"/>
    </row>
    <row r="25082" spans="9:9" x14ac:dyDescent="0.3">
      <c r="I25082" s="101"/>
    </row>
    <row r="25083" spans="9:9" x14ac:dyDescent="0.3">
      <c r="I25083" s="101"/>
    </row>
    <row r="25084" spans="9:9" x14ac:dyDescent="0.3">
      <c r="I25084" s="101"/>
    </row>
    <row r="25085" spans="9:9" x14ac:dyDescent="0.3">
      <c r="I25085" s="101"/>
    </row>
    <row r="25086" spans="9:9" x14ac:dyDescent="0.3">
      <c r="I25086" s="101"/>
    </row>
    <row r="25087" spans="9:9" x14ac:dyDescent="0.3">
      <c r="I25087" s="101"/>
    </row>
    <row r="25088" spans="9:9" x14ac:dyDescent="0.3">
      <c r="I25088" s="101"/>
    </row>
    <row r="25089" spans="9:9" x14ac:dyDescent="0.3">
      <c r="I25089" s="101"/>
    </row>
    <row r="25090" spans="9:9" x14ac:dyDescent="0.3">
      <c r="I25090" s="101"/>
    </row>
    <row r="25091" spans="9:9" x14ac:dyDescent="0.3">
      <c r="I25091" s="101"/>
    </row>
    <row r="25092" spans="9:9" x14ac:dyDescent="0.3">
      <c r="I25092" s="101"/>
    </row>
    <row r="25093" spans="9:9" x14ac:dyDescent="0.3">
      <c r="I25093" s="101"/>
    </row>
    <row r="25094" spans="9:9" x14ac:dyDescent="0.3">
      <c r="I25094" s="101"/>
    </row>
    <row r="25095" spans="9:9" x14ac:dyDescent="0.3">
      <c r="I25095" s="101"/>
    </row>
    <row r="25096" spans="9:9" x14ac:dyDescent="0.3">
      <c r="I25096" s="101"/>
    </row>
    <row r="25097" spans="9:9" x14ac:dyDescent="0.3">
      <c r="I25097" s="101"/>
    </row>
    <row r="25098" spans="9:9" x14ac:dyDescent="0.3">
      <c r="I25098" s="101"/>
    </row>
    <row r="25099" spans="9:9" x14ac:dyDescent="0.3">
      <c r="I25099" s="101"/>
    </row>
    <row r="25100" spans="9:9" x14ac:dyDescent="0.3">
      <c r="I25100" s="101"/>
    </row>
    <row r="25101" spans="9:9" x14ac:dyDescent="0.3">
      <c r="I25101" s="101"/>
    </row>
    <row r="25102" spans="9:9" x14ac:dyDescent="0.3">
      <c r="I25102" s="101"/>
    </row>
    <row r="25103" spans="9:9" x14ac:dyDescent="0.3">
      <c r="I25103" s="101"/>
    </row>
    <row r="25104" spans="9:9" x14ac:dyDescent="0.3">
      <c r="I25104" s="101"/>
    </row>
    <row r="25105" spans="9:9" x14ac:dyDescent="0.3">
      <c r="I25105" s="101"/>
    </row>
    <row r="25106" spans="9:9" x14ac:dyDescent="0.3">
      <c r="I25106" s="101"/>
    </row>
    <row r="25107" spans="9:9" x14ac:dyDescent="0.3">
      <c r="I25107" s="101"/>
    </row>
    <row r="25108" spans="9:9" x14ac:dyDescent="0.3">
      <c r="I25108" s="101"/>
    </row>
    <row r="25109" spans="9:9" x14ac:dyDescent="0.3">
      <c r="I25109" s="101"/>
    </row>
    <row r="25110" spans="9:9" x14ac:dyDescent="0.3">
      <c r="I25110" s="101"/>
    </row>
    <row r="25111" spans="9:9" x14ac:dyDescent="0.3">
      <c r="I25111" s="101"/>
    </row>
    <row r="25112" spans="9:9" x14ac:dyDescent="0.3">
      <c r="I25112" s="101"/>
    </row>
    <row r="25113" spans="9:9" x14ac:dyDescent="0.3">
      <c r="I25113" s="101"/>
    </row>
    <row r="25114" spans="9:9" x14ac:dyDescent="0.3">
      <c r="I25114" s="101"/>
    </row>
    <row r="25115" spans="9:9" x14ac:dyDescent="0.3">
      <c r="I25115" s="101"/>
    </row>
    <row r="25116" spans="9:9" x14ac:dyDescent="0.3">
      <c r="I25116" s="101"/>
    </row>
    <row r="25117" spans="9:9" x14ac:dyDescent="0.3">
      <c r="I25117" s="101"/>
    </row>
    <row r="25118" spans="9:9" x14ac:dyDescent="0.3">
      <c r="I25118" s="101"/>
    </row>
    <row r="25119" spans="9:9" x14ac:dyDescent="0.3">
      <c r="I25119" s="101"/>
    </row>
    <row r="25120" spans="9:9" x14ac:dyDescent="0.3">
      <c r="I25120" s="101"/>
    </row>
    <row r="25121" spans="9:9" x14ac:dyDescent="0.3">
      <c r="I25121" s="101"/>
    </row>
    <row r="25122" spans="9:9" x14ac:dyDescent="0.3">
      <c r="I25122" s="101"/>
    </row>
    <row r="25123" spans="9:9" x14ac:dyDescent="0.3">
      <c r="I25123" s="101"/>
    </row>
    <row r="25124" spans="9:9" x14ac:dyDescent="0.3">
      <c r="I25124" s="101"/>
    </row>
    <row r="25125" spans="9:9" x14ac:dyDescent="0.3">
      <c r="I25125" s="101"/>
    </row>
    <row r="25126" spans="9:9" x14ac:dyDescent="0.3">
      <c r="I25126" s="101"/>
    </row>
    <row r="25127" spans="9:9" x14ac:dyDescent="0.3">
      <c r="I25127" s="101"/>
    </row>
    <row r="25128" spans="9:9" x14ac:dyDescent="0.3">
      <c r="I25128" s="101"/>
    </row>
    <row r="25129" spans="9:9" x14ac:dyDescent="0.3">
      <c r="I25129" s="101"/>
    </row>
    <row r="25130" spans="9:9" x14ac:dyDescent="0.3">
      <c r="I25130" s="101"/>
    </row>
    <row r="25131" spans="9:9" x14ac:dyDescent="0.3">
      <c r="I25131" s="101"/>
    </row>
    <row r="25132" spans="9:9" x14ac:dyDescent="0.3">
      <c r="I25132" s="101"/>
    </row>
    <row r="25133" spans="9:9" x14ac:dyDescent="0.3">
      <c r="I25133" s="101"/>
    </row>
    <row r="25134" spans="9:9" x14ac:dyDescent="0.3">
      <c r="I25134" s="101"/>
    </row>
    <row r="25135" spans="9:9" x14ac:dyDescent="0.3">
      <c r="I25135" s="101"/>
    </row>
    <row r="25136" spans="9:9" x14ac:dyDescent="0.3">
      <c r="I25136" s="101"/>
    </row>
    <row r="25137" spans="9:9" x14ac:dyDescent="0.3">
      <c r="I25137" s="101"/>
    </row>
    <row r="25138" spans="9:9" x14ac:dyDescent="0.3">
      <c r="I25138" s="101"/>
    </row>
    <row r="25139" spans="9:9" x14ac:dyDescent="0.3">
      <c r="I25139" s="101"/>
    </row>
    <row r="25140" spans="9:9" x14ac:dyDescent="0.3">
      <c r="I25140" s="101"/>
    </row>
    <row r="25141" spans="9:9" x14ac:dyDescent="0.3">
      <c r="I25141" s="101"/>
    </row>
    <row r="25142" spans="9:9" x14ac:dyDescent="0.3">
      <c r="I25142" s="101"/>
    </row>
    <row r="25143" spans="9:9" x14ac:dyDescent="0.3">
      <c r="I25143" s="101"/>
    </row>
    <row r="25144" spans="9:9" x14ac:dyDescent="0.3">
      <c r="I25144" s="101"/>
    </row>
    <row r="25145" spans="9:9" x14ac:dyDescent="0.3">
      <c r="I25145" s="101"/>
    </row>
    <row r="25146" spans="9:9" x14ac:dyDescent="0.3">
      <c r="I25146" s="101"/>
    </row>
    <row r="25147" spans="9:9" x14ac:dyDescent="0.3">
      <c r="I25147" s="101"/>
    </row>
    <row r="25148" spans="9:9" x14ac:dyDescent="0.3">
      <c r="I25148" s="101"/>
    </row>
    <row r="25149" spans="9:9" x14ac:dyDescent="0.3">
      <c r="I25149" s="101"/>
    </row>
    <row r="25150" spans="9:9" x14ac:dyDescent="0.3">
      <c r="I25150" s="101"/>
    </row>
    <row r="25151" spans="9:9" x14ac:dyDescent="0.3">
      <c r="I25151" s="101"/>
    </row>
    <row r="25152" spans="9:9" x14ac:dyDescent="0.3">
      <c r="I25152" s="101"/>
    </row>
    <row r="25153" spans="9:9" x14ac:dyDescent="0.3">
      <c r="I25153" s="101"/>
    </row>
    <row r="25154" spans="9:9" x14ac:dyDescent="0.3">
      <c r="I25154" s="101"/>
    </row>
    <row r="25155" spans="9:9" x14ac:dyDescent="0.3">
      <c r="I25155" s="101"/>
    </row>
    <row r="25156" spans="9:9" x14ac:dyDescent="0.3">
      <c r="I25156" s="101"/>
    </row>
    <row r="25157" spans="9:9" x14ac:dyDescent="0.3">
      <c r="I25157" s="101"/>
    </row>
    <row r="25158" spans="9:9" x14ac:dyDescent="0.3">
      <c r="I25158" s="101"/>
    </row>
    <row r="25159" spans="9:9" x14ac:dyDescent="0.3">
      <c r="I25159" s="101"/>
    </row>
    <row r="25160" spans="9:9" x14ac:dyDescent="0.3">
      <c r="I25160" s="101"/>
    </row>
    <row r="25161" spans="9:9" x14ac:dyDescent="0.3">
      <c r="I25161" s="101"/>
    </row>
    <row r="25162" spans="9:9" x14ac:dyDescent="0.3">
      <c r="I25162" s="101"/>
    </row>
    <row r="25163" spans="9:9" x14ac:dyDescent="0.3">
      <c r="I25163" s="101"/>
    </row>
    <row r="25164" spans="9:9" x14ac:dyDescent="0.3">
      <c r="I25164" s="101"/>
    </row>
    <row r="25165" spans="9:9" x14ac:dyDescent="0.3">
      <c r="I25165" s="101"/>
    </row>
    <row r="25166" spans="9:9" x14ac:dyDescent="0.3">
      <c r="I25166" s="101"/>
    </row>
    <row r="25167" spans="9:9" x14ac:dyDescent="0.3">
      <c r="I25167" s="101"/>
    </row>
    <row r="25168" spans="9:9" x14ac:dyDescent="0.3">
      <c r="I25168" s="101"/>
    </row>
    <row r="25169" spans="9:9" x14ac:dyDescent="0.3">
      <c r="I25169" s="101"/>
    </row>
    <row r="25170" spans="9:9" x14ac:dyDescent="0.3">
      <c r="I25170" s="101"/>
    </row>
    <row r="25171" spans="9:9" x14ac:dyDescent="0.3">
      <c r="I25171" s="101"/>
    </row>
    <row r="25172" spans="9:9" x14ac:dyDescent="0.3">
      <c r="I25172" s="101"/>
    </row>
    <row r="25173" spans="9:9" x14ac:dyDescent="0.3">
      <c r="I25173" s="101"/>
    </row>
    <row r="25174" spans="9:9" x14ac:dyDescent="0.3">
      <c r="I25174" s="101"/>
    </row>
    <row r="25175" spans="9:9" x14ac:dyDescent="0.3">
      <c r="I25175" s="101"/>
    </row>
    <row r="25176" spans="9:9" x14ac:dyDescent="0.3">
      <c r="I25176" s="101"/>
    </row>
    <row r="25177" spans="9:9" x14ac:dyDescent="0.3">
      <c r="I25177" s="101"/>
    </row>
    <row r="25178" spans="9:9" x14ac:dyDescent="0.3">
      <c r="I25178" s="101"/>
    </row>
    <row r="25179" spans="9:9" x14ac:dyDescent="0.3">
      <c r="I25179" s="101"/>
    </row>
    <row r="25180" spans="9:9" x14ac:dyDescent="0.3">
      <c r="I25180" s="101"/>
    </row>
    <row r="25181" spans="9:9" x14ac:dyDescent="0.3">
      <c r="I25181" s="101"/>
    </row>
    <row r="25182" spans="9:9" x14ac:dyDescent="0.3">
      <c r="I25182" s="101"/>
    </row>
    <row r="25183" spans="9:9" x14ac:dyDescent="0.3">
      <c r="I25183" s="101"/>
    </row>
    <row r="25184" spans="9:9" x14ac:dyDescent="0.3">
      <c r="I25184" s="101"/>
    </row>
    <row r="25185" spans="9:9" x14ac:dyDescent="0.3">
      <c r="I25185" s="101"/>
    </row>
    <row r="25186" spans="9:9" x14ac:dyDescent="0.3">
      <c r="I25186" s="101"/>
    </row>
    <row r="25187" spans="9:9" x14ac:dyDescent="0.3">
      <c r="I25187" s="101"/>
    </row>
    <row r="25188" spans="9:9" x14ac:dyDescent="0.3">
      <c r="I25188" s="101"/>
    </row>
    <row r="25189" spans="9:9" x14ac:dyDescent="0.3">
      <c r="I25189" s="101"/>
    </row>
    <row r="25190" spans="9:9" x14ac:dyDescent="0.3">
      <c r="I25190" s="101"/>
    </row>
    <row r="25191" spans="9:9" x14ac:dyDescent="0.3">
      <c r="I25191" s="101"/>
    </row>
    <row r="25192" spans="9:9" x14ac:dyDescent="0.3">
      <c r="I25192" s="101"/>
    </row>
    <row r="25193" spans="9:9" x14ac:dyDescent="0.3">
      <c r="I25193" s="101"/>
    </row>
    <row r="25194" spans="9:9" x14ac:dyDescent="0.3">
      <c r="I25194" s="101"/>
    </row>
    <row r="25195" spans="9:9" x14ac:dyDescent="0.3">
      <c r="I25195" s="101"/>
    </row>
    <row r="25196" spans="9:9" x14ac:dyDescent="0.3">
      <c r="I25196" s="101"/>
    </row>
    <row r="25197" spans="9:9" x14ac:dyDescent="0.3">
      <c r="I25197" s="101"/>
    </row>
    <row r="25198" spans="9:9" x14ac:dyDescent="0.3">
      <c r="I25198" s="101"/>
    </row>
    <row r="25199" spans="9:9" x14ac:dyDescent="0.3">
      <c r="I25199" s="101"/>
    </row>
    <row r="25200" spans="9:9" x14ac:dyDescent="0.3">
      <c r="I25200" s="101"/>
    </row>
    <row r="25201" spans="9:9" x14ac:dyDescent="0.3">
      <c r="I25201" s="101"/>
    </row>
    <row r="25202" spans="9:9" x14ac:dyDescent="0.3">
      <c r="I25202" s="101"/>
    </row>
    <row r="25203" spans="9:9" x14ac:dyDescent="0.3">
      <c r="I25203" s="101"/>
    </row>
    <row r="25204" spans="9:9" x14ac:dyDescent="0.3">
      <c r="I25204" s="101"/>
    </row>
    <row r="25205" spans="9:9" x14ac:dyDescent="0.3">
      <c r="I25205" s="101"/>
    </row>
    <row r="25206" spans="9:9" x14ac:dyDescent="0.3">
      <c r="I25206" s="101"/>
    </row>
    <row r="25207" spans="9:9" x14ac:dyDescent="0.3">
      <c r="I25207" s="101"/>
    </row>
    <row r="25208" spans="9:9" x14ac:dyDescent="0.3">
      <c r="I25208" s="101"/>
    </row>
    <row r="25209" spans="9:9" x14ac:dyDescent="0.3">
      <c r="I25209" s="101"/>
    </row>
    <row r="25210" spans="9:9" x14ac:dyDescent="0.3">
      <c r="I25210" s="101"/>
    </row>
    <row r="25211" spans="9:9" x14ac:dyDescent="0.3">
      <c r="I25211" s="101"/>
    </row>
    <row r="25212" spans="9:9" x14ac:dyDescent="0.3">
      <c r="I25212" s="101"/>
    </row>
    <row r="25213" spans="9:9" x14ac:dyDescent="0.3">
      <c r="I25213" s="101"/>
    </row>
    <row r="25214" spans="9:9" x14ac:dyDescent="0.3">
      <c r="I25214" s="101"/>
    </row>
    <row r="25215" spans="9:9" x14ac:dyDescent="0.3">
      <c r="I25215" s="101"/>
    </row>
    <row r="25216" spans="9:9" x14ac:dyDescent="0.3">
      <c r="I25216" s="101"/>
    </row>
    <row r="25217" spans="9:9" x14ac:dyDescent="0.3">
      <c r="I25217" s="101"/>
    </row>
    <row r="25218" spans="9:9" x14ac:dyDescent="0.3">
      <c r="I25218" s="101"/>
    </row>
    <row r="25219" spans="9:9" x14ac:dyDescent="0.3">
      <c r="I25219" s="101"/>
    </row>
    <row r="25220" spans="9:9" x14ac:dyDescent="0.3">
      <c r="I25220" s="101"/>
    </row>
    <row r="25221" spans="9:9" x14ac:dyDescent="0.3">
      <c r="I25221" s="101"/>
    </row>
    <row r="25222" spans="9:9" x14ac:dyDescent="0.3">
      <c r="I25222" s="101"/>
    </row>
    <row r="25223" spans="9:9" x14ac:dyDescent="0.3">
      <c r="I25223" s="101"/>
    </row>
    <row r="25224" spans="9:9" x14ac:dyDescent="0.3">
      <c r="I25224" s="101"/>
    </row>
    <row r="25225" spans="9:9" x14ac:dyDescent="0.3">
      <c r="I25225" s="101"/>
    </row>
    <row r="25226" spans="9:9" x14ac:dyDescent="0.3">
      <c r="I25226" s="101"/>
    </row>
    <row r="25227" spans="9:9" x14ac:dyDescent="0.3">
      <c r="I25227" s="101"/>
    </row>
    <row r="25228" spans="9:9" x14ac:dyDescent="0.3">
      <c r="I25228" s="101"/>
    </row>
    <row r="25229" spans="9:9" x14ac:dyDescent="0.3">
      <c r="I25229" s="101"/>
    </row>
    <row r="25230" spans="9:9" x14ac:dyDescent="0.3">
      <c r="I25230" s="101"/>
    </row>
    <row r="25231" spans="9:9" x14ac:dyDescent="0.3">
      <c r="I25231" s="101"/>
    </row>
    <row r="25232" spans="9:9" x14ac:dyDescent="0.3">
      <c r="I25232" s="101"/>
    </row>
    <row r="25233" spans="9:9" x14ac:dyDescent="0.3">
      <c r="I25233" s="101"/>
    </row>
    <row r="25234" spans="9:9" x14ac:dyDescent="0.3">
      <c r="I25234" s="101"/>
    </row>
    <row r="25235" spans="9:9" x14ac:dyDescent="0.3">
      <c r="I25235" s="101"/>
    </row>
    <row r="25236" spans="9:9" x14ac:dyDescent="0.3">
      <c r="I25236" s="101"/>
    </row>
    <row r="25237" spans="9:9" x14ac:dyDescent="0.3">
      <c r="I25237" s="101"/>
    </row>
    <row r="25238" spans="9:9" x14ac:dyDescent="0.3">
      <c r="I25238" s="101"/>
    </row>
    <row r="25239" spans="9:9" x14ac:dyDescent="0.3">
      <c r="I25239" s="101"/>
    </row>
    <row r="25240" spans="9:9" x14ac:dyDescent="0.3">
      <c r="I25240" s="101"/>
    </row>
    <row r="25241" spans="9:9" x14ac:dyDescent="0.3">
      <c r="I25241" s="101"/>
    </row>
    <row r="25242" spans="9:9" x14ac:dyDescent="0.3">
      <c r="I25242" s="101"/>
    </row>
    <row r="25243" spans="9:9" x14ac:dyDescent="0.3">
      <c r="I25243" s="101"/>
    </row>
    <row r="25244" spans="9:9" x14ac:dyDescent="0.3">
      <c r="I25244" s="101"/>
    </row>
    <row r="25245" spans="9:9" x14ac:dyDescent="0.3">
      <c r="I25245" s="101"/>
    </row>
    <row r="25246" spans="9:9" x14ac:dyDescent="0.3">
      <c r="I25246" s="101"/>
    </row>
    <row r="25247" spans="9:9" x14ac:dyDescent="0.3">
      <c r="I25247" s="101"/>
    </row>
    <row r="25248" spans="9:9" x14ac:dyDescent="0.3">
      <c r="I25248" s="101"/>
    </row>
    <row r="25249" spans="9:9" x14ac:dyDescent="0.3">
      <c r="I25249" s="101"/>
    </row>
    <row r="25250" spans="9:9" x14ac:dyDescent="0.3">
      <c r="I25250" s="101"/>
    </row>
    <row r="25251" spans="9:9" x14ac:dyDescent="0.3">
      <c r="I25251" s="101"/>
    </row>
    <row r="25252" spans="9:9" x14ac:dyDescent="0.3">
      <c r="I25252" s="101"/>
    </row>
    <row r="25253" spans="9:9" x14ac:dyDescent="0.3">
      <c r="I25253" s="101"/>
    </row>
    <row r="25254" spans="9:9" x14ac:dyDescent="0.3">
      <c r="I25254" s="101"/>
    </row>
    <row r="25255" spans="9:9" x14ac:dyDescent="0.3">
      <c r="I25255" s="101"/>
    </row>
    <row r="25256" spans="9:9" x14ac:dyDescent="0.3">
      <c r="I25256" s="101"/>
    </row>
    <row r="25257" spans="9:9" x14ac:dyDescent="0.3">
      <c r="I25257" s="101"/>
    </row>
    <row r="25258" spans="9:9" x14ac:dyDescent="0.3">
      <c r="I25258" s="101"/>
    </row>
    <row r="25259" spans="9:9" x14ac:dyDescent="0.3">
      <c r="I25259" s="101"/>
    </row>
    <row r="25260" spans="9:9" x14ac:dyDescent="0.3">
      <c r="I25260" s="101"/>
    </row>
    <row r="25261" spans="9:9" x14ac:dyDescent="0.3">
      <c r="I25261" s="101"/>
    </row>
    <row r="25262" spans="9:9" x14ac:dyDescent="0.3">
      <c r="I25262" s="101"/>
    </row>
    <row r="25263" spans="9:9" x14ac:dyDescent="0.3">
      <c r="I25263" s="101"/>
    </row>
    <row r="25264" spans="9:9" x14ac:dyDescent="0.3">
      <c r="I25264" s="101"/>
    </row>
    <row r="25265" spans="9:9" x14ac:dyDescent="0.3">
      <c r="I25265" s="101"/>
    </row>
    <row r="25266" spans="9:9" x14ac:dyDescent="0.3">
      <c r="I25266" s="101"/>
    </row>
    <row r="25267" spans="9:9" x14ac:dyDescent="0.3">
      <c r="I25267" s="101"/>
    </row>
    <row r="25268" spans="9:9" x14ac:dyDescent="0.3">
      <c r="I25268" s="101"/>
    </row>
    <row r="25269" spans="9:9" x14ac:dyDescent="0.3">
      <c r="I25269" s="101"/>
    </row>
    <row r="25270" spans="9:9" x14ac:dyDescent="0.3">
      <c r="I25270" s="101"/>
    </row>
    <row r="25271" spans="9:9" x14ac:dyDescent="0.3">
      <c r="I25271" s="101"/>
    </row>
    <row r="25272" spans="9:9" x14ac:dyDescent="0.3">
      <c r="I25272" s="101"/>
    </row>
    <row r="25273" spans="9:9" x14ac:dyDescent="0.3">
      <c r="I25273" s="101"/>
    </row>
    <row r="25274" spans="9:9" x14ac:dyDescent="0.3">
      <c r="I25274" s="101"/>
    </row>
    <row r="25275" spans="9:9" x14ac:dyDescent="0.3">
      <c r="I25275" s="101"/>
    </row>
    <row r="25276" spans="9:9" x14ac:dyDescent="0.3">
      <c r="I25276" s="101"/>
    </row>
    <row r="25277" spans="9:9" x14ac:dyDescent="0.3">
      <c r="I25277" s="101"/>
    </row>
    <row r="25278" spans="9:9" x14ac:dyDescent="0.3">
      <c r="I25278" s="101"/>
    </row>
    <row r="25279" spans="9:9" x14ac:dyDescent="0.3">
      <c r="I25279" s="101"/>
    </row>
    <row r="25280" spans="9:9" x14ac:dyDescent="0.3">
      <c r="I25280" s="101"/>
    </row>
    <row r="25281" spans="9:9" x14ac:dyDescent="0.3">
      <c r="I25281" s="101"/>
    </row>
    <row r="25282" spans="9:9" x14ac:dyDescent="0.3">
      <c r="I25282" s="101"/>
    </row>
    <row r="25283" spans="9:9" x14ac:dyDescent="0.3">
      <c r="I25283" s="101"/>
    </row>
    <row r="25284" spans="9:9" x14ac:dyDescent="0.3">
      <c r="I25284" s="101"/>
    </row>
    <row r="25285" spans="9:9" x14ac:dyDescent="0.3">
      <c r="I25285" s="101"/>
    </row>
    <row r="25286" spans="9:9" x14ac:dyDescent="0.3">
      <c r="I25286" s="101"/>
    </row>
    <row r="25287" spans="9:9" x14ac:dyDescent="0.3">
      <c r="I25287" s="101"/>
    </row>
    <row r="25288" spans="9:9" x14ac:dyDescent="0.3">
      <c r="I25288" s="101"/>
    </row>
    <row r="25289" spans="9:9" x14ac:dyDescent="0.3">
      <c r="I25289" s="101"/>
    </row>
    <row r="25290" spans="9:9" x14ac:dyDescent="0.3">
      <c r="I25290" s="101"/>
    </row>
    <row r="25291" spans="9:9" x14ac:dyDescent="0.3">
      <c r="I25291" s="101"/>
    </row>
    <row r="25292" spans="9:9" x14ac:dyDescent="0.3">
      <c r="I25292" s="101"/>
    </row>
    <row r="25293" spans="9:9" x14ac:dyDescent="0.3">
      <c r="I25293" s="101"/>
    </row>
    <row r="25294" spans="9:9" x14ac:dyDescent="0.3">
      <c r="I25294" s="101"/>
    </row>
    <row r="25295" spans="9:9" x14ac:dyDescent="0.3">
      <c r="I25295" s="101"/>
    </row>
    <row r="25296" spans="9:9" x14ac:dyDescent="0.3">
      <c r="I25296" s="101"/>
    </row>
    <row r="25297" spans="9:9" x14ac:dyDescent="0.3">
      <c r="I25297" s="101"/>
    </row>
    <row r="25298" spans="9:9" x14ac:dyDescent="0.3">
      <c r="I25298" s="101"/>
    </row>
    <row r="25299" spans="9:9" x14ac:dyDescent="0.3">
      <c r="I25299" s="101"/>
    </row>
    <row r="25300" spans="9:9" x14ac:dyDescent="0.3">
      <c r="I25300" s="101"/>
    </row>
    <row r="25301" spans="9:9" x14ac:dyDescent="0.3">
      <c r="I25301" s="101"/>
    </row>
    <row r="25302" spans="9:9" x14ac:dyDescent="0.3">
      <c r="I25302" s="101"/>
    </row>
    <row r="25303" spans="9:9" x14ac:dyDescent="0.3">
      <c r="I25303" s="101"/>
    </row>
    <row r="25304" spans="9:9" x14ac:dyDescent="0.3">
      <c r="I25304" s="101"/>
    </row>
    <row r="25305" spans="9:9" x14ac:dyDescent="0.3">
      <c r="I25305" s="101"/>
    </row>
    <row r="25306" spans="9:9" x14ac:dyDescent="0.3">
      <c r="I25306" s="101"/>
    </row>
    <row r="25307" spans="9:9" x14ac:dyDescent="0.3">
      <c r="I25307" s="101"/>
    </row>
    <row r="25308" spans="9:9" x14ac:dyDescent="0.3">
      <c r="I25308" s="101"/>
    </row>
    <row r="25309" spans="9:9" x14ac:dyDescent="0.3">
      <c r="I25309" s="101"/>
    </row>
    <row r="25310" spans="9:9" x14ac:dyDescent="0.3">
      <c r="I25310" s="101"/>
    </row>
    <row r="25311" spans="9:9" x14ac:dyDescent="0.3">
      <c r="I25311" s="101"/>
    </row>
    <row r="25312" spans="9:9" x14ac:dyDescent="0.3">
      <c r="I25312" s="101"/>
    </row>
    <row r="25313" spans="9:9" x14ac:dyDescent="0.3">
      <c r="I25313" s="101"/>
    </row>
    <row r="25314" spans="9:9" x14ac:dyDescent="0.3">
      <c r="I25314" s="101"/>
    </row>
    <row r="25315" spans="9:9" x14ac:dyDescent="0.3">
      <c r="I25315" s="101"/>
    </row>
    <row r="25316" spans="9:9" x14ac:dyDescent="0.3">
      <c r="I25316" s="101"/>
    </row>
    <row r="25317" spans="9:9" x14ac:dyDescent="0.3">
      <c r="I25317" s="101"/>
    </row>
    <row r="25318" spans="9:9" x14ac:dyDescent="0.3">
      <c r="I25318" s="101"/>
    </row>
    <row r="25319" spans="9:9" x14ac:dyDescent="0.3">
      <c r="I25319" s="101"/>
    </row>
    <row r="25320" spans="9:9" x14ac:dyDescent="0.3">
      <c r="I25320" s="101"/>
    </row>
    <row r="25321" spans="9:9" x14ac:dyDescent="0.3">
      <c r="I25321" s="101"/>
    </row>
    <row r="25322" spans="9:9" x14ac:dyDescent="0.3">
      <c r="I25322" s="101"/>
    </row>
    <row r="25323" spans="9:9" x14ac:dyDescent="0.3">
      <c r="I25323" s="101"/>
    </row>
    <row r="25324" spans="9:9" x14ac:dyDescent="0.3">
      <c r="I25324" s="101"/>
    </row>
    <row r="25325" spans="9:9" x14ac:dyDescent="0.3">
      <c r="I25325" s="101"/>
    </row>
    <row r="25326" spans="9:9" x14ac:dyDescent="0.3">
      <c r="I25326" s="101"/>
    </row>
    <row r="25327" spans="9:9" x14ac:dyDescent="0.3">
      <c r="I25327" s="101"/>
    </row>
    <row r="25328" spans="9:9" x14ac:dyDescent="0.3">
      <c r="I25328" s="101"/>
    </row>
    <row r="25329" spans="9:9" x14ac:dyDescent="0.3">
      <c r="I25329" s="101"/>
    </row>
    <row r="25330" spans="9:9" x14ac:dyDescent="0.3">
      <c r="I25330" s="101"/>
    </row>
    <row r="25331" spans="9:9" x14ac:dyDescent="0.3">
      <c r="I25331" s="101"/>
    </row>
    <row r="25332" spans="9:9" x14ac:dyDescent="0.3">
      <c r="I25332" s="101"/>
    </row>
    <row r="25333" spans="9:9" x14ac:dyDescent="0.3">
      <c r="I25333" s="101"/>
    </row>
    <row r="25334" spans="9:9" x14ac:dyDescent="0.3">
      <c r="I25334" s="101"/>
    </row>
    <row r="25335" spans="9:9" x14ac:dyDescent="0.3">
      <c r="I25335" s="101"/>
    </row>
    <row r="25336" spans="9:9" x14ac:dyDescent="0.3">
      <c r="I25336" s="101"/>
    </row>
    <row r="25337" spans="9:9" x14ac:dyDescent="0.3">
      <c r="I25337" s="101"/>
    </row>
    <row r="25338" spans="9:9" x14ac:dyDescent="0.3">
      <c r="I25338" s="101"/>
    </row>
    <row r="25339" spans="9:9" x14ac:dyDescent="0.3">
      <c r="I25339" s="101"/>
    </row>
    <row r="25340" spans="9:9" x14ac:dyDescent="0.3">
      <c r="I25340" s="101"/>
    </row>
    <row r="25341" spans="9:9" x14ac:dyDescent="0.3">
      <c r="I25341" s="101"/>
    </row>
    <row r="25342" spans="9:9" x14ac:dyDescent="0.3">
      <c r="I25342" s="101"/>
    </row>
    <row r="25343" spans="9:9" x14ac:dyDescent="0.3">
      <c r="I25343" s="101"/>
    </row>
    <row r="25344" spans="9:9" x14ac:dyDescent="0.3">
      <c r="I25344" s="101"/>
    </row>
    <row r="25345" spans="9:9" x14ac:dyDescent="0.3">
      <c r="I25345" s="101"/>
    </row>
    <row r="25346" spans="9:9" x14ac:dyDescent="0.3">
      <c r="I25346" s="101"/>
    </row>
    <row r="25347" spans="9:9" x14ac:dyDescent="0.3">
      <c r="I25347" s="101"/>
    </row>
    <row r="25348" spans="9:9" x14ac:dyDescent="0.3">
      <c r="I25348" s="101"/>
    </row>
    <row r="25349" spans="9:9" x14ac:dyDescent="0.3">
      <c r="I25349" s="101"/>
    </row>
    <row r="25350" spans="9:9" x14ac:dyDescent="0.3">
      <c r="I25350" s="101"/>
    </row>
    <row r="25351" spans="9:9" x14ac:dyDescent="0.3">
      <c r="I25351" s="101"/>
    </row>
    <row r="25352" spans="9:9" x14ac:dyDescent="0.3">
      <c r="I25352" s="101"/>
    </row>
    <row r="25353" spans="9:9" x14ac:dyDescent="0.3">
      <c r="I25353" s="101"/>
    </row>
    <row r="25354" spans="9:9" x14ac:dyDescent="0.3">
      <c r="I25354" s="101"/>
    </row>
    <row r="25355" spans="9:9" x14ac:dyDescent="0.3">
      <c r="I25355" s="101"/>
    </row>
    <row r="25356" spans="9:9" x14ac:dyDescent="0.3">
      <c r="I25356" s="101"/>
    </row>
    <row r="25357" spans="9:9" x14ac:dyDescent="0.3">
      <c r="I25357" s="101"/>
    </row>
    <row r="25358" spans="9:9" x14ac:dyDescent="0.3">
      <c r="I25358" s="101"/>
    </row>
    <row r="25359" spans="9:9" x14ac:dyDescent="0.3">
      <c r="I25359" s="101"/>
    </row>
    <row r="25360" spans="9:9" x14ac:dyDescent="0.3">
      <c r="I25360" s="101"/>
    </row>
    <row r="25361" spans="9:9" x14ac:dyDescent="0.3">
      <c r="I25361" s="101"/>
    </row>
    <row r="25362" spans="9:9" x14ac:dyDescent="0.3">
      <c r="I25362" s="101"/>
    </row>
    <row r="25363" spans="9:9" x14ac:dyDescent="0.3">
      <c r="I25363" s="101"/>
    </row>
    <row r="25364" spans="9:9" x14ac:dyDescent="0.3">
      <c r="I25364" s="101"/>
    </row>
    <row r="25365" spans="9:9" x14ac:dyDescent="0.3">
      <c r="I25365" s="101"/>
    </row>
    <row r="25366" spans="9:9" x14ac:dyDescent="0.3">
      <c r="I25366" s="101"/>
    </row>
    <row r="25367" spans="9:9" x14ac:dyDescent="0.3">
      <c r="I25367" s="101"/>
    </row>
    <row r="25368" spans="9:9" x14ac:dyDescent="0.3">
      <c r="I25368" s="101"/>
    </row>
    <row r="25369" spans="9:9" x14ac:dyDescent="0.3">
      <c r="I25369" s="101"/>
    </row>
    <row r="25370" spans="9:9" x14ac:dyDescent="0.3">
      <c r="I25370" s="101"/>
    </row>
    <row r="25371" spans="9:9" x14ac:dyDescent="0.3">
      <c r="I25371" s="101"/>
    </row>
    <row r="25372" spans="9:9" x14ac:dyDescent="0.3">
      <c r="I25372" s="101"/>
    </row>
    <row r="25373" spans="9:9" x14ac:dyDescent="0.3">
      <c r="I25373" s="101"/>
    </row>
    <row r="25374" spans="9:9" x14ac:dyDescent="0.3">
      <c r="I25374" s="101"/>
    </row>
    <row r="25375" spans="9:9" x14ac:dyDescent="0.3">
      <c r="I25375" s="101"/>
    </row>
    <row r="25376" spans="9:9" x14ac:dyDescent="0.3">
      <c r="I25376" s="101"/>
    </row>
    <row r="25377" spans="9:9" x14ac:dyDescent="0.3">
      <c r="I25377" s="101"/>
    </row>
    <row r="25378" spans="9:9" x14ac:dyDescent="0.3">
      <c r="I25378" s="101"/>
    </row>
    <row r="25379" spans="9:9" x14ac:dyDescent="0.3">
      <c r="I25379" s="101"/>
    </row>
    <row r="25380" spans="9:9" x14ac:dyDescent="0.3">
      <c r="I25380" s="101"/>
    </row>
    <row r="25381" spans="9:9" x14ac:dyDescent="0.3">
      <c r="I25381" s="101"/>
    </row>
    <row r="25382" spans="9:9" x14ac:dyDescent="0.3">
      <c r="I25382" s="101"/>
    </row>
    <row r="25383" spans="9:9" x14ac:dyDescent="0.3">
      <c r="I25383" s="101"/>
    </row>
    <row r="25384" spans="9:9" x14ac:dyDescent="0.3">
      <c r="I25384" s="101"/>
    </row>
    <row r="25385" spans="9:9" x14ac:dyDescent="0.3">
      <c r="I25385" s="101"/>
    </row>
    <row r="25386" spans="9:9" x14ac:dyDescent="0.3">
      <c r="I25386" s="101"/>
    </row>
    <row r="25387" spans="9:9" x14ac:dyDescent="0.3">
      <c r="I25387" s="101"/>
    </row>
    <row r="25388" spans="9:9" x14ac:dyDescent="0.3">
      <c r="I25388" s="101"/>
    </row>
    <row r="25389" spans="9:9" x14ac:dyDescent="0.3">
      <c r="I25389" s="101"/>
    </row>
    <row r="25390" spans="9:9" x14ac:dyDescent="0.3">
      <c r="I25390" s="101"/>
    </row>
    <row r="25391" spans="9:9" x14ac:dyDescent="0.3">
      <c r="I25391" s="101"/>
    </row>
    <row r="25392" spans="9:9" x14ac:dyDescent="0.3">
      <c r="I25392" s="101"/>
    </row>
    <row r="25393" spans="9:9" x14ac:dyDescent="0.3">
      <c r="I25393" s="101"/>
    </row>
    <row r="25394" spans="9:9" x14ac:dyDescent="0.3">
      <c r="I25394" s="101"/>
    </row>
    <row r="25395" spans="9:9" x14ac:dyDescent="0.3">
      <c r="I25395" s="101"/>
    </row>
    <row r="25396" spans="9:9" x14ac:dyDescent="0.3">
      <c r="I25396" s="101"/>
    </row>
    <row r="25397" spans="9:9" x14ac:dyDescent="0.3">
      <c r="I25397" s="101"/>
    </row>
    <row r="25398" spans="9:9" x14ac:dyDescent="0.3">
      <c r="I25398" s="101"/>
    </row>
    <row r="25399" spans="9:9" x14ac:dyDescent="0.3">
      <c r="I25399" s="101"/>
    </row>
    <row r="25400" spans="9:9" x14ac:dyDescent="0.3">
      <c r="I25400" s="101"/>
    </row>
    <row r="25401" spans="9:9" x14ac:dyDescent="0.3">
      <c r="I25401" s="101"/>
    </row>
    <row r="25402" spans="9:9" x14ac:dyDescent="0.3">
      <c r="I25402" s="101"/>
    </row>
    <row r="25403" spans="9:9" x14ac:dyDescent="0.3">
      <c r="I25403" s="101"/>
    </row>
    <row r="25404" spans="9:9" x14ac:dyDescent="0.3">
      <c r="I25404" s="101"/>
    </row>
    <row r="25405" spans="9:9" x14ac:dyDescent="0.3">
      <c r="I25405" s="101"/>
    </row>
    <row r="25406" spans="9:9" x14ac:dyDescent="0.3">
      <c r="I25406" s="101"/>
    </row>
    <row r="25407" spans="9:9" x14ac:dyDescent="0.3">
      <c r="I25407" s="101"/>
    </row>
    <row r="25408" spans="9:9" x14ac:dyDescent="0.3">
      <c r="I25408" s="101"/>
    </row>
    <row r="25409" spans="9:9" x14ac:dyDescent="0.3">
      <c r="I25409" s="101"/>
    </row>
    <row r="25410" spans="9:9" x14ac:dyDescent="0.3">
      <c r="I25410" s="101"/>
    </row>
    <row r="25411" spans="9:9" x14ac:dyDescent="0.3">
      <c r="I25411" s="101"/>
    </row>
    <row r="25412" spans="9:9" x14ac:dyDescent="0.3">
      <c r="I25412" s="101"/>
    </row>
    <row r="25413" spans="9:9" x14ac:dyDescent="0.3">
      <c r="I25413" s="101"/>
    </row>
    <row r="25414" spans="9:9" x14ac:dyDescent="0.3">
      <c r="I25414" s="101"/>
    </row>
    <row r="25415" spans="9:9" x14ac:dyDescent="0.3">
      <c r="I25415" s="101"/>
    </row>
    <row r="25416" spans="9:9" x14ac:dyDescent="0.3">
      <c r="I25416" s="101"/>
    </row>
    <row r="25417" spans="9:9" x14ac:dyDescent="0.3">
      <c r="I25417" s="101"/>
    </row>
    <row r="25418" spans="9:9" x14ac:dyDescent="0.3">
      <c r="I25418" s="101"/>
    </row>
    <row r="25419" spans="9:9" x14ac:dyDescent="0.3">
      <c r="I25419" s="101"/>
    </row>
    <row r="25420" spans="9:9" x14ac:dyDescent="0.3">
      <c r="I25420" s="101"/>
    </row>
    <row r="25421" spans="9:9" x14ac:dyDescent="0.3">
      <c r="I25421" s="101"/>
    </row>
    <row r="25422" spans="9:9" x14ac:dyDescent="0.3">
      <c r="I25422" s="101"/>
    </row>
    <row r="25423" spans="9:9" x14ac:dyDescent="0.3">
      <c r="I25423" s="101"/>
    </row>
    <row r="25424" spans="9:9" x14ac:dyDescent="0.3">
      <c r="I25424" s="101"/>
    </row>
    <row r="25425" spans="9:9" x14ac:dyDescent="0.3">
      <c r="I25425" s="101"/>
    </row>
    <row r="25426" spans="9:9" x14ac:dyDescent="0.3">
      <c r="I25426" s="101"/>
    </row>
    <row r="25427" spans="9:9" x14ac:dyDescent="0.3">
      <c r="I25427" s="101"/>
    </row>
    <row r="25428" spans="9:9" x14ac:dyDescent="0.3">
      <c r="I25428" s="101"/>
    </row>
    <row r="25429" spans="9:9" x14ac:dyDescent="0.3">
      <c r="I25429" s="101"/>
    </row>
    <row r="25430" spans="9:9" x14ac:dyDescent="0.3">
      <c r="I25430" s="101"/>
    </row>
    <row r="25431" spans="9:9" x14ac:dyDescent="0.3">
      <c r="I25431" s="101"/>
    </row>
    <row r="25432" spans="9:9" x14ac:dyDescent="0.3">
      <c r="I25432" s="101"/>
    </row>
    <row r="25433" spans="9:9" x14ac:dyDescent="0.3">
      <c r="I25433" s="101"/>
    </row>
    <row r="25434" spans="9:9" x14ac:dyDescent="0.3">
      <c r="I25434" s="101"/>
    </row>
    <row r="25435" spans="9:9" x14ac:dyDescent="0.3">
      <c r="I25435" s="101"/>
    </row>
    <row r="25436" spans="9:9" x14ac:dyDescent="0.3">
      <c r="I25436" s="101"/>
    </row>
    <row r="25437" spans="9:9" x14ac:dyDescent="0.3">
      <c r="I25437" s="101"/>
    </row>
    <row r="25438" spans="9:9" x14ac:dyDescent="0.3">
      <c r="I25438" s="101"/>
    </row>
    <row r="25439" spans="9:9" x14ac:dyDescent="0.3">
      <c r="I25439" s="101"/>
    </row>
    <row r="25440" spans="9:9" x14ac:dyDescent="0.3">
      <c r="I25440" s="101"/>
    </row>
    <row r="25441" spans="9:9" x14ac:dyDescent="0.3">
      <c r="I25441" s="101"/>
    </row>
    <row r="25442" spans="9:9" x14ac:dyDescent="0.3">
      <c r="I25442" s="101"/>
    </row>
    <row r="25443" spans="9:9" x14ac:dyDescent="0.3">
      <c r="I25443" s="101"/>
    </row>
    <row r="25444" spans="9:9" x14ac:dyDescent="0.3">
      <c r="I25444" s="101"/>
    </row>
    <row r="25445" spans="9:9" x14ac:dyDescent="0.3">
      <c r="I25445" s="101"/>
    </row>
    <row r="25446" spans="9:9" x14ac:dyDescent="0.3">
      <c r="I25446" s="101"/>
    </row>
    <row r="25447" spans="9:9" x14ac:dyDescent="0.3">
      <c r="I25447" s="101"/>
    </row>
    <row r="25448" spans="9:9" x14ac:dyDescent="0.3">
      <c r="I25448" s="101"/>
    </row>
    <row r="25449" spans="9:9" x14ac:dyDescent="0.3">
      <c r="I25449" s="101"/>
    </row>
    <row r="25450" spans="9:9" x14ac:dyDescent="0.3">
      <c r="I25450" s="101"/>
    </row>
    <row r="25451" spans="9:9" x14ac:dyDescent="0.3">
      <c r="I25451" s="101"/>
    </row>
    <row r="25452" spans="9:9" x14ac:dyDescent="0.3">
      <c r="I25452" s="101"/>
    </row>
    <row r="25453" spans="9:9" x14ac:dyDescent="0.3">
      <c r="I25453" s="101"/>
    </row>
    <row r="25454" spans="9:9" x14ac:dyDescent="0.3">
      <c r="I25454" s="101"/>
    </row>
    <row r="25455" spans="9:9" x14ac:dyDescent="0.3">
      <c r="I25455" s="101"/>
    </row>
    <row r="25456" spans="9:9" x14ac:dyDescent="0.3">
      <c r="I25456" s="101"/>
    </row>
    <row r="25457" spans="9:9" x14ac:dyDescent="0.3">
      <c r="I25457" s="101"/>
    </row>
    <row r="25458" spans="9:9" x14ac:dyDescent="0.3">
      <c r="I25458" s="101"/>
    </row>
    <row r="25459" spans="9:9" x14ac:dyDescent="0.3">
      <c r="I25459" s="101"/>
    </row>
    <row r="25460" spans="9:9" x14ac:dyDescent="0.3">
      <c r="I25460" s="101"/>
    </row>
    <row r="25461" spans="9:9" x14ac:dyDescent="0.3">
      <c r="I25461" s="101"/>
    </row>
    <row r="25462" spans="9:9" x14ac:dyDescent="0.3">
      <c r="I25462" s="101"/>
    </row>
    <row r="25463" spans="9:9" x14ac:dyDescent="0.3">
      <c r="I25463" s="101"/>
    </row>
    <row r="25464" spans="9:9" x14ac:dyDescent="0.3">
      <c r="I25464" s="101"/>
    </row>
    <row r="25465" spans="9:9" x14ac:dyDescent="0.3">
      <c r="I25465" s="101"/>
    </row>
    <row r="25466" spans="9:9" x14ac:dyDescent="0.3">
      <c r="I25466" s="101"/>
    </row>
    <row r="25467" spans="9:9" x14ac:dyDescent="0.3">
      <c r="I25467" s="101"/>
    </row>
    <row r="25468" spans="9:9" x14ac:dyDescent="0.3">
      <c r="I25468" s="101"/>
    </row>
    <row r="25469" spans="9:9" x14ac:dyDescent="0.3">
      <c r="I25469" s="101"/>
    </row>
    <row r="25470" spans="9:9" x14ac:dyDescent="0.3">
      <c r="I25470" s="101"/>
    </row>
    <row r="25471" spans="9:9" x14ac:dyDescent="0.3">
      <c r="I25471" s="101"/>
    </row>
    <row r="25472" spans="9:9" x14ac:dyDescent="0.3">
      <c r="I25472" s="101"/>
    </row>
    <row r="25473" spans="9:9" x14ac:dyDescent="0.3">
      <c r="I25473" s="101"/>
    </row>
    <row r="25474" spans="9:9" x14ac:dyDescent="0.3">
      <c r="I25474" s="101"/>
    </row>
    <row r="25475" spans="9:9" x14ac:dyDescent="0.3">
      <c r="I25475" s="101"/>
    </row>
    <row r="25476" spans="9:9" x14ac:dyDescent="0.3">
      <c r="I25476" s="101"/>
    </row>
    <row r="25477" spans="9:9" x14ac:dyDescent="0.3">
      <c r="I25477" s="101"/>
    </row>
    <row r="25478" spans="9:9" x14ac:dyDescent="0.3">
      <c r="I25478" s="101"/>
    </row>
    <row r="25479" spans="9:9" x14ac:dyDescent="0.3">
      <c r="I25479" s="101"/>
    </row>
    <row r="25480" spans="9:9" x14ac:dyDescent="0.3">
      <c r="I25480" s="101"/>
    </row>
    <row r="25481" spans="9:9" x14ac:dyDescent="0.3">
      <c r="I25481" s="101"/>
    </row>
    <row r="25482" spans="9:9" x14ac:dyDescent="0.3">
      <c r="I25482" s="101"/>
    </row>
    <row r="25483" spans="9:9" x14ac:dyDescent="0.3">
      <c r="I25483" s="101"/>
    </row>
    <row r="25484" spans="9:9" x14ac:dyDescent="0.3">
      <c r="I25484" s="101"/>
    </row>
    <row r="25485" spans="9:9" x14ac:dyDescent="0.3">
      <c r="I25485" s="101"/>
    </row>
    <row r="25486" spans="9:9" x14ac:dyDescent="0.3">
      <c r="I25486" s="101"/>
    </row>
    <row r="25487" spans="9:9" x14ac:dyDescent="0.3">
      <c r="I25487" s="101"/>
    </row>
    <row r="25488" spans="9:9" x14ac:dyDescent="0.3">
      <c r="I25488" s="101"/>
    </row>
    <row r="25489" spans="9:9" x14ac:dyDescent="0.3">
      <c r="I25489" s="101"/>
    </row>
    <row r="25490" spans="9:9" x14ac:dyDescent="0.3">
      <c r="I25490" s="101"/>
    </row>
    <row r="25491" spans="9:9" x14ac:dyDescent="0.3">
      <c r="I25491" s="101"/>
    </row>
    <row r="25492" spans="9:9" x14ac:dyDescent="0.3">
      <c r="I25492" s="101"/>
    </row>
    <row r="25493" spans="9:9" x14ac:dyDescent="0.3">
      <c r="I25493" s="101"/>
    </row>
    <row r="25494" spans="9:9" x14ac:dyDescent="0.3">
      <c r="I25494" s="101"/>
    </row>
    <row r="25495" spans="9:9" x14ac:dyDescent="0.3">
      <c r="I25495" s="101"/>
    </row>
    <row r="25496" spans="9:9" x14ac:dyDescent="0.3">
      <c r="I25496" s="101"/>
    </row>
    <row r="25497" spans="9:9" x14ac:dyDescent="0.3">
      <c r="I25497" s="101"/>
    </row>
    <row r="25498" spans="9:9" x14ac:dyDescent="0.3">
      <c r="I25498" s="101"/>
    </row>
    <row r="25499" spans="9:9" x14ac:dyDescent="0.3">
      <c r="I25499" s="101"/>
    </row>
    <row r="25500" spans="9:9" x14ac:dyDescent="0.3">
      <c r="I25500" s="101"/>
    </row>
    <row r="25501" spans="9:9" x14ac:dyDescent="0.3">
      <c r="I25501" s="101"/>
    </row>
    <row r="25502" spans="9:9" x14ac:dyDescent="0.3">
      <c r="I25502" s="101"/>
    </row>
    <row r="25503" spans="9:9" x14ac:dyDescent="0.3">
      <c r="I25503" s="101"/>
    </row>
    <row r="25504" spans="9:9" x14ac:dyDescent="0.3">
      <c r="I25504" s="101"/>
    </row>
    <row r="25505" spans="9:9" x14ac:dyDescent="0.3">
      <c r="I25505" s="101"/>
    </row>
    <row r="25506" spans="9:9" x14ac:dyDescent="0.3">
      <c r="I25506" s="101"/>
    </row>
    <row r="25507" spans="9:9" x14ac:dyDescent="0.3">
      <c r="I25507" s="101"/>
    </row>
    <row r="25508" spans="9:9" x14ac:dyDescent="0.3">
      <c r="I25508" s="101"/>
    </row>
    <row r="25509" spans="9:9" x14ac:dyDescent="0.3">
      <c r="I25509" s="101"/>
    </row>
    <row r="25510" spans="9:9" x14ac:dyDescent="0.3">
      <c r="I25510" s="101"/>
    </row>
    <row r="25511" spans="9:9" x14ac:dyDescent="0.3">
      <c r="I25511" s="101"/>
    </row>
    <row r="25512" spans="9:9" x14ac:dyDescent="0.3">
      <c r="I25512" s="101"/>
    </row>
    <row r="25513" spans="9:9" x14ac:dyDescent="0.3">
      <c r="I25513" s="101"/>
    </row>
    <row r="25514" spans="9:9" x14ac:dyDescent="0.3">
      <c r="I25514" s="101"/>
    </row>
    <row r="25515" spans="9:9" x14ac:dyDescent="0.3">
      <c r="I25515" s="101"/>
    </row>
    <row r="25516" spans="9:9" x14ac:dyDescent="0.3">
      <c r="I25516" s="101"/>
    </row>
    <row r="25517" spans="9:9" x14ac:dyDescent="0.3">
      <c r="I25517" s="101"/>
    </row>
    <row r="25518" spans="9:9" x14ac:dyDescent="0.3">
      <c r="I25518" s="101"/>
    </row>
    <row r="25519" spans="9:9" x14ac:dyDescent="0.3">
      <c r="I25519" s="101"/>
    </row>
    <row r="25520" spans="9:9" x14ac:dyDescent="0.3">
      <c r="I25520" s="101"/>
    </row>
    <row r="25521" spans="9:9" x14ac:dyDescent="0.3">
      <c r="I25521" s="101"/>
    </row>
    <row r="25522" spans="9:9" x14ac:dyDescent="0.3">
      <c r="I25522" s="101"/>
    </row>
    <row r="25523" spans="9:9" x14ac:dyDescent="0.3">
      <c r="I25523" s="101"/>
    </row>
    <row r="25524" spans="9:9" x14ac:dyDescent="0.3">
      <c r="I25524" s="101"/>
    </row>
    <row r="25525" spans="9:9" x14ac:dyDescent="0.3">
      <c r="I25525" s="101"/>
    </row>
    <row r="25526" spans="9:9" x14ac:dyDescent="0.3">
      <c r="I25526" s="101"/>
    </row>
    <row r="25527" spans="9:9" x14ac:dyDescent="0.3">
      <c r="I25527" s="101"/>
    </row>
    <row r="25528" spans="9:9" x14ac:dyDescent="0.3">
      <c r="I25528" s="101"/>
    </row>
    <row r="25529" spans="9:9" x14ac:dyDescent="0.3">
      <c r="I25529" s="101"/>
    </row>
    <row r="25530" spans="9:9" x14ac:dyDescent="0.3">
      <c r="I25530" s="101"/>
    </row>
    <row r="25531" spans="9:9" x14ac:dyDescent="0.3">
      <c r="I25531" s="101"/>
    </row>
    <row r="25532" spans="9:9" x14ac:dyDescent="0.3">
      <c r="I25532" s="101"/>
    </row>
    <row r="25533" spans="9:9" x14ac:dyDescent="0.3">
      <c r="I25533" s="101"/>
    </row>
    <row r="25534" spans="9:9" x14ac:dyDescent="0.3">
      <c r="I25534" s="101"/>
    </row>
    <row r="25535" spans="9:9" x14ac:dyDescent="0.3">
      <c r="I25535" s="101"/>
    </row>
    <row r="25536" spans="9:9" x14ac:dyDescent="0.3">
      <c r="I25536" s="101"/>
    </row>
    <row r="25537" spans="9:9" x14ac:dyDescent="0.3">
      <c r="I25537" s="101"/>
    </row>
    <row r="25538" spans="9:9" x14ac:dyDescent="0.3">
      <c r="I25538" s="101"/>
    </row>
    <row r="25539" spans="9:9" x14ac:dyDescent="0.3">
      <c r="I25539" s="101"/>
    </row>
    <row r="25540" spans="9:9" x14ac:dyDescent="0.3">
      <c r="I25540" s="101"/>
    </row>
    <row r="25541" spans="9:9" x14ac:dyDescent="0.3">
      <c r="I25541" s="101"/>
    </row>
    <row r="25542" spans="9:9" x14ac:dyDescent="0.3">
      <c r="I25542" s="101"/>
    </row>
    <row r="25543" spans="9:9" x14ac:dyDescent="0.3">
      <c r="I25543" s="101"/>
    </row>
    <row r="25544" spans="9:9" x14ac:dyDescent="0.3">
      <c r="I25544" s="101"/>
    </row>
    <row r="25545" spans="9:9" x14ac:dyDescent="0.3">
      <c r="I25545" s="101"/>
    </row>
    <row r="25546" spans="9:9" x14ac:dyDescent="0.3">
      <c r="I25546" s="101"/>
    </row>
    <row r="25547" spans="9:9" x14ac:dyDescent="0.3">
      <c r="I25547" s="101"/>
    </row>
    <row r="25548" spans="9:9" x14ac:dyDescent="0.3">
      <c r="I25548" s="101"/>
    </row>
    <row r="25549" spans="9:9" x14ac:dyDescent="0.3">
      <c r="I25549" s="101"/>
    </row>
    <row r="25550" spans="9:9" x14ac:dyDescent="0.3">
      <c r="I25550" s="101"/>
    </row>
    <row r="25551" spans="9:9" x14ac:dyDescent="0.3">
      <c r="I25551" s="101"/>
    </row>
    <row r="25552" spans="9:9" x14ac:dyDescent="0.3">
      <c r="I25552" s="101"/>
    </row>
    <row r="25553" spans="9:9" x14ac:dyDescent="0.3">
      <c r="I25553" s="101"/>
    </row>
    <row r="25554" spans="9:9" x14ac:dyDescent="0.3">
      <c r="I25554" s="101"/>
    </row>
    <row r="25555" spans="9:9" x14ac:dyDescent="0.3">
      <c r="I25555" s="101"/>
    </row>
    <row r="25556" spans="9:9" x14ac:dyDescent="0.3">
      <c r="I25556" s="101"/>
    </row>
    <row r="25557" spans="9:9" x14ac:dyDescent="0.3">
      <c r="I25557" s="101"/>
    </row>
    <row r="25558" spans="9:9" x14ac:dyDescent="0.3">
      <c r="I25558" s="101"/>
    </row>
    <row r="25559" spans="9:9" x14ac:dyDescent="0.3">
      <c r="I25559" s="101"/>
    </row>
    <row r="25560" spans="9:9" x14ac:dyDescent="0.3">
      <c r="I25560" s="101"/>
    </row>
    <row r="25561" spans="9:9" x14ac:dyDescent="0.3">
      <c r="I25561" s="101"/>
    </row>
    <row r="25562" spans="9:9" x14ac:dyDescent="0.3">
      <c r="I25562" s="101"/>
    </row>
    <row r="25563" spans="9:9" x14ac:dyDescent="0.3">
      <c r="I25563" s="101"/>
    </row>
    <row r="25564" spans="9:9" x14ac:dyDescent="0.3">
      <c r="I25564" s="101"/>
    </row>
    <row r="25565" spans="9:9" x14ac:dyDescent="0.3">
      <c r="I25565" s="101"/>
    </row>
    <row r="25566" spans="9:9" x14ac:dyDescent="0.3">
      <c r="I25566" s="101"/>
    </row>
    <row r="25567" spans="9:9" x14ac:dyDescent="0.3">
      <c r="I25567" s="101"/>
    </row>
    <row r="25568" spans="9:9" x14ac:dyDescent="0.3">
      <c r="I25568" s="101"/>
    </row>
    <row r="25569" spans="9:9" x14ac:dyDescent="0.3">
      <c r="I25569" s="101"/>
    </row>
    <row r="25570" spans="9:9" x14ac:dyDescent="0.3">
      <c r="I25570" s="101"/>
    </row>
    <row r="25571" spans="9:9" x14ac:dyDescent="0.3">
      <c r="I25571" s="101"/>
    </row>
    <row r="25572" spans="9:9" x14ac:dyDescent="0.3">
      <c r="I25572" s="101"/>
    </row>
    <row r="25573" spans="9:9" x14ac:dyDescent="0.3">
      <c r="I25573" s="101"/>
    </row>
    <row r="25574" spans="9:9" x14ac:dyDescent="0.3">
      <c r="I25574" s="101"/>
    </row>
    <row r="25575" spans="9:9" x14ac:dyDescent="0.3">
      <c r="I25575" s="101"/>
    </row>
    <row r="25576" spans="9:9" x14ac:dyDescent="0.3">
      <c r="I25576" s="101"/>
    </row>
    <row r="25577" spans="9:9" x14ac:dyDescent="0.3">
      <c r="I25577" s="101"/>
    </row>
    <row r="25578" spans="9:9" x14ac:dyDescent="0.3">
      <c r="I25578" s="101"/>
    </row>
    <row r="25579" spans="9:9" x14ac:dyDescent="0.3">
      <c r="I25579" s="101"/>
    </row>
    <row r="25580" spans="9:9" x14ac:dyDescent="0.3">
      <c r="I25580" s="101"/>
    </row>
    <row r="25581" spans="9:9" x14ac:dyDescent="0.3">
      <c r="I25581" s="101"/>
    </row>
    <row r="25582" spans="9:9" x14ac:dyDescent="0.3">
      <c r="I25582" s="101"/>
    </row>
    <row r="25583" spans="9:9" x14ac:dyDescent="0.3">
      <c r="I25583" s="101"/>
    </row>
    <row r="25584" spans="9:9" x14ac:dyDescent="0.3">
      <c r="I25584" s="101"/>
    </row>
    <row r="25585" spans="9:9" x14ac:dyDescent="0.3">
      <c r="I25585" s="101"/>
    </row>
    <row r="25586" spans="9:9" x14ac:dyDescent="0.3">
      <c r="I25586" s="101"/>
    </row>
    <row r="25587" spans="9:9" x14ac:dyDescent="0.3">
      <c r="I25587" s="101"/>
    </row>
    <row r="25588" spans="9:9" x14ac:dyDescent="0.3">
      <c r="I25588" s="101"/>
    </row>
    <row r="25589" spans="9:9" x14ac:dyDescent="0.3">
      <c r="I25589" s="101"/>
    </row>
    <row r="25590" spans="9:9" x14ac:dyDescent="0.3">
      <c r="I25590" s="101"/>
    </row>
    <row r="25591" spans="9:9" x14ac:dyDescent="0.3">
      <c r="I25591" s="101"/>
    </row>
    <row r="25592" spans="9:9" x14ac:dyDescent="0.3">
      <c r="I25592" s="101"/>
    </row>
    <row r="25593" spans="9:9" x14ac:dyDescent="0.3">
      <c r="I25593" s="101"/>
    </row>
    <row r="25594" spans="9:9" x14ac:dyDescent="0.3">
      <c r="I25594" s="101"/>
    </row>
    <row r="25595" spans="9:9" x14ac:dyDescent="0.3">
      <c r="I25595" s="101"/>
    </row>
    <row r="25596" spans="9:9" x14ac:dyDescent="0.3">
      <c r="I25596" s="101"/>
    </row>
    <row r="25597" spans="9:9" x14ac:dyDescent="0.3">
      <c r="I25597" s="101"/>
    </row>
    <row r="25598" spans="9:9" x14ac:dyDescent="0.3">
      <c r="I25598" s="101"/>
    </row>
    <row r="25599" spans="9:9" x14ac:dyDescent="0.3">
      <c r="I25599" s="101"/>
    </row>
    <row r="25600" spans="9:9" x14ac:dyDescent="0.3">
      <c r="I25600" s="101"/>
    </row>
    <row r="25601" spans="9:9" x14ac:dyDescent="0.3">
      <c r="I25601" s="101"/>
    </row>
    <row r="25602" spans="9:9" x14ac:dyDescent="0.3">
      <c r="I25602" s="101"/>
    </row>
    <row r="25603" spans="9:9" x14ac:dyDescent="0.3">
      <c r="I25603" s="101"/>
    </row>
    <row r="25604" spans="9:9" x14ac:dyDescent="0.3">
      <c r="I25604" s="101"/>
    </row>
    <row r="25605" spans="9:9" x14ac:dyDescent="0.3">
      <c r="I25605" s="101"/>
    </row>
    <row r="25606" spans="9:9" x14ac:dyDescent="0.3">
      <c r="I25606" s="101"/>
    </row>
    <row r="25607" spans="9:9" x14ac:dyDescent="0.3">
      <c r="I25607" s="101"/>
    </row>
    <row r="25608" spans="9:9" x14ac:dyDescent="0.3">
      <c r="I25608" s="101"/>
    </row>
    <row r="25609" spans="9:9" x14ac:dyDescent="0.3">
      <c r="I25609" s="101"/>
    </row>
    <row r="25610" spans="9:9" x14ac:dyDescent="0.3">
      <c r="I25610" s="101"/>
    </row>
    <row r="25611" spans="9:9" x14ac:dyDescent="0.3">
      <c r="I25611" s="101"/>
    </row>
    <row r="25612" spans="9:9" x14ac:dyDescent="0.3">
      <c r="I25612" s="101"/>
    </row>
    <row r="25613" spans="9:9" x14ac:dyDescent="0.3">
      <c r="I25613" s="101"/>
    </row>
    <row r="25614" spans="9:9" x14ac:dyDescent="0.3">
      <c r="I25614" s="101"/>
    </row>
    <row r="25615" spans="9:9" x14ac:dyDescent="0.3">
      <c r="I25615" s="101"/>
    </row>
    <row r="25616" spans="9:9" x14ac:dyDescent="0.3">
      <c r="I25616" s="101"/>
    </row>
    <row r="25617" spans="9:9" x14ac:dyDescent="0.3">
      <c r="I25617" s="101"/>
    </row>
    <row r="25618" spans="9:9" x14ac:dyDescent="0.3">
      <c r="I25618" s="101"/>
    </row>
    <row r="25619" spans="9:9" x14ac:dyDescent="0.3">
      <c r="I25619" s="101"/>
    </row>
    <row r="25620" spans="9:9" x14ac:dyDescent="0.3">
      <c r="I25620" s="101"/>
    </row>
    <row r="25621" spans="9:9" x14ac:dyDescent="0.3">
      <c r="I25621" s="101"/>
    </row>
    <row r="25622" spans="9:9" x14ac:dyDescent="0.3">
      <c r="I25622" s="101"/>
    </row>
    <row r="25623" spans="9:9" x14ac:dyDescent="0.3">
      <c r="I25623" s="101"/>
    </row>
    <row r="25624" spans="9:9" x14ac:dyDescent="0.3">
      <c r="I25624" s="101"/>
    </row>
    <row r="25625" spans="9:9" x14ac:dyDescent="0.3">
      <c r="I25625" s="101"/>
    </row>
    <row r="25626" spans="9:9" x14ac:dyDescent="0.3">
      <c r="I25626" s="101"/>
    </row>
    <row r="25627" spans="9:9" x14ac:dyDescent="0.3">
      <c r="I25627" s="101"/>
    </row>
    <row r="25628" spans="9:9" x14ac:dyDescent="0.3">
      <c r="I25628" s="101"/>
    </row>
    <row r="25629" spans="9:9" x14ac:dyDescent="0.3">
      <c r="I25629" s="101"/>
    </row>
    <row r="25630" spans="9:9" x14ac:dyDescent="0.3">
      <c r="I25630" s="101"/>
    </row>
    <row r="25631" spans="9:9" x14ac:dyDescent="0.3">
      <c r="I25631" s="101"/>
    </row>
    <row r="25632" spans="9:9" x14ac:dyDescent="0.3">
      <c r="I25632" s="101"/>
    </row>
    <row r="25633" spans="9:9" x14ac:dyDescent="0.3">
      <c r="I25633" s="101"/>
    </row>
    <row r="25634" spans="9:9" x14ac:dyDescent="0.3">
      <c r="I25634" s="101"/>
    </row>
    <row r="25635" spans="9:9" x14ac:dyDescent="0.3">
      <c r="I25635" s="101"/>
    </row>
    <row r="25636" spans="9:9" x14ac:dyDescent="0.3">
      <c r="I25636" s="101"/>
    </row>
    <row r="25637" spans="9:9" x14ac:dyDescent="0.3">
      <c r="I25637" s="101"/>
    </row>
    <row r="25638" spans="9:9" x14ac:dyDescent="0.3">
      <c r="I25638" s="101"/>
    </row>
    <row r="25639" spans="9:9" x14ac:dyDescent="0.3">
      <c r="I25639" s="101"/>
    </row>
    <row r="25640" spans="9:9" x14ac:dyDescent="0.3">
      <c r="I25640" s="101"/>
    </row>
    <row r="25641" spans="9:9" x14ac:dyDescent="0.3">
      <c r="I25641" s="101"/>
    </row>
    <row r="25642" spans="9:9" x14ac:dyDescent="0.3">
      <c r="I25642" s="101"/>
    </row>
    <row r="25643" spans="9:9" x14ac:dyDescent="0.3">
      <c r="I25643" s="101"/>
    </row>
    <row r="25644" spans="9:9" x14ac:dyDescent="0.3">
      <c r="I25644" s="101"/>
    </row>
    <row r="25645" spans="9:9" x14ac:dyDescent="0.3">
      <c r="I25645" s="101"/>
    </row>
    <row r="25646" spans="9:9" x14ac:dyDescent="0.3">
      <c r="I25646" s="101"/>
    </row>
    <row r="25647" spans="9:9" x14ac:dyDescent="0.3">
      <c r="I25647" s="101"/>
    </row>
    <row r="25648" spans="9:9" x14ac:dyDescent="0.3">
      <c r="I25648" s="101"/>
    </row>
    <row r="25649" spans="9:9" x14ac:dyDescent="0.3">
      <c r="I25649" s="101"/>
    </row>
    <row r="25650" spans="9:9" x14ac:dyDescent="0.3">
      <c r="I25650" s="101"/>
    </row>
    <row r="25651" spans="9:9" x14ac:dyDescent="0.3">
      <c r="I25651" s="101"/>
    </row>
    <row r="25652" spans="9:9" x14ac:dyDescent="0.3">
      <c r="I25652" s="101"/>
    </row>
    <row r="25653" spans="9:9" x14ac:dyDescent="0.3">
      <c r="I25653" s="101"/>
    </row>
    <row r="25654" spans="9:9" x14ac:dyDescent="0.3">
      <c r="I25654" s="101"/>
    </row>
    <row r="25655" spans="9:9" x14ac:dyDescent="0.3">
      <c r="I25655" s="101"/>
    </row>
    <row r="25656" spans="9:9" x14ac:dyDescent="0.3">
      <c r="I25656" s="101"/>
    </row>
    <row r="25657" spans="9:9" x14ac:dyDescent="0.3">
      <c r="I25657" s="101"/>
    </row>
    <row r="25658" spans="9:9" x14ac:dyDescent="0.3">
      <c r="I25658" s="101"/>
    </row>
    <row r="25659" spans="9:9" x14ac:dyDescent="0.3">
      <c r="I25659" s="101"/>
    </row>
    <row r="25660" spans="9:9" x14ac:dyDescent="0.3">
      <c r="I25660" s="101"/>
    </row>
    <row r="25661" spans="9:9" x14ac:dyDescent="0.3">
      <c r="I25661" s="101"/>
    </row>
    <row r="25662" spans="9:9" x14ac:dyDescent="0.3">
      <c r="I25662" s="101"/>
    </row>
    <row r="25663" spans="9:9" x14ac:dyDescent="0.3">
      <c r="I25663" s="101"/>
    </row>
    <row r="25664" spans="9:9" x14ac:dyDescent="0.3">
      <c r="I25664" s="101"/>
    </row>
    <row r="25665" spans="9:9" x14ac:dyDescent="0.3">
      <c r="I25665" s="101"/>
    </row>
    <row r="25666" spans="9:9" x14ac:dyDescent="0.3">
      <c r="I25666" s="101"/>
    </row>
    <row r="25667" spans="9:9" x14ac:dyDescent="0.3">
      <c r="I25667" s="101"/>
    </row>
    <row r="25668" spans="9:9" x14ac:dyDescent="0.3">
      <c r="I25668" s="101"/>
    </row>
    <row r="25669" spans="9:9" x14ac:dyDescent="0.3">
      <c r="I25669" s="101"/>
    </row>
    <row r="25670" spans="9:9" x14ac:dyDescent="0.3">
      <c r="I25670" s="101"/>
    </row>
    <row r="25671" spans="9:9" x14ac:dyDescent="0.3">
      <c r="I25671" s="101"/>
    </row>
    <row r="25672" spans="9:9" x14ac:dyDescent="0.3">
      <c r="I25672" s="101"/>
    </row>
    <row r="25673" spans="9:9" x14ac:dyDescent="0.3">
      <c r="I25673" s="101"/>
    </row>
    <row r="25674" spans="9:9" x14ac:dyDescent="0.3">
      <c r="I25674" s="101"/>
    </row>
    <row r="25675" spans="9:9" x14ac:dyDescent="0.3">
      <c r="I25675" s="101"/>
    </row>
    <row r="25676" spans="9:9" x14ac:dyDescent="0.3">
      <c r="I25676" s="101"/>
    </row>
    <row r="25677" spans="9:9" x14ac:dyDescent="0.3">
      <c r="I25677" s="101"/>
    </row>
    <row r="25678" spans="9:9" x14ac:dyDescent="0.3">
      <c r="I25678" s="101"/>
    </row>
    <row r="25679" spans="9:9" x14ac:dyDescent="0.3">
      <c r="I25679" s="101"/>
    </row>
    <row r="25680" spans="9:9" x14ac:dyDescent="0.3">
      <c r="I25680" s="101"/>
    </row>
    <row r="25681" spans="9:9" x14ac:dyDescent="0.3">
      <c r="I25681" s="101"/>
    </row>
    <row r="25682" spans="9:9" x14ac:dyDescent="0.3">
      <c r="I25682" s="101"/>
    </row>
    <row r="25683" spans="9:9" x14ac:dyDescent="0.3">
      <c r="I25683" s="101"/>
    </row>
    <row r="25684" spans="9:9" x14ac:dyDescent="0.3">
      <c r="I25684" s="101"/>
    </row>
    <row r="25685" spans="9:9" x14ac:dyDescent="0.3">
      <c r="I25685" s="101"/>
    </row>
    <row r="25686" spans="9:9" x14ac:dyDescent="0.3">
      <c r="I25686" s="101"/>
    </row>
    <row r="25687" spans="9:9" x14ac:dyDescent="0.3">
      <c r="I25687" s="101"/>
    </row>
    <row r="25688" spans="9:9" x14ac:dyDescent="0.3">
      <c r="I25688" s="101"/>
    </row>
    <row r="25689" spans="9:9" x14ac:dyDescent="0.3">
      <c r="I25689" s="101"/>
    </row>
    <row r="25690" spans="9:9" x14ac:dyDescent="0.3">
      <c r="I25690" s="101"/>
    </row>
    <row r="25691" spans="9:9" x14ac:dyDescent="0.3">
      <c r="I25691" s="101"/>
    </row>
    <row r="25692" spans="9:9" x14ac:dyDescent="0.3">
      <c r="I25692" s="101"/>
    </row>
    <row r="25693" spans="9:9" x14ac:dyDescent="0.3">
      <c r="I25693" s="101"/>
    </row>
    <row r="25694" spans="9:9" x14ac:dyDescent="0.3">
      <c r="I25694" s="101"/>
    </row>
    <row r="25695" spans="9:9" x14ac:dyDescent="0.3">
      <c r="I25695" s="101"/>
    </row>
    <row r="25696" spans="9:9" x14ac:dyDescent="0.3">
      <c r="I25696" s="101"/>
    </row>
    <row r="25697" spans="9:9" x14ac:dyDescent="0.3">
      <c r="I25697" s="101"/>
    </row>
    <row r="25698" spans="9:9" x14ac:dyDescent="0.3">
      <c r="I25698" s="101"/>
    </row>
    <row r="25699" spans="9:9" x14ac:dyDescent="0.3">
      <c r="I25699" s="101"/>
    </row>
    <row r="25700" spans="9:9" x14ac:dyDescent="0.3">
      <c r="I25700" s="101"/>
    </row>
    <row r="25701" spans="9:9" x14ac:dyDescent="0.3">
      <c r="I25701" s="101"/>
    </row>
    <row r="25702" spans="9:9" x14ac:dyDescent="0.3">
      <c r="I25702" s="101"/>
    </row>
    <row r="25703" spans="9:9" x14ac:dyDescent="0.3">
      <c r="I25703" s="101"/>
    </row>
    <row r="25704" spans="9:9" x14ac:dyDescent="0.3">
      <c r="I25704" s="101"/>
    </row>
    <row r="25705" spans="9:9" x14ac:dyDescent="0.3">
      <c r="I25705" s="101"/>
    </row>
    <row r="25706" spans="9:9" x14ac:dyDescent="0.3">
      <c r="I25706" s="101"/>
    </row>
    <row r="25707" spans="9:9" x14ac:dyDescent="0.3">
      <c r="I25707" s="101"/>
    </row>
    <row r="25708" spans="9:9" x14ac:dyDescent="0.3">
      <c r="I25708" s="101"/>
    </row>
    <row r="25709" spans="9:9" x14ac:dyDescent="0.3">
      <c r="I25709" s="101"/>
    </row>
    <row r="25710" spans="9:9" x14ac:dyDescent="0.3">
      <c r="I25710" s="101"/>
    </row>
    <row r="25711" spans="9:9" x14ac:dyDescent="0.3">
      <c r="I25711" s="101"/>
    </row>
    <row r="25712" spans="9:9" x14ac:dyDescent="0.3">
      <c r="I25712" s="101"/>
    </row>
    <row r="25713" spans="9:9" x14ac:dyDescent="0.3">
      <c r="I25713" s="101"/>
    </row>
    <row r="25714" spans="9:9" x14ac:dyDescent="0.3">
      <c r="I25714" s="101"/>
    </row>
    <row r="25715" spans="9:9" x14ac:dyDescent="0.3">
      <c r="I25715" s="101"/>
    </row>
    <row r="25716" spans="9:9" x14ac:dyDescent="0.3">
      <c r="I25716" s="101"/>
    </row>
    <row r="25717" spans="9:9" x14ac:dyDescent="0.3">
      <c r="I25717" s="101"/>
    </row>
    <row r="25718" spans="9:9" x14ac:dyDescent="0.3">
      <c r="I25718" s="101"/>
    </row>
    <row r="25719" spans="9:9" x14ac:dyDescent="0.3">
      <c r="I25719" s="101"/>
    </row>
    <row r="25720" spans="9:9" x14ac:dyDescent="0.3">
      <c r="I25720" s="101"/>
    </row>
    <row r="25721" spans="9:9" x14ac:dyDescent="0.3">
      <c r="I25721" s="101"/>
    </row>
    <row r="25722" spans="9:9" x14ac:dyDescent="0.3">
      <c r="I25722" s="101"/>
    </row>
    <row r="25723" spans="9:9" x14ac:dyDescent="0.3">
      <c r="I25723" s="101"/>
    </row>
    <row r="25724" spans="9:9" x14ac:dyDescent="0.3">
      <c r="I25724" s="101"/>
    </row>
    <row r="25725" spans="9:9" x14ac:dyDescent="0.3">
      <c r="I25725" s="101"/>
    </row>
    <row r="25726" spans="9:9" x14ac:dyDescent="0.3">
      <c r="I25726" s="101"/>
    </row>
    <row r="25727" spans="9:9" x14ac:dyDescent="0.3">
      <c r="I25727" s="101"/>
    </row>
    <row r="25728" spans="9:9" x14ac:dyDescent="0.3">
      <c r="I25728" s="101"/>
    </row>
    <row r="25729" spans="9:9" x14ac:dyDescent="0.3">
      <c r="I25729" s="101"/>
    </row>
    <row r="25730" spans="9:9" x14ac:dyDescent="0.3">
      <c r="I25730" s="101"/>
    </row>
    <row r="25731" spans="9:9" x14ac:dyDescent="0.3">
      <c r="I25731" s="101"/>
    </row>
    <row r="25732" spans="9:9" x14ac:dyDescent="0.3">
      <c r="I25732" s="101"/>
    </row>
    <row r="25733" spans="9:9" x14ac:dyDescent="0.3">
      <c r="I25733" s="101"/>
    </row>
    <row r="25734" spans="9:9" x14ac:dyDescent="0.3">
      <c r="I25734" s="101"/>
    </row>
    <row r="25735" spans="9:9" x14ac:dyDescent="0.3">
      <c r="I25735" s="101"/>
    </row>
    <row r="25736" spans="9:9" x14ac:dyDescent="0.3">
      <c r="I25736" s="101"/>
    </row>
    <row r="25737" spans="9:9" x14ac:dyDescent="0.3">
      <c r="I25737" s="101"/>
    </row>
    <row r="25738" spans="9:9" x14ac:dyDescent="0.3">
      <c r="I25738" s="101"/>
    </row>
    <row r="25739" spans="9:9" x14ac:dyDescent="0.3">
      <c r="I25739" s="101"/>
    </row>
    <row r="25740" spans="9:9" x14ac:dyDescent="0.3">
      <c r="I25740" s="101"/>
    </row>
    <row r="25741" spans="9:9" x14ac:dyDescent="0.3">
      <c r="I25741" s="101"/>
    </row>
    <row r="25742" spans="9:9" x14ac:dyDescent="0.3">
      <c r="I25742" s="101"/>
    </row>
    <row r="25743" spans="9:9" x14ac:dyDescent="0.3">
      <c r="I25743" s="101"/>
    </row>
    <row r="25744" spans="9:9" x14ac:dyDescent="0.3">
      <c r="I25744" s="101"/>
    </row>
    <row r="25745" spans="9:9" x14ac:dyDescent="0.3">
      <c r="I25745" s="101"/>
    </row>
    <row r="25746" spans="9:9" x14ac:dyDescent="0.3">
      <c r="I25746" s="101"/>
    </row>
    <row r="25747" spans="9:9" x14ac:dyDescent="0.3">
      <c r="I25747" s="101"/>
    </row>
    <row r="25748" spans="9:9" x14ac:dyDescent="0.3">
      <c r="I25748" s="101"/>
    </row>
    <row r="25749" spans="9:9" x14ac:dyDescent="0.3">
      <c r="I25749" s="101"/>
    </row>
    <row r="25750" spans="9:9" x14ac:dyDescent="0.3">
      <c r="I25750" s="101"/>
    </row>
    <row r="25751" spans="9:9" x14ac:dyDescent="0.3">
      <c r="I25751" s="101"/>
    </row>
    <row r="25752" spans="9:9" x14ac:dyDescent="0.3">
      <c r="I25752" s="101"/>
    </row>
    <row r="25753" spans="9:9" x14ac:dyDescent="0.3">
      <c r="I25753" s="101"/>
    </row>
    <row r="25754" spans="9:9" x14ac:dyDescent="0.3">
      <c r="I25754" s="101"/>
    </row>
    <row r="25755" spans="9:9" x14ac:dyDescent="0.3">
      <c r="I25755" s="101"/>
    </row>
    <row r="25756" spans="9:9" x14ac:dyDescent="0.3">
      <c r="I25756" s="101"/>
    </row>
    <row r="25757" spans="9:9" x14ac:dyDescent="0.3">
      <c r="I25757" s="101"/>
    </row>
    <row r="25758" spans="9:9" x14ac:dyDescent="0.3">
      <c r="I25758" s="101"/>
    </row>
    <row r="25759" spans="9:9" x14ac:dyDescent="0.3">
      <c r="I25759" s="101"/>
    </row>
    <row r="25760" spans="9:9" x14ac:dyDescent="0.3">
      <c r="I25760" s="101"/>
    </row>
    <row r="25761" spans="9:9" x14ac:dyDescent="0.3">
      <c r="I25761" s="101"/>
    </row>
    <row r="25762" spans="9:9" x14ac:dyDescent="0.3">
      <c r="I25762" s="101"/>
    </row>
    <row r="25763" spans="9:9" x14ac:dyDescent="0.3">
      <c r="I25763" s="101"/>
    </row>
    <row r="25764" spans="9:9" x14ac:dyDescent="0.3">
      <c r="I25764" s="101"/>
    </row>
    <row r="25765" spans="9:9" x14ac:dyDescent="0.3">
      <c r="I25765" s="101"/>
    </row>
    <row r="25766" spans="9:9" x14ac:dyDescent="0.3">
      <c r="I25766" s="101"/>
    </row>
    <row r="25767" spans="9:9" x14ac:dyDescent="0.3">
      <c r="I25767" s="101"/>
    </row>
    <row r="25768" spans="9:9" x14ac:dyDescent="0.3">
      <c r="I25768" s="101"/>
    </row>
    <row r="25769" spans="9:9" x14ac:dyDescent="0.3">
      <c r="I25769" s="101"/>
    </row>
    <row r="25770" spans="9:9" x14ac:dyDescent="0.3">
      <c r="I25770" s="101"/>
    </row>
    <row r="25771" spans="9:9" x14ac:dyDescent="0.3">
      <c r="I25771" s="101"/>
    </row>
    <row r="25772" spans="9:9" x14ac:dyDescent="0.3">
      <c r="I25772" s="101"/>
    </row>
    <row r="25773" spans="9:9" x14ac:dyDescent="0.3">
      <c r="I25773" s="101"/>
    </row>
    <row r="25774" spans="9:9" x14ac:dyDescent="0.3">
      <c r="I25774" s="101"/>
    </row>
    <row r="25775" spans="9:9" x14ac:dyDescent="0.3">
      <c r="I25775" s="101"/>
    </row>
    <row r="25776" spans="9:9" x14ac:dyDescent="0.3">
      <c r="I25776" s="101"/>
    </row>
    <row r="25777" spans="9:9" x14ac:dyDescent="0.3">
      <c r="I25777" s="101"/>
    </row>
    <row r="25778" spans="9:9" x14ac:dyDescent="0.3">
      <c r="I25778" s="101"/>
    </row>
    <row r="25779" spans="9:9" x14ac:dyDescent="0.3">
      <c r="I25779" s="101"/>
    </row>
    <row r="25780" spans="9:9" x14ac:dyDescent="0.3">
      <c r="I25780" s="101"/>
    </row>
    <row r="25781" spans="9:9" x14ac:dyDescent="0.3">
      <c r="I25781" s="101"/>
    </row>
    <row r="25782" spans="9:9" x14ac:dyDescent="0.3">
      <c r="I25782" s="101"/>
    </row>
    <row r="25783" spans="9:9" x14ac:dyDescent="0.3">
      <c r="I25783" s="101"/>
    </row>
    <row r="25784" spans="9:9" x14ac:dyDescent="0.3">
      <c r="I25784" s="101"/>
    </row>
    <row r="25785" spans="9:9" x14ac:dyDescent="0.3">
      <c r="I25785" s="101"/>
    </row>
    <row r="25786" spans="9:9" x14ac:dyDescent="0.3">
      <c r="I25786" s="101"/>
    </row>
    <row r="25787" spans="9:9" x14ac:dyDescent="0.3">
      <c r="I25787" s="101"/>
    </row>
    <row r="25788" spans="9:9" x14ac:dyDescent="0.3">
      <c r="I25788" s="101"/>
    </row>
    <row r="25789" spans="9:9" x14ac:dyDescent="0.3">
      <c r="I25789" s="101"/>
    </row>
    <row r="25790" spans="9:9" x14ac:dyDescent="0.3">
      <c r="I25790" s="101"/>
    </row>
    <row r="25791" spans="9:9" x14ac:dyDescent="0.3">
      <c r="I25791" s="101"/>
    </row>
    <row r="25792" spans="9:9" x14ac:dyDescent="0.3">
      <c r="I25792" s="101"/>
    </row>
    <row r="25793" spans="9:9" x14ac:dyDescent="0.3">
      <c r="I25793" s="101"/>
    </row>
    <row r="25794" spans="9:9" x14ac:dyDescent="0.3">
      <c r="I25794" s="101"/>
    </row>
    <row r="25795" spans="9:9" x14ac:dyDescent="0.3">
      <c r="I25795" s="101"/>
    </row>
    <row r="25796" spans="9:9" x14ac:dyDescent="0.3">
      <c r="I25796" s="101"/>
    </row>
    <row r="25797" spans="9:9" x14ac:dyDescent="0.3">
      <c r="I25797" s="101"/>
    </row>
    <row r="25798" spans="9:9" x14ac:dyDescent="0.3">
      <c r="I25798" s="101"/>
    </row>
    <row r="25799" spans="9:9" x14ac:dyDescent="0.3">
      <c r="I25799" s="101"/>
    </row>
    <row r="25800" spans="9:9" x14ac:dyDescent="0.3">
      <c r="I25800" s="101"/>
    </row>
    <row r="25801" spans="9:9" x14ac:dyDescent="0.3">
      <c r="I25801" s="101"/>
    </row>
    <row r="25802" spans="9:9" x14ac:dyDescent="0.3">
      <c r="I25802" s="101"/>
    </row>
    <row r="25803" spans="9:9" x14ac:dyDescent="0.3">
      <c r="I25803" s="101"/>
    </row>
    <row r="25804" spans="9:9" x14ac:dyDescent="0.3">
      <c r="I25804" s="101"/>
    </row>
    <row r="25805" spans="9:9" x14ac:dyDescent="0.3">
      <c r="I25805" s="101"/>
    </row>
    <row r="25806" spans="9:9" x14ac:dyDescent="0.3">
      <c r="I25806" s="101"/>
    </row>
    <row r="25807" spans="9:9" x14ac:dyDescent="0.3">
      <c r="I25807" s="101"/>
    </row>
    <row r="25808" spans="9:9" x14ac:dyDescent="0.3">
      <c r="I25808" s="101"/>
    </row>
    <row r="25809" spans="9:9" x14ac:dyDescent="0.3">
      <c r="I25809" s="101"/>
    </row>
    <row r="25810" spans="9:9" x14ac:dyDescent="0.3">
      <c r="I25810" s="101"/>
    </row>
    <row r="25811" spans="9:9" x14ac:dyDescent="0.3">
      <c r="I25811" s="101"/>
    </row>
    <row r="25812" spans="9:9" x14ac:dyDescent="0.3">
      <c r="I25812" s="101"/>
    </row>
    <row r="25813" spans="9:9" x14ac:dyDescent="0.3">
      <c r="I25813" s="101"/>
    </row>
    <row r="25814" spans="9:9" x14ac:dyDescent="0.3">
      <c r="I25814" s="101"/>
    </row>
    <row r="25815" spans="9:9" x14ac:dyDescent="0.3">
      <c r="I25815" s="101"/>
    </row>
    <row r="25816" spans="9:9" x14ac:dyDescent="0.3">
      <c r="I25816" s="101"/>
    </row>
    <row r="25817" spans="9:9" x14ac:dyDescent="0.3">
      <c r="I25817" s="101"/>
    </row>
    <row r="25818" spans="9:9" x14ac:dyDescent="0.3">
      <c r="I25818" s="101"/>
    </row>
    <row r="25819" spans="9:9" x14ac:dyDescent="0.3">
      <c r="I25819" s="101"/>
    </row>
    <row r="25820" spans="9:9" x14ac:dyDescent="0.3">
      <c r="I25820" s="101"/>
    </row>
    <row r="25821" spans="9:9" x14ac:dyDescent="0.3">
      <c r="I25821" s="101"/>
    </row>
    <row r="25822" spans="9:9" x14ac:dyDescent="0.3">
      <c r="I25822" s="101"/>
    </row>
    <row r="25823" spans="9:9" x14ac:dyDescent="0.3">
      <c r="I25823" s="101"/>
    </row>
    <row r="25824" spans="9:9" x14ac:dyDescent="0.3">
      <c r="I25824" s="101"/>
    </row>
    <row r="25825" spans="9:9" x14ac:dyDescent="0.3">
      <c r="I25825" s="101"/>
    </row>
    <row r="25826" spans="9:9" x14ac:dyDescent="0.3">
      <c r="I25826" s="101"/>
    </row>
    <row r="25827" spans="9:9" x14ac:dyDescent="0.3">
      <c r="I25827" s="101"/>
    </row>
    <row r="25828" spans="9:9" x14ac:dyDescent="0.3">
      <c r="I25828" s="101"/>
    </row>
    <row r="25829" spans="9:9" x14ac:dyDescent="0.3">
      <c r="I25829" s="101"/>
    </row>
    <row r="25830" spans="9:9" x14ac:dyDescent="0.3">
      <c r="I25830" s="101"/>
    </row>
    <row r="25831" spans="9:9" x14ac:dyDescent="0.3">
      <c r="I25831" s="101"/>
    </row>
    <row r="25832" spans="9:9" x14ac:dyDescent="0.3">
      <c r="I25832" s="101"/>
    </row>
    <row r="25833" spans="9:9" x14ac:dyDescent="0.3">
      <c r="I25833" s="101"/>
    </row>
    <row r="25834" spans="9:9" x14ac:dyDescent="0.3">
      <c r="I25834" s="101"/>
    </row>
    <row r="25835" spans="9:9" x14ac:dyDescent="0.3">
      <c r="I25835" s="101"/>
    </row>
    <row r="25836" spans="9:9" x14ac:dyDescent="0.3">
      <c r="I25836" s="101"/>
    </row>
    <row r="25837" spans="9:9" x14ac:dyDescent="0.3">
      <c r="I25837" s="101"/>
    </row>
    <row r="25838" spans="9:9" x14ac:dyDescent="0.3">
      <c r="I25838" s="101"/>
    </row>
    <row r="25839" spans="9:9" x14ac:dyDescent="0.3">
      <c r="I25839" s="101"/>
    </row>
    <row r="25840" spans="9:9" x14ac:dyDescent="0.3">
      <c r="I25840" s="101"/>
    </row>
    <row r="25841" spans="9:9" x14ac:dyDescent="0.3">
      <c r="I25841" s="101"/>
    </row>
    <row r="25842" spans="9:9" x14ac:dyDescent="0.3">
      <c r="I25842" s="101"/>
    </row>
    <row r="25843" spans="9:9" x14ac:dyDescent="0.3">
      <c r="I25843" s="101"/>
    </row>
    <row r="25844" spans="9:9" x14ac:dyDescent="0.3">
      <c r="I25844" s="101"/>
    </row>
    <row r="25845" spans="9:9" x14ac:dyDescent="0.3">
      <c r="I25845" s="101"/>
    </row>
    <row r="25846" spans="9:9" x14ac:dyDescent="0.3">
      <c r="I25846" s="101"/>
    </row>
    <row r="25847" spans="9:9" x14ac:dyDescent="0.3">
      <c r="I25847" s="101"/>
    </row>
    <row r="25848" spans="9:9" x14ac:dyDescent="0.3">
      <c r="I25848" s="101"/>
    </row>
    <row r="25849" spans="9:9" x14ac:dyDescent="0.3">
      <c r="I25849" s="101"/>
    </row>
    <row r="25850" spans="9:9" x14ac:dyDescent="0.3">
      <c r="I25850" s="101"/>
    </row>
    <row r="25851" spans="9:9" x14ac:dyDescent="0.3">
      <c r="I25851" s="101"/>
    </row>
    <row r="25852" spans="9:9" x14ac:dyDescent="0.3">
      <c r="I25852" s="101"/>
    </row>
    <row r="25853" spans="9:9" x14ac:dyDescent="0.3">
      <c r="I25853" s="101"/>
    </row>
    <row r="25854" spans="9:9" x14ac:dyDescent="0.3">
      <c r="I25854" s="101"/>
    </row>
    <row r="25855" spans="9:9" x14ac:dyDescent="0.3">
      <c r="I25855" s="101"/>
    </row>
    <row r="25856" spans="9:9" x14ac:dyDescent="0.3">
      <c r="I25856" s="101"/>
    </row>
    <row r="25857" spans="9:9" x14ac:dyDescent="0.3">
      <c r="I25857" s="101"/>
    </row>
    <row r="25858" spans="9:9" x14ac:dyDescent="0.3">
      <c r="I25858" s="101"/>
    </row>
    <row r="25859" spans="9:9" x14ac:dyDescent="0.3">
      <c r="I25859" s="101"/>
    </row>
    <row r="25860" spans="9:9" x14ac:dyDescent="0.3">
      <c r="I25860" s="101"/>
    </row>
    <row r="25861" spans="9:9" x14ac:dyDescent="0.3">
      <c r="I25861" s="101"/>
    </row>
    <row r="25862" spans="9:9" x14ac:dyDescent="0.3">
      <c r="I25862" s="101"/>
    </row>
    <row r="25863" spans="9:9" x14ac:dyDescent="0.3">
      <c r="I25863" s="101"/>
    </row>
    <row r="25864" spans="9:9" x14ac:dyDescent="0.3">
      <c r="I25864" s="101"/>
    </row>
    <row r="25865" spans="9:9" x14ac:dyDescent="0.3">
      <c r="I25865" s="101"/>
    </row>
    <row r="25866" spans="9:9" x14ac:dyDescent="0.3">
      <c r="I25866" s="101"/>
    </row>
    <row r="25867" spans="9:9" x14ac:dyDescent="0.3">
      <c r="I25867" s="101"/>
    </row>
    <row r="25868" spans="9:9" x14ac:dyDescent="0.3">
      <c r="I25868" s="101"/>
    </row>
    <row r="25869" spans="9:9" x14ac:dyDescent="0.3">
      <c r="I25869" s="101"/>
    </row>
    <row r="25870" spans="9:9" x14ac:dyDescent="0.3">
      <c r="I25870" s="101"/>
    </row>
    <row r="25871" spans="9:9" x14ac:dyDescent="0.3">
      <c r="I25871" s="101"/>
    </row>
    <row r="25872" spans="9:9" x14ac:dyDescent="0.3">
      <c r="I25872" s="101"/>
    </row>
    <row r="25873" spans="9:9" x14ac:dyDescent="0.3">
      <c r="I25873" s="101"/>
    </row>
    <row r="25874" spans="9:9" x14ac:dyDescent="0.3">
      <c r="I25874" s="101"/>
    </row>
    <row r="25875" spans="9:9" x14ac:dyDescent="0.3">
      <c r="I25875" s="101"/>
    </row>
    <row r="25876" spans="9:9" x14ac:dyDescent="0.3">
      <c r="I25876" s="101"/>
    </row>
    <row r="25877" spans="9:9" x14ac:dyDescent="0.3">
      <c r="I25877" s="101"/>
    </row>
    <row r="25878" spans="9:9" x14ac:dyDescent="0.3">
      <c r="I25878" s="101"/>
    </row>
    <row r="25879" spans="9:9" x14ac:dyDescent="0.3">
      <c r="I25879" s="101"/>
    </row>
    <row r="25880" spans="9:9" x14ac:dyDescent="0.3">
      <c r="I25880" s="101"/>
    </row>
    <row r="25881" spans="9:9" x14ac:dyDescent="0.3">
      <c r="I25881" s="101"/>
    </row>
    <row r="25882" spans="9:9" x14ac:dyDescent="0.3">
      <c r="I25882" s="101"/>
    </row>
    <row r="25883" spans="9:9" x14ac:dyDescent="0.3">
      <c r="I25883" s="101"/>
    </row>
    <row r="25884" spans="9:9" x14ac:dyDescent="0.3">
      <c r="I25884" s="101"/>
    </row>
    <row r="25885" spans="9:9" x14ac:dyDescent="0.3">
      <c r="I25885" s="101"/>
    </row>
    <row r="25886" spans="9:9" x14ac:dyDescent="0.3">
      <c r="I25886" s="101"/>
    </row>
    <row r="25887" spans="9:9" x14ac:dyDescent="0.3">
      <c r="I25887" s="101"/>
    </row>
    <row r="25888" spans="9:9" x14ac:dyDescent="0.3">
      <c r="I25888" s="101"/>
    </row>
    <row r="25889" spans="9:9" x14ac:dyDescent="0.3">
      <c r="I25889" s="101"/>
    </row>
    <row r="25890" spans="9:9" x14ac:dyDescent="0.3">
      <c r="I25890" s="101"/>
    </row>
    <row r="25891" spans="9:9" x14ac:dyDescent="0.3">
      <c r="I25891" s="101"/>
    </row>
    <row r="25892" spans="9:9" x14ac:dyDescent="0.3">
      <c r="I25892" s="101"/>
    </row>
    <row r="25893" spans="9:9" x14ac:dyDescent="0.3">
      <c r="I25893" s="101"/>
    </row>
    <row r="25894" spans="9:9" x14ac:dyDescent="0.3">
      <c r="I25894" s="101"/>
    </row>
    <row r="25895" spans="9:9" x14ac:dyDescent="0.3">
      <c r="I25895" s="101"/>
    </row>
    <row r="25896" spans="9:9" x14ac:dyDescent="0.3">
      <c r="I25896" s="101"/>
    </row>
    <row r="25897" spans="9:9" x14ac:dyDescent="0.3">
      <c r="I25897" s="101"/>
    </row>
    <row r="25898" spans="9:9" x14ac:dyDescent="0.3">
      <c r="I25898" s="101"/>
    </row>
    <row r="25899" spans="9:9" x14ac:dyDescent="0.3">
      <c r="I25899" s="101"/>
    </row>
    <row r="25900" spans="9:9" x14ac:dyDescent="0.3">
      <c r="I25900" s="101"/>
    </row>
    <row r="25901" spans="9:9" x14ac:dyDescent="0.3">
      <c r="I25901" s="101"/>
    </row>
    <row r="25902" spans="9:9" x14ac:dyDescent="0.3">
      <c r="I25902" s="101"/>
    </row>
    <row r="25903" spans="9:9" x14ac:dyDescent="0.3">
      <c r="I25903" s="101"/>
    </row>
    <row r="25904" spans="9:9" x14ac:dyDescent="0.3">
      <c r="I25904" s="101"/>
    </row>
    <row r="25905" spans="9:9" x14ac:dyDescent="0.3">
      <c r="I25905" s="101"/>
    </row>
    <row r="25906" spans="9:9" x14ac:dyDescent="0.3">
      <c r="I25906" s="101"/>
    </row>
    <row r="25907" spans="9:9" x14ac:dyDescent="0.3">
      <c r="I25907" s="101"/>
    </row>
    <row r="25908" spans="9:9" x14ac:dyDescent="0.3">
      <c r="I25908" s="101"/>
    </row>
    <row r="25909" spans="9:9" x14ac:dyDescent="0.3">
      <c r="I25909" s="101"/>
    </row>
    <row r="25910" spans="9:9" x14ac:dyDescent="0.3">
      <c r="I25910" s="101"/>
    </row>
    <row r="25911" spans="9:9" x14ac:dyDescent="0.3">
      <c r="I25911" s="101"/>
    </row>
    <row r="25912" spans="9:9" x14ac:dyDescent="0.3">
      <c r="I25912" s="101"/>
    </row>
    <row r="25913" spans="9:9" x14ac:dyDescent="0.3">
      <c r="I25913" s="101"/>
    </row>
    <row r="25914" spans="9:9" x14ac:dyDescent="0.3">
      <c r="I25914" s="101"/>
    </row>
    <row r="25915" spans="9:9" x14ac:dyDescent="0.3">
      <c r="I25915" s="101"/>
    </row>
    <row r="25916" spans="9:9" x14ac:dyDescent="0.3">
      <c r="I25916" s="101"/>
    </row>
    <row r="25917" spans="9:9" x14ac:dyDescent="0.3">
      <c r="I25917" s="101"/>
    </row>
    <row r="25918" spans="9:9" x14ac:dyDescent="0.3">
      <c r="I25918" s="101"/>
    </row>
    <row r="25919" spans="9:9" x14ac:dyDescent="0.3">
      <c r="I25919" s="101"/>
    </row>
    <row r="25920" spans="9:9" x14ac:dyDescent="0.3">
      <c r="I25920" s="101"/>
    </row>
    <row r="25921" spans="9:9" x14ac:dyDescent="0.3">
      <c r="I25921" s="101"/>
    </row>
    <row r="25922" spans="9:9" x14ac:dyDescent="0.3">
      <c r="I25922" s="101"/>
    </row>
    <row r="25923" spans="9:9" x14ac:dyDescent="0.3">
      <c r="I25923" s="101"/>
    </row>
    <row r="25924" spans="9:9" x14ac:dyDescent="0.3">
      <c r="I25924" s="101"/>
    </row>
    <row r="25925" spans="9:9" x14ac:dyDescent="0.3">
      <c r="I25925" s="101"/>
    </row>
    <row r="25926" spans="9:9" x14ac:dyDescent="0.3">
      <c r="I25926" s="101"/>
    </row>
    <row r="25927" spans="9:9" x14ac:dyDescent="0.3">
      <c r="I25927" s="101"/>
    </row>
    <row r="25928" spans="9:9" x14ac:dyDescent="0.3">
      <c r="I25928" s="101"/>
    </row>
    <row r="25929" spans="9:9" x14ac:dyDescent="0.3">
      <c r="I25929" s="101"/>
    </row>
    <row r="25930" spans="9:9" x14ac:dyDescent="0.3">
      <c r="I25930" s="101"/>
    </row>
    <row r="25931" spans="9:9" x14ac:dyDescent="0.3">
      <c r="I25931" s="101"/>
    </row>
    <row r="25932" spans="9:9" x14ac:dyDescent="0.3">
      <c r="I25932" s="101"/>
    </row>
    <row r="25933" spans="9:9" x14ac:dyDescent="0.3">
      <c r="I25933" s="101"/>
    </row>
    <row r="25934" spans="9:9" x14ac:dyDescent="0.3">
      <c r="I25934" s="101"/>
    </row>
    <row r="25935" spans="9:9" x14ac:dyDescent="0.3">
      <c r="I25935" s="101"/>
    </row>
    <row r="25936" spans="9:9" x14ac:dyDescent="0.3">
      <c r="I25936" s="101"/>
    </row>
    <row r="25937" spans="9:9" x14ac:dyDescent="0.3">
      <c r="I25937" s="101"/>
    </row>
    <row r="25938" spans="9:9" x14ac:dyDescent="0.3">
      <c r="I25938" s="101"/>
    </row>
    <row r="25939" spans="9:9" x14ac:dyDescent="0.3">
      <c r="I25939" s="101"/>
    </row>
    <row r="25940" spans="9:9" x14ac:dyDescent="0.3">
      <c r="I25940" s="101"/>
    </row>
    <row r="25941" spans="9:9" x14ac:dyDescent="0.3">
      <c r="I25941" s="101"/>
    </row>
    <row r="25942" spans="9:9" x14ac:dyDescent="0.3">
      <c r="I25942" s="101"/>
    </row>
    <row r="25943" spans="9:9" x14ac:dyDescent="0.3">
      <c r="I25943" s="101"/>
    </row>
    <row r="25944" spans="9:9" x14ac:dyDescent="0.3">
      <c r="I25944" s="101"/>
    </row>
    <row r="25945" spans="9:9" x14ac:dyDescent="0.3">
      <c r="I25945" s="101"/>
    </row>
    <row r="25946" spans="9:9" x14ac:dyDescent="0.3">
      <c r="I25946" s="101"/>
    </row>
    <row r="25947" spans="9:9" x14ac:dyDescent="0.3">
      <c r="I25947" s="101"/>
    </row>
    <row r="25948" spans="9:9" x14ac:dyDescent="0.3">
      <c r="I25948" s="101"/>
    </row>
    <row r="25949" spans="9:9" x14ac:dyDescent="0.3">
      <c r="I25949" s="101"/>
    </row>
    <row r="25950" spans="9:9" x14ac:dyDescent="0.3">
      <c r="I25950" s="101"/>
    </row>
    <row r="25951" spans="9:9" x14ac:dyDescent="0.3">
      <c r="I25951" s="101"/>
    </row>
    <row r="25952" spans="9:9" x14ac:dyDescent="0.3">
      <c r="I25952" s="101"/>
    </row>
    <row r="25953" spans="9:9" x14ac:dyDescent="0.3">
      <c r="I25953" s="101"/>
    </row>
    <row r="25954" spans="9:9" x14ac:dyDescent="0.3">
      <c r="I25954" s="101"/>
    </row>
    <row r="25955" spans="9:9" x14ac:dyDescent="0.3">
      <c r="I25955" s="101"/>
    </row>
    <row r="25956" spans="9:9" x14ac:dyDescent="0.3">
      <c r="I25956" s="101"/>
    </row>
    <row r="25957" spans="9:9" x14ac:dyDescent="0.3">
      <c r="I25957" s="101"/>
    </row>
    <row r="25958" spans="9:9" x14ac:dyDescent="0.3">
      <c r="I25958" s="101"/>
    </row>
    <row r="25959" spans="9:9" x14ac:dyDescent="0.3">
      <c r="I25959" s="101"/>
    </row>
    <row r="25960" spans="9:9" x14ac:dyDescent="0.3">
      <c r="I25960" s="101"/>
    </row>
    <row r="25961" spans="9:9" x14ac:dyDescent="0.3">
      <c r="I25961" s="101"/>
    </row>
    <row r="25962" spans="9:9" x14ac:dyDescent="0.3">
      <c r="I25962" s="101"/>
    </row>
    <row r="25963" spans="9:9" x14ac:dyDescent="0.3">
      <c r="I25963" s="101"/>
    </row>
    <row r="25964" spans="9:9" x14ac:dyDescent="0.3">
      <c r="I25964" s="101"/>
    </row>
    <row r="25965" spans="9:9" x14ac:dyDescent="0.3">
      <c r="I25965" s="101"/>
    </row>
    <row r="25966" spans="9:9" x14ac:dyDescent="0.3">
      <c r="I25966" s="101"/>
    </row>
    <row r="25967" spans="9:9" x14ac:dyDescent="0.3">
      <c r="I25967" s="101"/>
    </row>
    <row r="25968" spans="9:9" x14ac:dyDescent="0.3">
      <c r="I25968" s="101"/>
    </row>
    <row r="25969" spans="9:9" x14ac:dyDescent="0.3">
      <c r="I25969" s="101"/>
    </row>
    <row r="25970" spans="9:9" x14ac:dyDescent="0.3">
      <c r="I25970" s="101"/>
    </row>
    <row r="25971" spans="9:9" x14ac:dyDescent="0.3">
      <c r="I25971" s="101"/>
    </row>
    <row r="25972" spans="9:9" x14ac:dyDescent="0.3">
      <c r="I25972" s="101"/>
    </row>
    <row r="25973" spans="9:9" x14ac:dyDescent="0.3">
      <c r="I25973" s="101"/>
    </row>
    <row r="25974" spans="9:9" x14ac:dyDescent="0.3">
      <c r="I25974" s="101"/>
    </row>
    <row r="25975" spans="9:9" x14ac:dyDescent="0.3">
      <c r="I25975" s="101"/>
    </row>
    <row r="25976" spans="9:9" x14ac:dyDescent="0.3">
      <c r="I25976" s="101"/>
    </row>
    <row r="25977" spans="9:9" x14ac:dyDescent="0.3">
      <c r="I25977" s="101"/>
    </row>
    <row r="25978" spans="9:9" x14ac:dyDescent="0.3">
      <c r="I25978" s="101"/>
    </row>
    <row r="25979" spans="9:9" x14ac:dyDescent="0.3">
      <c r="I25979" s="101"/>
    </row>
    <row r="25980" spans="9:9" x14ac:dyDescent="0.3">
      <c r="I25980" s="101"/>
    </row>
    <row r="25981" spans="9:9" x14ac:dyDescent="0.3">
      <c r="I25981" s="101"/>
    </row>
    <row r="25982" spans="9:9" x14ac:dyDescent="0.3">
      <c r="I25982" s="101"/>
    </row>
    <row r="25983" spans="9:9" x14ac:dyDescent="0.3">
      <c r="I25983" s="101"/>
    </row>
    <row r="25984" spans="9:9" x14ac:dyDescent="0.3">
      <c r="I25984" s="101"/>
    </row>
    <row r="25985" spans="9:9" x14ac:dyDescent="0.3">
      <c r="I25985" s="101"/>
    </row>
    <row r="25986" spans="9:9" x14ac:dyDescent="0.3">
      <c r="I25986" s="101"/>
    </row>
    <row r="25987" spans="9:9" x14ac:dyDescent="0.3">
      <c r="I25987" s="101"/>
    </row>
    <row r="25988" spans="9:9" x14ac:dyDescent="0.3">
      <c r="I25988" s="101"/>
    </row>
    <row r="25989" spans="9:9" x14ac:dyDescent="0.3">
      <c r="I25989" s="101"/>
    </row>
    <row r="25990" spans="9:9" x14ac:dyDescent="0.3">
      <c r="I25990" s="101"/>
    </row>
    <row r="25991" spans="9:9" x14ac:dyDescent="0.3">
      <c r="I25991" s="101"/>
    </row>
    <row r="25992" spans="9:9" x14ac:dyDescent="0.3">
      <c r="I25992" s="101"/>
    </row>
    <row r="25993" spans="9:9" x14ac:dyDescent="0.3">
      <c r="I25993" s="101"/>
    </row>
    <row r="25994" spans="9:9" x14ac:dyDescent="0.3">
      <c r="I25994" s="101"/>
    </row>
    <row r="25995" spans="9:9" x14ac:dyDescent="0.3">
      <c r="I25995" s="101"/>
    </row>
    <row r="25996" spans="9:9" x14ac:dyDescent="0.3">
      <c r="I25996" s="101"/>
    </row>
    <row r="25997" spans="9:9" x14ac:dyDescent="0.3">
      <c r="I25997" s="101"/>
    </row>
    <row r="25998" spans="9:9" x14ac:dyDescent="0.3">
      <c r="I25998" s="101"/>
    </row>
    <row r="25999" spans="9:9" x14ac:dyDescent="0.3">
      <c r="I25999" s="101"/>
    </row>
    <row r="26000" spans="9:9" x14ac:dyDescent="0.3">
      <c r="I26000" s="101"/>
    </row>
    <row r="26001" spans="9:9" x14ac:dyDescent="0.3">
      <c r="I26001" s="101"/>
    </row>
    <row r="26002" spans="9:9" x14ac:dyDescent="0.3">
      <c r="I26002" s="101"/>
    </row>
    <row r="26003" spans="9:9" x14ac:dyDescent="0.3">
      <c r="I26003" s="101"/>
    </row>
    <row r="26004" spans="9:9" x14ac:dyDescent="0.3">
      <c r="I26004" s="101"/>
    </row>
    <row r="26005" spans="9:9" x14ac:dyDescent="0.3">
      <c r="I26005" s="101"/>
    </row>
    <row r="26006" spans="9:9" x14ac:dyDescent="0.3">
      <c r="I26006" s="101"/>
    </row>
    <row r="26007" spans="9:9" x14ac:dyDescent="0.3">
      <c r="I26007" s="101"/>
    </row>
    <row r="26008" spans="9:9" x14ac:dyDescent="0.3">
      <c r="I26008" s="101"/>
    </row>
    <row r="26009" spans="9:9" x14ac:dyDescent="0.3">
      <c r="I26009" s="101"/>
    </row>
    <row r="26010" spans="9:9" x14ac:dyDescent="0.3">
      <c r="I26010" s="101"/>
    </row>
    <row r="26011" spans="9:9" x14ac:dyDescent="0.3">
      <c r="I26011" s="101"/>
    </row>
    <row r="26012" spans="9:9" x14ac:dyDescent="0.3">
      <c r="I26012" s="101"/>
    </row>
    <row r="26013" spans="9:9" x14ac:dyDescent="0.3">
      <c r="I26013" s="101"/>
    </row>
    <row r="26014" spans="9:9" x14ac:dyDescent="0.3">
      <c r="I26014" s="101"/>
    </row>
    <row r="26015" spans="9:9" x14ac:dyDescent="0.3">
      <c r="I26015" s="101"/>
    </row>
    <row r="26016" spans="9:9" x14ac:dyDescent="0.3">
      <c r="I26016" s="101"/>
    </row>
    <row r="26017" spans="9:9" x14ac:dyDescent="0.3">
      <c r="I26017" s="101"/>
    </row>
    <row r="26018" spans="9:9" x14ac:dyDescent="0.3">
      <c r="I26018" s="101"/>
    </row>
    <row r="26019" spans="9:9" x14ac:dyDescent="0.3">
      <c r="I26019" s="101"/>
    </row>
    <row r="26020" spans="9:9" x14ac:dyDescent="0.3">
      <c r="I26020" s="101"/>
    </row>
    <row r="26021" spans="9:9" x14ac:dyDescent="0.3">
      <c r="I26021" s="101"/>
    </row>
    <row r="26022" spans="9:9" x14ac:dyDescent="0.3">
      <c r="I26022" s="101"/>
    </row>
    <row r="26023" spans="9:9" x14ac:dyDescent="0.3">
      <c r="I26023" s="101"/>
    </row>
    <row r="26024" spans="9:9" x14ac:dyDescent="0.3">
      <c r="I26024" s="101"/>
    </row>
    <row r="26025" spans="9:9" x14ac:dyDescent="0.3">
      <c r="I26025" s="101"/>
    </row>
    <row r="26026" spans="9:9" x14ac:dyDescent="0.3">
      <c r="I26026" s="101"/>
    </row>
    <row r="26027" spans="9:9" x14ac:dyDescent="0.3">
      <c r="I26027" s="101"/>
    </row>
    <row r="26028" spans="9:9" x14ac:dyDescent="0.3">
      <c r="I26028" s="101"/>
    </row>
    <row r="26029" spans="9:9" x14ac:dyDescent="0.3">
      <c r="I26029" s="101"/>
    </row>
    <row r="26030" spans="9:9" x14ac:dyDescent="0.3">
      <c r="I26030" s="101"/>
    </row>
    <row r="26031" spans="9:9" x14ac:dyDescent="0.3">
      <c r="I26031" s="101"/>
    </row>
    <row r="26032" spans="9:9" x14ac:dyDescent="0.3">
      <c r="I26032" s="101"/>
    </row>
    <row r="26033" spans="9:9" x14ac:dyDescent="0.3">
      <c r="I26033" s="101"/>
    </row>
    <row r="26034" spans="9:9" x14ac:dyDescent="0.3">
      <c r="I26034" s="101"/>
    </row>
    <row r="26035" spans="9:9" x14ac:dyDescent="0.3">
      <c r="I26035" s="101"/>
    </row>
    <row r="26036" spans="9:9" x14ac:dyDescent="0.3">
      <c r="I26036" s="101"/>
    </row>
    <row r="26037" spans="9:9" x14ac:dyDescent="0.3">
      <c r="I26037" s="101"/>
    </row>
    <row r="26038" spans="9:9" x14ac:dyDescent="0.3">
      <c r="I26038" s="101"/>
    </row>
    <row r="26039" spans="9:9" x14ac:dyDescent="0.3">
      <c r="I26039" s="101"/>
    </row>
    <row r="26040" spans="9:9" x14ac:dyDescent="0.3">
      <c r="I26040" s="101"/>
    </row>
    <row r="26041" spans="9:9" x14ac:dyDescent="0.3">
      <c r="I26041" s="101"/>
    </row>
    <row r="26042" spans="9:9" x14ac:dyDescent="0.3">
      <c r="I26042" s="101"/>
    </row>
    <row r="26043" spans="9:9" x14ac:dyDescent="0.3">
      <c r="I26043" s="101"/>
    </row>
    <row r="26044" spans="9:9" x14ac:dyDescent="0.3">
      <c r="I26044" s="101"/>
    </row>
    <row r="26045" spans="9:9" x14ac:dyDescent="0.3">
      <c r="I26045" s="101"/>
    </row>
    <row r="26046" spans="9:9" x14ac:dyDescent="0.3">
      <c r="I26046" s="101"/>
    </row>
    <row r="26047" spans="9:9" x14ac:dyDescent="0.3">
      <c r="I26047" s="101"/>
    </row>
    <row r="26048" spans="9:9" x14ac:dyDescent="0.3">
      <c r="I26048" s="101"/>
    </row>
    <row r="26049" spans="9:9" x14ac:dyDescent="0.3">
      <c r="I26049" s="101"/>
    </row>
    <row r="26050" spans="9:9" x14ac:dyDescent="0.3">
      <c r="I26050" s="101"/>
    </row>
    <row r="26051" spans="9:9" x14ac:dyDescent="0.3">
      <c r="I26051" s="101"/>
    </row>
    <row r="26052" spans="9:9" x14ac:dyDescent="0.3">
      <c r="I26052" s="101"/>
    </row>
    <row r="26053" spans="9:9" x14ac:dyDescent="0.3">
      <c r="I26053" s="101"/>
    </row>
    <row r="26054" spans="9:9" x14ac:dyDescent="0.3">
      <c r="I26054" s="101"/>
    </row>
    <row r="26055" spans="9:9" x14ac:dyDescent="0.3">
      <c r="I26055" s="101"/>
    </row>
    <row r="26056" spans="9:9" x14ac:dyDescent="0.3">
      <c r="I26056" s="101"/>
    </row>
    <row r="26057" spans="9:9" x14ac:dyDescent="0.3">
      <c r="I26057" s="101"/>
    </row>
    <row r="26058" spans="9:9" x14ac:dyDescent="0.3">
      <c r="I26058" s="101"/>
    </row>
    <row r="26059" spans="9:9" x14ac:dyDescent="0.3">
      <c r="I26059" s="101"/>
    </row>
    <row r="26060" spans="9:9" x14ac:dyDescent="0.3">
      <c r="I26060" s="101"/>
    </row>
    <row r="26061" spans="9:9" x14ac:dyDescent="0.3">
      <c r="I26061" s="101"/>
    </row>
    <row r="26062" spans="9:9" x14ac:dyDescent="0.3">
      <c r="I26062" s="101"/>
    </row>
    <row r="26063" spans="9:9" x14ac:dyDescent="0.3">
      <c r="I26063" s="101"/>
    </row>
    <row r="26064" spans="9:9" x14ac:dyDescent="0.3">
      <c r="I26064" s="101"/>
    </row>
    <row r="26065" spans="9:9" x14ac:dyDescent="0.3">
      <c r="I26065" s="101"/>
    </row>
    <row r="26066" spans="9:9" x14ac:dyDescent="0.3">
      <c r="I26066" s="101"/>
    </row>
    <row r="26067" spans="9:9" x14ac:dyDescent="0.3">
      <c r="I26067" s="101"/>
    </row>
    <row r="26068" spans="9:9" x14ac:dyDescent="0.3">
      <c r="I26068" s="101"/>
    </row>
    <row r="26069" spans="9:9" x14ac:dyDescent="0.3">
      <c r="I26069" s="101"/>
    </row>
    <row r="26070" spans="9:9" x14ac:dyDescent="0.3">
      <c r="I26070" s="101"/>
    </row>
    <row r="26071" spans="9:9" x14ac:dyDescent="0.3">
      <c r="I26071" s="101"/>
    </row>
    <row r="26072" spans="9:9" x14ac:dyDescent="0.3">
      <c r="I26072" s="101"/>
    </row>
    <row r="26073" spans="9:9" x14ac:dyDescent="0.3">
      <c r="I26073" s="101"/>
    </row>
    <row r="26074" spans="9:9" x14ac:dyDescent="0.3">
      <c r="I26074" s="101"/>
    </row>
    <row r="26075" spans="9:9" x14ac:dyDescent="0.3">
      <c r="I26075" s="101"/>
    </row>
    <row r="26076" spans="9:9" x14ac:dyDescent="0.3">
      <c r="I26076" s="101"/>
    </row>
    <row r="26077" spans="9:9" x14ac:dyDescent="0.3">
      <c r="I26077" s="101"/>
    </row>
    <row r="26078" spans="9:9" x14ac:dyDescent="0.3">
      <c r="I26078" s="101"/>
    </row>
    <row r="26079" spans="9:9" x14ac:dyDescent="0.3">
      <c r="I26079" s="101"/>
    </row>
    <row r="26080" spans="9:9" x14ac:dyDescent="0.3">
      <c r="I26080" s="101"/>
    </row>
    <row r="26081" spans="9:9" x14ac:dyDescent="0.3">
      <c r="I26081" s="101"/>
    </row>
    <row r="26082" spans="9:9" x14ac:dyDescent="0.3">
      <c r="I26082" s="101"/>
    </row>
    <row r="26083" spans="9:9" x14ac:dyDescent="0.3">
      <c r="I26083" s="101"/>
    </row>
    <row r="26084" spans="9:9" x14ac:dyDescent="0.3">
      <c r="I26084" s="101"/>
    </row>
    <row r="26085" spans="9:9" x14ac:dyDescent="0.3">
      <c r="I26085" s="101"/>
    </row>
    <row r="26086" spans="9:9" x14ac:dyDescent="0.3">
      <c r="I26086" s="101"/>
    </row>
    <row r="26087" spans="9:9" x14ac:dyDescent="0.3">
      <c r="I26087" s="101"/>
    </row>
    <row r="26088" spans="9:9" x14ac:dyDescent="0.3">
      <c r="I26088" s="101"/>
    </row>
    <row r="26089" spans="9:9" x14ac:dyDescent="0.3">
      <c r="I26089" s="101"/>
    </row>
    <row r="26090" spans="9:9" x14ac:dyDescent="0.3">
      <c r="I26090" s="101"/>
    </row>
    <row r="26091" spans="9:9" x14ac:dyDescent="0.3">
      <c r="I26091" s="101"/>
    </row>
    <row r="26092" spans="9:9" x14ac:dyDescent="0.3">
      <c r="I26092" s="101"/>
    </row>
    <row r="26093" spans="9:9" x14ac:dyDescent="0.3">
      <c r="I26093" s="101"/>
    </row>
    <row r="26094" spans="9:9" x14ac:dyDescent="0.3">
      <c r="I26094" s="101"/>
    </row>
    <row r="26095" spans="9:9" x14ac:dyDescent="0.3">
      <c r="I26095" s="101"/>
    </row>
    <row r="26096" spans="9:9" x14ac:dyDescent="0.3">
      <c r="I26096" s="101"/>
    </row>
    <row r="26097" spans="9:9" x14ac:dyDescent="0.3">
      <c r="I26097" s="101"/>
    </row>
    <row r="26098" spans="9:9" x14ac:dyDescent="0.3">
      <c r="I26098" s="101"/>
    </row>
    <row r="26099" spans="9:9" x14ac:dyDescent="0.3">
      <c r="I26099" s="101"/>
    </row>
    <row r="26100" spans="9:9" x14ac:dyDescent="0.3">
      <c r="I26100" s="101"/>
    </row>
    <row r="26101" spans="9:9" x14ac:dyDescent="0.3">
      <c r="I26101" s="101"/>
    </row>
    <row r="26102" spans="9:9" x14ac:dyDescent="0.3">
      <c r="I26102" s="101"/>
    </row>
    <row r="26103" spans="9:9" x14ac:dyDescent="0.3">
      <c r="I26103" s="101"/>
    </row>
    <row r="26104" spans="9:9" x14ac:dyDescent="0.3">
      <c r="I26104" s="101"/>
    </row>
    <row r="26105" spans="9:9" x14ac:dyDescent="0.3">
      <c r="I26105" s="101"/>
    </row>
    <row r="26106" spans="9:9" x14ac:dyDescent="0.3">
      <c r="I26106" s="101"/>
    </row>
    <row r="26107" spans="9:9" x14ac:dyDescent="0.3">
      <c r="I26107" s="101"/>
    </row>
    <row r="26108" spans="9:9" x14ac:dyDescent="0.3">
      <c r="I26108" s="101"/>
    </row>
    <row r="26109" spans="9:9" x14ac:dyDescent="0.3">
      <c r="I26109" s="101"/>
    </row>
    <row r="26110" spans="9:9" x14ac:dyDescent="0.3">
      <c r="I26110" s="101"/>
    </row>
    <row r="26111" spans="9:9" x14ac:dyDescent="0.3">
      <c r="I26111" s="101"/>
    </row>
    <row r="26112" spans="9:9" x14ac:dyDescent="0.3">
      <c r="I26112" s="101"/>
    </row>
    <row r="26113" spans="9:9" x14ac:dyDescent="0.3">
      <c r="I26113" s="101"/>
    </row>
    <row r="26114" spans="9:9" x14ac:dyDescent="0.3">
      <c r="I26114" s="101"/>
    </row>
    <row r="26115" spans="9:9" x14ac:dyDescent="0.3">
      <c r="I26115" s="101"/>
    </row>
    <row r="26116" spans="9:9" x14ac:dyDescent="0.3">
      <c r="I26116" s="101"/>
    </row>
    <row r="26117" spans="9:9" x14ac:dyDescent="0.3">
      <c r="I26117" s="101"/>
    </row>
    <row r="26118" spans="9:9" x14ac:dyDescent="0.3">
      <c r="I26118" s="101"/>
    </row>
    <row r="26119" spans="9:9" x14ac:dyDescent="0.3">
      <c r="I26119" s="101"/>
    </row>
    <row r="26120" spans="9:9" x14ac:dyDescent="0.3">
      <c r="I26120" s="101"/>
    </row>
    <row r="26121" spans="9:9" x14ac:dyDescent="0.3">
      <c r="I26121" s="101"/>
    </row>
    <row r="26122" spans="9:9" x14ac:dyDescent="0.3">
      <c r="I26122" s="101"/>
    </row>
    <row r="26123" spans="9:9" x14ac:dyDescent="0.3">
      <c r="I26123" s="101"/>
    </row>
    <row r="26124" spans="9:9" x14ac:dyDescent="0.3">
      <c r="I26124" s="101"/>
    </row>
    <row r="26125" spans="9:9" x14ac:dyDescent="0.3">
      <c r="I26125" s="101"/>
    </row>
    <row r="26126" spans="9:9" x14ac:dyDescent="0.3">
      <c r="I26126" s="101"/>
    </row>
    <row r="26127" spans="9:9" x14ac:dyDescent="0.3">
      <c r="I26127" s="101"/>
    </row>
    <row r="26128" spans="9:9" x14ac:dyDescent="0.3">
      <c r="I26128" s="101"/>
    </row>
    <row r="26129" spans="9:9" x14ac:dyDescent="0.3">
      <c r="I26129" s="101"/>
    </row>
    <row r="26130" spans="9:9" x14ac:dyDescent="0.3">
      <c r="I26130" s="101"/>
    </row>
    <row r="26131" spans="9:9" x14ac:dyDescent="0.3">
      <c r="I26131" s="101"/>
    </row>
    <row r="26132" spans="9:9" x14ac:dyDescent="0.3">
      <c r="I26132" s="101"/>
    </row>
    <row r="26133" spans="9:9" x14ac:dyDescent="0.3">
      <c r="I26133" s="101"/>
    </row>
    <row r="26134" spans="9:9" x14ac:dyDescent="0.3">
      <c r="I26134" s="101"/>
    </row>
    <row r="26135" spans="9:9" x14ac:dyDescent="0.3">
      <c r="I26135" s="101"/>
    </row>
    <row r="26136" spans="9:9" x14ac:dyDescent="0.3">
      <c r="I26136" s="101"/>
    </row>
    <row r="26137" spans="9:9" x14ac:dyDescent="0.3">
      <c r="I26137" s="101"/>
    </row>
    <row r="26138" spans="9:9" x14ac:dyDescent="0.3">
      <c r="I26138" s="101"/>
    </row>
    <row r="26139" spans="9:9" x14ac:dyDescent="0.3">
      <c r="I26139" s="101"/>
    </row>
    <row r="26140" spans="9:9" x14ac:dyDescent="0.3">
      <c r="I26140" s="101"/>
    </row>
    <row r="26141" spans="9:9" x14ac:dyDescent="0.3">
      <c r="I26141" s="101"/>
    </row>
    <row r="26142" spans="9:9" x14ac:dyDescent="0.3">
      <c r="I26142" s="101"/>
    </row>
    <row r="26143" spans="9:9" x14ac:dyDescent="0.3">
      <c r="I26143" s="101"/>
    </row>
    <row r="26144" spans="9:9" x14ac:dyDescent="0.3">
      <c r="I26144" s="101"/>
    </row>
    <row r="26145" spans="9:9" x14ac:dyDescent="0.3">
      <c r="I26145" s="101"/>
    </row>
    <row r="26146" spans="9:9" x14ac:dyDescent="0.3">
      <c r="I26146" s="101"/>
    </row>
    <row r="26147" spans="9:9" x14ac:dyDescent="0.3">
      <c r="I26147" s="101"/>
    </row>
    <row r="26148" spans="9:9" x14ac:dyDescent="0.3">
      <c r="I26148" s="101"/>
    </row>
    <row r="26149" spans="9:9" x14ac:dyDescent="0.3">
      <c r="I26149" s="101"/>
    </row>
    <row r="26150" spans="9:9" x14ac:dyDescent="0.3">
      <c r="I26150" s="101"/>
    </row>
    <row r="26151" spans="9:9" x14ac:dyDescent="0.3">
      <c r="I26151" s="101"/>
    </row>
    <row r="26152" spans="9:9" x14ac:dyDescent="0.3">
      <c r="I26152" s="101"/>
    </row>
    <row r="26153" spans="9:9" x14ac:dyDescent="0.3">
      <c r="I26153" s="101"/>
    </row>
    <row r="26154" spans="9:9" x14ac:dyDescent="0.3">
      <c r="I26154" s="101"/>
    </row>
    <row r="26155" spans="9:9" x14ac:dyDescent="0.3">
      <c r="I26155" s="101"/>
    </row>
    <row r="26156" spans="9:9" x14ac:dyDescent="0.3">
      <c r="I26156" s="101"/>
    </row>
    <row r="26157" spans="9:9" x14ac:dyDescent="0.3">
      <c r="I26157" s="101"/>
    </row>
    <row r="26158" spans="9:9" x14ac:dyDescent="0.3">
      <c r="I26158" s="101"/>
    </row>
    <row r="26159" spans="9:9" x14ac:dyDescent="0.3">
      <c r="I26159" s="101"/>
    </row>
    <row r="26160" spans="9:9" x14ac:dyDescent="0.3">
      <c r="I26160" s="101"/>
    </row>
    <row r="26161" spans="9:9" x14ac:dyDescent="0.3">
      <c r="I26161" s="101"/>
    </row>
    <row r="26162" spans="9:9" x14ac:dyDescent="0.3">
      <c r="I26162" s="101"/>
    </row>
    <row r="26163" spans="9:9" x14ac:dyDescent="0.3">
      <c r="I26163" s="101"/>
    </row>
    <row r="26164" spans="9:9" x14ac:dyDescent="0.3">
      <c r="I26164" s="101"/>
    </row>
    <row r="26165" spans="9:9" x14ac:dyDescent="0.3">
      <c r="I26165" s="101"/>
    </row>
    <row r="26166" spans="9:9" x14ac:dyDescent="0.3">
      <c r="I26166" s="101"/>
    </row>
    <row r="26167" spans="9:9" x14ac:dyDescent="0.3">
      <c r="I26167" s="101"/>
    </row>
    <row r="26168" spans="9:9" x14ac:dyDescent="0.3">
      <c r="I26168" s="101"/>
    </row>
    <row r="26169" spans="9:9" x14ac:dyDescent="0.3">
      <c r="I26169" s="101"/>
    </row>
    <row r="26170" spans="9:9" x14ac:dyDescent="0.3">
      <c r="I26170" s="101"/>
    </row>
    <row r="26171" spans="9:9" x14ac:dyDescent="0.3">
      <c r="I26171" s="101"/>
    </row>
    <row r="26172" spans="9:9" x14ac:dyDescent="0.3">
      <c r="I26172" s="101"/>
    </row>
    <row r="26173" spans="9:9" x14ac:dyDescent="0.3">
      <c r="I26173" s="101"/>
    </row>
    <row r="26174" spans="9:9" x14ac:dyDescent="0.3">
      <c r="I26174" s="101"/>
    </row>
    <row r="26175" spans="9:9" x14ac:dyDescent="0.3">
      <c r="I26175" s="101"/>
    </row>
    <row r="26176" spans="9:9" x14ac:dyDescent="0.3">
      <c r="I26176" s="101"/>
    </row>
    <row r="26177" spans="9:9" x14ac:dyDescent="0.3">
      <c r="I26177" s="101"/>
    </row>
    <row r="26178" spans="9:9" x14ac:dyDescent="0.3">
      <c r="I26178" s="101"/>
    </row>
    <row r="26179" spans="9:9" x14ac:dyDescent="0.3">
      <c r="I26179" s="101"/>
    </row>
    <row r="26180" spans="9:9" x14ac:dyDescent="0.3">
      <c r="I26180" s="101"/>
    </row>
    <row r="26181" spans="9:9" x14ac:dyDescent="0.3">
      <c r="I26181" s="101"/>
    </row>
    <row r="26182" spans="9:9" x14ac:dyDescent="0.3">
      <c r="I26182" s="101"/>
    </row>
    <row r="26183" spans="9:9" x14ac:dyDescent="0.3">
      <c r="I26183" s="101"/>
    </row>
    <row r="26184" spans="9:9" x14ac:dyDescent="0.3">
      <c r="I26184" s="101"/>
    </row>
    <row r="26185" spans="9:9" x14ac:dyDescent="0.3">
      <c r="I26185" s="101"/>
    </row>
    <row r="26186" spans="9:9" x14ac:dyDescent="0.3">
      <c r="I26186" s="101"/>
    </row>
    <row r="26187" spans="9:9" x14ac:dyDescent="0.3">
      <c r="I26187" s="101"/>
    </row>
    <row r="26188" spans="9:9" x14ac:dyDescent="0.3">
      <c r="I26188" s="101"/>
    </row>
    <row r="26189" spans="9:9" x14ac:dyDescent="0.3">
      <c r="I26189" s="101"/>
    </row>
    <row r="26190" spans="9:9" x14ac:dyDescent="0.3">
      <c r="I26190" s="101"/>
    </row>
    <row r="26191" spans="9:9" x14ac:dyDescent="0.3">
      <c r="I26191" s="101"/>
    </row>
    <row r="26192" spans="9:9" x14ac:dyDescent="0.3">
      <c r="I26192" s="101"/>
    </row>
    <row r="26193" spans="9:9" x14ac:dyDescent="0.3">
      <c r="I26193" s="101"/>
    </row>
    <row r="26194" spans="9:9" x14ac:dyDescent="0.3">
      <c r="I26194" s="101"/>
    </row>
    <row r="26195" spans="9:9" x14ac:dyDescent="0.3">
      <c r="I26195" s="101"/>
    </row>
    <row r="26196" spans="9:9" x14ac:dyDescent="0.3">
      <c r="I26196" s="101"/>
    </row>
    <row r="26197" spans="9:9" x14ac:dyDescent="0.3">
      <c r="I26197" s="101"/>
    </row>
    <row r="26198" spans="9:9" x14ac:dyDescent="0.3">
      <c r="I26198" s="101"/>
    </row>
    <row r="26199" spans="9:9" x14ac:dyDescent="0.3">
      <c r="I26199" s="101"/>
    </row>
    <row r="26200" spans="9:9" x14ac:dyDescent="0.3">
      <c r="I26200" s="101"/>
    </row>
    <row r="26201" spans="9:9" x14ac:dyDescent="0.3">
      <c r="I26201" s="101"/>
    </row>
    <row r="26202" spans="9:9" x14ac:dyDescent="0.3">
      <c r="I26202" s="101"/>
    </row>
    <row r="26203" spans="9:9" x14ac:dyDescent="0.3">
      <c r="I26203" s="101"/>
    </row>
    <row r="26204" spans="9:9" x14ac:dyDescent="0.3">
      <c r="I26204" s="101"/>
    </row>
    <row r="26205" spans="9:9" x14ac:dyDescent="0.3">
      <c r="I26205" s="101"/>
    </row>
    <row r="26206" spans="9:9" x14ac:dyDescent="0.3">
      <c r="I26206" s="101"/>
    </row>
    <row r="26207" spans="9:9" x14ac:dyDescent="0.3">
      <c r="I26207" s="101"/>
    </row>
    <row r="26208" spans="9:9" x14ac:dyDescent="0.3">
      <c r="I26208" s="101"/>
    </row>
    <row r="26209" spans="9:9" x14ac:dyDescent="0.3">
      <c r="I26209" s="101"/>
    </row>
    <row r="26210" spans="9:9" x14ac:dyDescent="0.3">
      <c r="I26210" s="101"/>
    </row>
    <row r="26211" spans="9:9" x14ac:dyDescent="0.3">
      <c r="I26211" s="101"/>
    </row>
    <row r="26212" spans="9:9" x14ac:dyDescent="0.3">
      <c r="I26212" s="101"/>
    </row>
    <row r="26213" spans="9:9" x14ac:dyDescent="0.3">
      <c r="I26213" s="101"/>
    </row>
    <row r="26214" spans="9:9" x14ac:dyDescent="0.3">
      <c r="I26214" s="101"/>
    </row>
    <row r="26215" spans="9:9" x14ac:dyDescent="0.3">
      <c r="I26215" s="101"/>
    </row>
    <row r="26216" spans="9:9" x14ac:dyDescent="0.3">
      <c r="I26216" s="101"/>
    </row>
    <row r="26217" spans="9:9" x14ac:dyDescent="0.3">
      <c r="I26217" s="101"/>
    </row>
    <row r="26218" spans="9:9" x14ac:dyDescent="0.3">
      <c r="I26218" s="101"/>
    </row>
    <row r="26219" spans="9:9" x14ac:dyDescent="0.3">
      <c r="I26219" s="101"/>
    </row>
    <row r="26220" spans="9:9" x14ac:dyDescent="0.3">
      <c r="I26220" s="101"/>
    </row>
    <row r="26221" spans="9:9" x14ac:dyDescent="0.3">
      <c r="I26221" s="101"/>
    </row>
    <row r="26222" spans="9:9" x14ac:dyDescent="0.3">
      <c r="I26222" s="101"/>
    </row>
    <row r="26223" spans="9:9" x14ac:dyDescent="0.3">
      <c r="I26223" s="101"/>
    </row>
    <row r="26224" spans="9:9" x14ac:dyDescent="0.3">
      <c r="I26224" s="101"/>
    </row>
    <row r="26225" spans="9:9" x14ac:dyDescent="0.3">
      <c r="I26225" s="101"/>
    </row>
    <row r="26226" spans="9:9" x14ac:dyDescent="0.3">
      <c r="I26226" s="101"/>
    </row>
    <row r="26227" spans="9:9" x14ac:dyDescent="0.3">
      <c r="I26227" s="101"/>
    </row>
    <row r="26228" spans="9:9" x14ac:dyDescent="0.3">
      <c r="I26228" s="101"/>
    </row>
    <row r="26229" spans="9:9" x14ac:dyDescent="0.3">
      <c r="I26229" s="101"/>
    </row>
    <row r="26230" spans="9:9" x14ac:dyDescent="0.3">
      <c r="I26230" s="101"/>
    </row>
    <row r="26231" spans="9:9" x14ac:dyDescent="0.3">
      <c r="I26231" s="101"/>
    </row>
    <row r="26232" spans="9:9" x14ac:dyDescent="0.3">
      <c r="I26232" s="101"/>
    </row>
    <row r="26233" spans="9:9" x14ac:dyDescent="0.3">
      <c r="I26233" s="101"/>
    </row>
    <row r="26234" spans="9:9" x14ac:dyDescent="0.3">
      <c r="I26234" s="101"/>
    </row>
    <row r="26235" spans="9:9" x14ac:dyDescent="0.3">
      <c r="I26235" s="101"/>
    </row>
    <row r="26236" spans="9:9" x14ac:dyDescent="0.3">
      <c r="I26236" s="101"/>
    </row>
    <row r="26237" spans="9:9" x14ac:dyDescent="0.3">
      <c r="I26237" s="101"/>
    </row>
    <row r="26238" spans="9:9" x14ac:dyDescent="0.3">
      <c r="I26238" s="101"/>
    </row>
    <row r="26239" spans="9:9" x14ac:dyDescent="0.3">
      <c r="I26239" s="101"/>
    </row>
    <row r="26240" spans="9:9" x14ac:dyDescent="0.3">
      <c r="I26240" s="101"/>
    </row>
    <row r="26241" spans="9:9" x14ac:dyDescent="0.3">
      <c r="I26241" s="101"/>
    </row>
    <row r="26242" spans="9:9" x14ac:dyDescent="0.3">
      <c r="I26242" s="101"/>
    </row>
    <row r="26243" spans="9:9" x14ac:dyDescent="0.3">
      <c r="I26243" s="101"/>
    </row>
    <row r="26244" spans="9:9" x14ac:dyDescent="0.3">
      <c r="I26244" s="101"/>
    </row>
    <row r="26245" spans="9:9" x14ac:dyDescent="0.3">
      <c r="I26245" s="101"/>
    </row>
    <row r="26246" spans="9:9" x14ac:dyDescent="0.3">
      <c r="I26246" s="101"/>
    </row>
    <row r="26247" spans="9:9" x14ac:dyDescent="0.3">
      <c r="I26247" s="101"/>
    </row>
    <row r="26248" spans="9:9" x14ac:dyDescent="0.3">
      <c r="I26248" s="101"/>
    </row>
    <row r="26249" spans="9:9" x14ac:dyDescent="0.3">
      <c r="I26249" s="101"/>
    </row>
    <row r="26250" spans="9:9" x14ac:dyDescent="0.3">
      <c r="I26250" s="101"/>
    </row>
    <row r="26251" spans="9:9" x14ac:dyDescent="0.3">
      <c r="I26251" s="101"/>
    </row>
    <row r="26252" spans="9:9" x14ac:dyDescent="0.3">
      <c r="I26252" s="101"/>
    </row>
    <row r="26253" spans="9:9" x14ac:dyDescent="0.3">
      <c r="I26253" s="101"/>
    </row>
    <row r="26254" spans="9:9" x14ac:dyDescent="0.3">
      <c r="I26254" s="101"/>
    </row>
    <row r="26255" spans="9:9" x14ac:dyDescent="0.3">
      <c r="I26255" s="101"/>
    </row>
    <row r="26256" spans="9:9" x14ac:dyDescent="0.3">
      <c r="I26256" s="101"/>
    </row>
    <row r="26257" spans="9:9" x14ac:dyDescent="0.3">
      <c r="I26257" s="101"/>
    </row>
    <row r="26258" spans="9:9" x14ac:dyDescent="0.3">
      <c r="I26258" s="101"/>
    </row>
    <row r="26259" spans="9:9" x14ac:dyDescent="0.3">
      <c r="I26259" s="101"/>
    </row>
    <row r="26260" spans="9:9" x14ac:dyDescent="0.3">
      <c r="I26260" s="101"/>
    </row>
    <row r="26261" spans="9:9" x14ac:dyDescent="0.3">
      <c r="I26261" s="101"/>
    </row>
    <row r="26262" spans="9:9" x14ac:dyDescent="0.3">
      <c r="I26262" s="101"/>
    </row>
    <row r="26263" spans="9:9" x14ac:dyDescent="0.3">
      <c r="I26263" s="101"/>
    </row>
    <row r="26264" spans="9:9" x14ac:dyDescent="0.3">
      <c r="I26264" s="101"/>
    </row>
    <row r="26265" spans="9:9" x14ac:dyDescent="0.3">
      <c r="I26265" s="101"/>
    </row>
    <row r="26266" spans="9:9" x14ac:dyDescent="0.3">
      <c r="I26266" s="101"/>
    </row>
    <row r="26267" spans="9:9" x14ac:dyDescent="0.3">
      <c r="I26267" s="101"/>
    </row>
    <row r="26268" spans="9:9" x14ac:dyDescent="0.3">
      <c r="I26268" s="101"/>
    </row>
    <row r="26269" spans="9:9" x14ac:dyDescent="0.3">
      <c r="I26269" s="101"/>
    </row>
    <row r="26270" spans="9:9" x14ac:dyDescent="0.3">
      <c r="I26270" s="101"/>
    </row>
    <row r="26271" spans="9:9" x14ac:dyDescent="0.3">
      <c r="I26271" s="101"/>
    </row>
    <row r="26272" spans="9:9" x14ac:dyDescent="0.3">
      <c r="I26272" s="101"/>
    </row>
    <row r="26273" spans="9:9" x14ac:dyDescent="0.3">
      <c r="I26273" s="101"/>
    </row>
    <row r="26274" spans="9:9" x14ac:dyDescent="0.3">
      <c r="I26274" s="101"/>
    </row>
    <row r="26275" spans="9:9" x14ac:dyDescent="0.3">
      <c r="I26275" s="101"/>
    </row>
    <row r="26276" spans="9:9" x14ac:dyDescent="0.3">
      <c r="I26276" s="101"/>
    </row>
    <row r="26277" spans="9:9" x14ac:dyDescent="0.3">
      <c r="I26277" s="101"/>
    </row>
    <row r="26278" spans="9:9" x14ac:dyDescent="0.3">
      <c r="I26278" s="101"/>
    </row>
    <row r="26279" spans="9:9" x14ac:dyDescent="0.3">
      <c r="I26279" s="101"/>
    </row>
    <row r="26280" spans="9:9" x14ac:dyDescent="0.3">
      <c r="I26280" s="101"/>
    </row>
    <row r="26281" spans="9:9" x14ac:dyDescent="0.3">
      <c r="I26281" s="101"/>
    </row>
    <row r="26282" spans="9:9" x14ac:dyDescent="0.3">
      <c r="I26282" s="101"/>
    </row>
    <row r="26283" spans="9:9" x14ac:dyDescent="0.3">
      <c r="I26283" s="101"/>
    </row>
    <row r="26284" spans="9:9" x14ac:dyDescent="0.3">
      <c r="I26284" s="101"/>
    </row>
    <row r="26285" spans="9:9" x14ac:dyDescent="0.3">
      <c r="I26285" s="101"/>
    </row>
    <row r="26286" spans="9:9" x14ac:dyDescent="0.3">
      <c r="I26286" s="101"/>
    </row>
    <row r="26287" spans="9:9" x14ac:dyDescent="0.3">
      <c r="I26287" s="101"/>
    </row>
    <row r="26288" spans="9:9" x14ac:dyDescent="0.3">
      <c r="I26288" s="101"/>
    </row>
    <row r="26289" spans="9:9" x14ac:dyDescent="0.3">
      <c r="I26289" s="101"/>
    </row>
    <row r="26290" spans="9:9" x14ac:dyDescent="0.3">
      <c r="I26290" s="101"/>
    </row>
    <row r="26291" spans="9:9" x14ac:dyDescent="0.3">
      <c r="I26291" s="101"/>
    </row>
    <row r="26292" spans="9:9" x14ac:dyDescent="0.3">
      <c r="I26292" s="101"/>
    </row>
    <row r="26293" spans="9:9" x14ac:dyDescent="0.3">
      <c r="I26293" s="101"/>
    </row>
    <row r="26294" spans="9:9" x14ac:dyDescent="0.3">
      <c r="I26294" s="101"/>
    </row>
    <row r="26295" spans="9:9" x14ac:dyDescent="0.3">
      <c r="I26295" s="101"/>
    </row>
    <row r="26296" spans="9:9" x14ac:dyDescent="0.3">
      <c r="I26296" s="101"/>
    </row>
    <row r="26297" spans="9:9" x14ac:dyDescent="0.3">
      <c r="I26297" s="101"/>
    </row>
    <row r="26298" spans="9:9" x14ac:dyDescent="0.3">
      <c r="I26298" s="101"/>
    </row>
    <row r="26299" spans="9:9" x14ac:dyDescent="0.3">
      <c r="I26299" s="101"/>
    </row>
    <row r="26300" spans="9:9" x14ac:dyDescent="0.3">
      <c r="I26300" s="101"/>
    </row>
    <row r="26301" spans="9:9" x14ac:dyDescent="0.3">
      <c r="I26301" s="101"/>
    </row>
    <row r="26302" spans="9:9" x14ac:dyDescent="0.3">
      <c r="I26302" s="101"/>
    </row>
    <row r="26303" spans="9:9" x14ac:dyDescent="0.3">
      <c r="I26303" s="101"/>
    </row>
    <row r="26304" spans="9:9" x14ac:dyDescent="0.3">
      <c r="I26304" s="101"/>
    </row>
    <row r="26305" spans="9:9" x14ac:dyDescent="0.3">
      <c r="I26305" s="101"/>
    </row>
    <row r="26306" spans="9:9" x14ac:dyDescent="0.3">
      <c r="I26306" s="101"/>
    </row>
    <row r="26307" spans="9:9" x14ac:dyDescent="0.3">
      <c r="I26307" s="101"/>
    </row>
    <row r="26308" spans="9:9" x14ac:dyDescent="0.3">
      <c r="I26308" s="101"/>
    </row>
    <row r="26309" spans="9:9" x14ac:dyDescent="0.3">
      <c r="I26309" s="101"/>
    </row>
    <row r="26310" spans="9:9" x14ac:dyDescent="0.3">
      <c r="I26310" s="101"/>
    </row>
    <row r="26311" spans="9:9" x14ac:dyDescent="0.3">
      <c r="I26311" s="101"/>
    </row>
    <row r="26312" spans="9:9" x14ac:dyDescent="0.3">
      <c r="I26312" s="101"/>
    </row>
    <row r="26313" spans="9:9" x14ac:dyDescent="0.3">
      <c r="I26313" s="101"/>
    </row>
    <row r="26314" spans="9:9" x14ac:dyDescent="0.3">
      <c r="I26314" s="101"/>
    </row>
    <row r="26315" spans="9:9" x14ac:dyDescent="0.3">
      <c r="I26315" s="101"/>
    </row>
    <row r="26316" spans="9:9" x14ac:dyDescent="0.3">
      <c r="I26316" s="101"/>
    </row>
    <row r="26317" spans="9:9" x14ac:dyDescent="0.3">
      <c r="I26317" s="101"/>
    </row>
    <row r="26318" spans="9:9" x14ac:dyDescent="0.3">
      <c r="I26318" s="101"/>
    </row>
    <row r="26319" spans="9:9" x14ac:dyDescent="0.3">
      <c r="I26319" s="101"/>
    </row>
    <row r="26320" spans="9:9" x14ac:dyDescent="0.3">
      <c r="I26320" s="101"/>
    </row>
    <row r="26321" spans="9:9" x14ac:dyDescent="0.3">
      <c r="I26321" s="101"/>
    </row>
    <row r="26322" spans="9:9" x14ac:dyDescent="0.3">
      <c r="I26322" s="101"/>
    </row>
    <row r="26323" spans="9:9" x14ac:dyDescent="0.3">
      <c r="I26323" s="101"/>
    </row>
    <row r="26324" spans="9:9" x14ac:dyDescent="0.3">
      <c r="I26324" s="101"/>
    </row>
    <row r="26325" spans="9:9" x14ac:dyDescent="0.3">
      <c r="I26325" s="101"/>
    </row>
    <row r="26326" spans="9:9" x14ac:dyDescent="0.3">
      <c r="I26326" s="101"/>
    </row>
    <row r="26327" spans="9:9" x14ac:dyDescent="0.3">
      <c r="I26327" s="101"/>
    </row>
    <row r="26328" spans="9:9" x14ac:dyDescent="0.3">
      <c r="I26328" s="101"/>
    </row>
    <row r="26329" spans="9:9" x14ac:dyDescent="0.3">
      <c r="I26329" s="101"/>
    </row>
    <row r="26330" spans="9:9" x14ac:dyDescent="0.3">
      <c r="I26330" s="101"/>
    </row>
    <row r="26331" spans="9:9" x14ac:dyDescent="0.3">
      <c r="I26331" s="101"/>
    </row>
    <row r="26332" spans="9:9" x14ac:dyDescent="0.3">
      <c r="I26332" s="101"/>
    </row>
    <row r="26333" spans="9:9" x14ac:dyDescent="0.3">
      <c r="I26333" s="101"/>
    </row>
    <row r="26334" spans="9:9" x14ac:dyDescent="0.3">
      <c r="I26334" s="101"/>
    </row>
    <row r="26335" spans="9:9" x14ac:dyDescent="0.3">
      <c r="I26335" s="101"/>
    </row>
    <row r="26336" spans="9:9" x14ac:dyDescent="0.3">
      <c r="I26336" s="101"/>
    </row>
    <row r="26337" spans="9:9" x14ac:dyDescent="0.3">
      <c r="I26337" s="101"/>
    </row>
    <row r="26338" spans="9:9" x14ac:dyDescent="0.3">
      <c r="I26338" s="101"/>
    </row>
    <row r="26339" spans="9:9" x14ac:dyDescent="0.3">
      <c r="I26339" s="101"/>
    </row>
    <row r="26340" spans="9:9" x14ac:dyDescent="0.3">
      <c r="I26340" s="101"/>
    </row>
    <row r="26341" spans="9:9" x14ac:dyDescent="0.3">
      <c r="I26341" s="101"/>
    </row>
    <row r="26342" spans="9:9" x14ac:dyDescent="0.3">
      <c r="I26342" s="101"/>
    </row>
    <row r="26343" spans="9:9" x14ac:dyDescent="0.3">
      <c r="I26343" s="101"/>
    </row>
    <row r="26344" spans="9:9" x14ac:dyDescent="0.3">
      <c r="I26344" s="101"/>
    </row>
    <row r="26345" spans="9:9" x14ac:dyDescent="0.3">
      <c r="I26345" s="101"/>
    </row>
    <row r="26346" spans="9:9" x14ac:dyDescent="0.3">
      <c r="I26346" s="101"/>
    </row>
    <row r="26347" spans="9:9" x14ac:dyDescent="0.3">
      <c r="I26347" s="101"/>
    </row>
    <row r="26348" spans="9:9" x14ac:dyDescent="0.3">
      <c r="I26348" s="101"/>
    </row>
    <row r="26349" spans="9:9" x14ac:dyDescent="0.3">
      <c r="I26349" s="101"/>
    </row>
    <row r="26350" spans="9:9" x14ac:dyDescent="0.3">
      <c r="I26350" s="101"/>
    </row>
    <row r="26351" spans="9:9" x14ac:dyDescent="0.3">
      <c r="I26351" s="101"/>
    </row>
    <row r="26352" spans="9:9" x14ac:dyDescent="0.3">
      <c r="I26352" s="101"/>
    </row>
    <row r="26353" spans="9:9" x14ac:dyDescent="0.3">
      <c r="I26353" s="101"/>
    </row>
    <row r="26354" spans="9:9" x14ac:dyDescent="0.3">
      <c r="I26354" s="101"/>
    </row>
    <row r="26355" spans="9:9" x14ac:dyDescent="0.3">
      <c r="I26355" s="101"/>
    </row>
    <row r="26356" spans="9:9" x14ac:dyDescent="0.3">
      <c r="I26356" s="101"/>
    </row>
    <row r="26357" spans="9:9" x14ac:dyDescent="0.3">
      <c r="I26357" s="101"/>
    </row>
    <row r="26358" spans="9:9" x14ac:dyDescent="0.3">
      <c r="I26358" s="101"/>
    </row>
    <row r="26359" spans="9:9" x14ac:dyDescent="0.3">
      <c r="I26359" s="101"/>
    </row>
    <row r="26360" spans="9:9" x14ac:dyDescent="0.3">
      <c r="I26360" s="101"/>
    </row>
    <row r="26361" spans="9:9" x14ac:dyDescent="0.3">
      <c r="I26361" s="101"/>
    </row>
    <row r="26362" spans="9:9" x14ac:dyDescent="0.3">
      <c r="I26362" s="101"/>
    </row>
    <row r="26363" spans="9:9" x14ac:dyDescent="0.3">
      <c r="I26363" s="101"/>
    </row>
    <row r="26364" spans="9:9" x14ac:dyDescent="0.3">
      <c r="I26364" s="101"/>
    </row>
    <row r="26365" spans="9:9" x14ac:dyDescent="0.3">
      <c r="I26365" s="101"/>
    </row>
    <row r="26366" spans="9:9" x14ac:dyDescent="0.3">
      <c r="I26366" s="101"/>
    </row>
    <row r="26367" spans="9:9" x14ac:dyDescent="0.3">
      <c r="I26367" s="101"/>
    </row>
    <row r="26368" spans="9:9" x14ac:dyDescent="0.3">
      <c r="I26368" s="101"/>
    </row>
    <row r="26369" spans="9:9" x14ac:dyDescent="0.3">
      <c r="I26369" s="101"/>
    </row>
    <row r="26370" spans="9:9" x14ac:dyDescent="0.3">
      <c r="I26370" s="101"/>
    </row>
    <row r="26371" spans="9:9" x14ac:dyDescent="0.3">
      <c r="I26371" s="101"/>
    </row>
    <row r="26372" spans="9:9" x14ac:dyDescent="0.3">
      <c r="I26372" s="101"/>
    </row>
    <row r="26373" spans="9:9" x14ac:dyDescent="0.3">
      <c r="I26373" s="101"/>
    </row>
    <row r="26374" spans="9:9" x14ac:dyDescent="0.3">
      <c r="I26374" s="101"/>
    </row>
    <row r="26375" spans="9:9" x14ac:dyDescent="0.3">
      <c r="I26375" s="101"/>
    </row>
    <row r="26376" spans="9:9" x14ac:dyDescent="0.3">
      <c r="I26376" s="101"/>
    </row>
    <row r="26377" spans="9:9" x14ac:dyDescent="0.3">
      <c r="I26377" s="101"/>
    </row>
    <row r="26378" spans="9:9" x14ac:dyDescent="0.3">
      <c r="I26378" s="101"/>
    </row>
    <row r="26379" spans="9:9" x14ac:dyDescent="0.3">
      <c r="I26379" s="101"/>
    </row>
    <row r="26380" spans="9:9" x14ac:dyDescent="0.3">
      <c r="I26380" s="101"/>
    </row>
    <row r="26381" spans="9:9" x14ac:dyDescent="0.3">
      <c r="I26381" s="101"/>
    </row>
    <row r="26382" spans="9:9" x14ac:dyDescent="0.3">
      <c r="I26382" s="101"/>
    </row>
    <row r="26383" spans="9:9" x14ac:dyDescent="0.3">
      <c r="I26383" s="101"/>
    </row>
    <row r="26384" spans="9:9" x14ac:dyDescent="0.3">
      <c r="I26384" s="101"/>
    </row>
    <row r="26385" spans="9:9" x14ac:dyDescent="0.3">
      <c r="I26385" s="101"/>
    </row>
    <row r="26386" spans="9:9" x14ac:dyDescent="0.3">
      <c r="I26386" s="101"/>
    </row>
    <row r="26387" spans="9:9" x14ac:dyDescent="0.3">
      <c r="I26387" s="101"/>
    </row>
    <row r="26388" spans="9:9" x14ac:dyDescent="0.3">
      <c r="I26388" s="101"/>
    </row>
    <row r="26389" spans="9:9" x14ac:dyDescent="0.3">
      <c r="I26389" s="101"/>
    </row>
    <row r="26390" spans="9:9" x14ac:dyDescent="0.3">
      <c r="I26390" s="101"/>
    </row>
    <row r="26391" spans="9:9" x14ac:dyDescent="0.3">
      <c r="I26391" s="101"/>
    </row>
    <row r="26392" spans="9:9" x14ac:dyDescent="0.3">
      <c r="I26392" s="101"/>
    </row>
    <row r="26393" spans="9:9" x14ac:dyDescent="0.3">
      <c r="I26393" s="101"/>
    </row>
    <row r="26394" spans="9:9" x14ac:dyDescent="0.3">
      <c r="I26394" s="101"/>
    </row>
    <row r="26395" spans="9:9" x14ac:dyDescent="0.3">
      <c r="I26395" s="101"/>
    </row>
    <row r="26396" spans="9:9" x14ac:dyDescent="0.3">
      <c r="I26396" s="101"/>
    </row>
    <row r="26397" spans="9:9" x14ac:dyDescent="0.3">
      <c r="I26397" s="101"/>
    </row>
    <row r="26398" spans="9:9" x14ac:dyDescent="0.3">
      <c r="I26398" s="101"/>
    </row>
    <row r="26399" spans="9:9" x14ac:dyDescent="0.3">
      <c r="I26399" s="101"/>
    </row>
    <row r="26400" spans="9:9" x14ac:dyDescent="0.3">
      <c r="I26400" s="101"/>
    </row>
    <row r="26401" spans="9:9" x14ac:dyDescent="0.3">
      <c r="I26401" s="101"/>
    </row>
    <row r="26402" spans="9:9" x14ac:dyDescent="0.3">
      <c r="I26402" s="101"/>
    </row>
    <row r="26403" spans="9:9" x14ac:dyDescent="0.3">
      <c r="I26403" s="101"/>
    </row>
    <row r="26404" spans="9:9" x14ac:dyDescent="0.3">
      <c r="I26404" s="101"/>
    </row>
    <row r="26405" spans="9:9" x14ac:dyDescent="0.3">
      <c r="I26405" s="101"/>
    </row>
    <row r="26406" spans="9:9" x14ac:dyDescent="0.3">
      <c r="I26406" s="101"/>
    </row>
    <row r="26407" spans="9:9" x14ac:dyDescent="0.3">
      <c r="I26407" s="101"/>
    </row>
    <row r="26408" spans="9:9" x14ac:dyDescent="0.3">
      <c r="I26408" s="101"/>
    </row>
    <row r="26409" spans="9:9" x14ac:dyDescent="0.3">
      <c r="I26409" s="101"/>
    </row>
    <row r="26410" spans="9:9" x14ac:dyDescent="0.3">
      <c r="I26410" s="101"/>
    </row>
    <row r="26411" spans="9:9" x14ac:dyDescent="0.3">
      <c r="I26411" s="101"/>
    </row>
    <row r="26412" spans="9:9" x14ac:dyDescent="0.3">
      <c r="I26412" s="101"/>
    </row>
    <row r="26413" spans="9:9" x14ac:dyDescent="0.3">
      <c r="I26413" s="101"/>
    </row>
    <row r="26414" spans="9:9" x14ac:dyDescent="0.3">
      <c r="I26414" s="101"/>
    </row>
    <row r="26415" spans="9:9" x14ac:dyDescent="0.3">
      <c r="I26415" s="101"/>
    </row>
    <row r="26416" spans="9:9" x14ac:dyDescent="0.3">
      <c r="I26416" s="101"/>
    </row>
    <row r="26417" spans="9:9" x14ac:dyDescent="0.3">
      <c r="I26417" s="101"/>
    </row>
    <row r="26418" spans="9:9" x14ac:dyDescent="0.3">
      <c r="I26418" s="101"/>
    </row>
    <row r="26419" spans="9:9" x14ac:dyDescent="0.3">
      <c r="I26419" s="101"/>
    </row>
    <row r="26420" spans="9:9" x14ac:dyDescent="0.3">
      <c r="I26420" s="101"/>
    </row>
    <row r="26421" spans="9:9" x14ac:dyDescent="0.3">
      <c r="I26421" s="101"/>
    </row>
    <row r="26422" spans="9:9" x14ac:dyDescent="0.3">
      <c r="I26422" s="101"/>
    </row>
    <row r="26423" spans="9:9" x14ac:dyDescent="0.3">
      <c r="I26423" s="101"/>
    </row>
    <row r="26424" spans="9:9" x14ac:dyDescent="0.3">
      <c r="I26424" s="101"/>
    </row>
    <row r="26425" spans="9:9" x14ac:dyDescent="0.3">
      <c r="I26425" s="101"/>
    </row>
    <row r="26426" spans="9:9" x14ac:dyDescent="0.3">
      <c r="I26426" s="101"/>
    </row>
    <row r="26427" spans="9:9" x14ac:dyDescent="0.3">
      <c r="I26427" s="101"/>
    </row>
    <row r="26428" spans="9:9" x14ac:dyDescent="0.3">
      <c r="I26428" s="101"/>
    </row>
    <row r="26429" spans="9:9" x14ac:dyDescent="0.3">
      <c r="I26429" s="101"/>
    </row>
    <row r="26430" spans="9:9" x14ac:dyDescent="0.3">
      <c r="I26430" s="101"/>
    </row>
    <row r="26431" spans="9:9" x14ac:dyDescent="0.3">
      <c r="I26431" s="101"/>
    </row>
    <row r="26432" spans="9:9" x14ac:dyDescent="0.3">
      <c r="I26432" s="101"/>
    </row>
    <row r="26433" spans="9:9" x14ac:dyDescent="0.3">
      <c r="I26433" s="101"/>
    </row>
    <row r="26434" spans="9:9" x14ac:dyDescent="0.3">
      <c r="I26434" s="101"/>
    </row>
    <row r="26435" spans="9:9" x14ac:dyDescent="0.3">
      <c r="I26435" s="101"/>
    </row>
    <row r="26436" spans="9:9" x14ac:dyDescent="0.3">
      <c r="I26436" s="101"/>
    </row>
    <row r="26437" spans="9:9" x14ac:dyDescent="0.3">
      <c r="I26437" s="101"/>
    </row>
    <row r="26438" spans="9:9" x14ac:dyDescent="0.3">
      <c r="I26438" s="101"/>
    </row>
    <row r="26439" spans="9:9" x14ac:dyDescent="0.3">
      <c r="I26439" s="101"/>
    </row>
    <row r="26440" spans="9:9" x14ac:dyDescent="0.3">
      <c r="I26440" s="101"/>
    </row>
    <row r="26441" spans="9:9" x14ac:dyDescent="0.3">
      <c r="I26441" s="101"/>
    </row>
    <row r="26442" spans="9:9" x14ac:dyDescent="0.3">
      <c r="I26442" s="101"/>
    </row>
    <row r="26443" spans="9:9" x14ac:dyDescent="0.3">
      <c r="I26443" s="101"/>
    </row>
    <row r="26444" spans="9:9" x14ac:dyDescent="0.3">
      <c r="I26444" s="101"/>
    </row>
    <row r="26445" spans="9:9" x14ac:dyDescent="0.3">
      <c r="I26445" s="101"/>
    </row>
    <row r="26446" spans="9:9" x14ac:dyDescent="0.3">
      <c r="I26446" s="101"/>
    </row>
    <row r="26447" spans="9:9" x14ac:dyDescent="0.3">
      <c r="I26447" s="101"/>
    </row>
    <row r="26448" spans="9:9" x14ac:dyDescent="0.3">
      <c r="I26448" s="101"/>
    </row>
    <row r="26449" spans="9:9" x14ac:dyDescent="0.3">
      <c r="I26449" s="101"/>
    </row>
    <row r="26450" spans="9:9" x14ac:dyDescent="0.3">
      <c r="I26450" s="101"/>
    </row>
    <row r="26451" spans="9:9" x14ac:dyDescent="0.3">
      <c r="I26451" s="101"/>
    </row>
    <row r="26452" spans="9:9" x14ac:dyDescent="0.3">
      <c r="I26452" s="101"/>
    </row>
    <row r="26453" spans="9:9" x14ac:dyDescent="0.3">
      <c r="I26453" s="101"/>
    </row>
    <row r="26454" spans="9:9" x14ac:dyDescent="0.3">
      <c r="I26454" s="101"/>
    </row>
    <row r="26455" spans="9:9" x14ac:dyDescent="0.3">
      <c r="I26455" s="101"/>
    </row>
    <row r="26456" spans="9:9" x14ac:dyDescent="0.3">
      <c r="I26456" s="101"/>
    </row>
    <row r="26457" spans="9:9" x14ac:dyDescent="0.3">
      <c r="I26457" s="101"/>
    </row>
    <row r="26458" spans="9:9" x14ac:dyDescent="0.3">
      <c r="I26458" s="101"/>
    </row>
    <row r="26459" spans="9:9" x14ac:dyDescent="0.3">
      <c r="I26459" s="101"/>
    </row>
    <row r="26460" spans="9:9" x14ac:dyDescent="0.3">
      <c r="I26460" s="101"/>
    </row>
    <row r="26461" spans="9:9" x14ac:dyDescent="0.3">
      <c r="I26461" s="101"/>
    </row>
    <row r="26462" spans="9:9" x14ac:dyDescent="0.3">
      <c r="I26462" s="101"/>
    </row>
    <row r="26463" spans="9:9" x14ac:dyDescent="0.3">
      <c r="I26463" s="101"/>
    </row>
    <row r="26464" spans="9:9" x14ac:dyDescent="0.3">
      <c r="I26464" s="101"/>
    </row>
    <row r="26465" spans="9:9" x14ac:dyDescent="0.3">
      <c r="I26465" s="101"/>
    </row>
    <row r="26466" spans="9:9" x14ac:dyDescent="0.3">
      <c r="I26466" s="101"/>
    </row>
    <row r="26467" spans="9:9" x14ac:dyDescent="0.3">
      <c r="I26467" s="101"/>
    </row>
    <row r="26468" spans="9:9" x14ac:dyDescent="0.3">
      <c r="I26468" s="101"/>
    </row>
    <row r="26469" spans="9:9" x14ac:dyDescent="0.3">
      <c r="I26469" s="101"/>
    </row>
    <row r="26470" spans="9:9" x14ac:dyDescent="0.3">
      <c r="I26470" s="101"/>
    </row>
    <row r="26471" spans="9:9" x14ac:dyDescent="0.3">
      <c r="I26471" s="101"/>
    </row>
    <row r="26472" spans="9:9" x14ac:dyDescent="0.3">
      <c r="I26472" s="101"/>
    </row>
    <row r="26473" spans="9:9" x14ac:dyDescent="0.3">
      <c r="I26473" s="101"/>
    </row>
    <row r="26474" spans="9:9" x14ac:dyDescent="0.3">
      <c r="I26474" s="101"/>
    </row>
    <row r="26475" spans="9:9" x14ac:dyDescent="0.3">
      <c r="I26475" s="101"/>
    </row>
    <row r="26476" spans="9:9" x14ac:dyDescent="0.3">
      <c r="I26476" s="101"/>
    </row>
    <row r="26477" spans="9:9" x14ac:dyDescent="0.3">
      <c r="I26477" s="101"/>
    </row>
    <row r="26478" spans="9:9" x14ac:dyDescent="0.3">
      <c r="I26478" s="101"/>
    </row>
    <row r="26479" spans="9:9" x14ac:dyDescent="0.3">
      <c r="I26479" s="101"/>
    </row>
    <row r="26480" spans="9:9" x14ac:dyDescent="0.3">
      <c r="I26480" s="101"/>
    </row>
    <row r="26481" spans="9:9" x14ac:dyDescent="0.3">
      <c r="I26481" s="101"/>
    </row>
    <row r="26482" spans="9:9" x14ac:dyDescent="0.3">
      <c r="I26482" s="101"/>
    </row>
    <row r="26483" spans="9:9" x14ac:dyDescent="0.3">
      <c r="I26483" s="101"/>
    </row>
    <row r="26484" spans="9:9" x14ac:dyDescent="0.3">
      <c r="I26484" s="101"/>
    </row>
    <row r="26485" spans="9:9" x14ac:dyDescent="0.3">
      <c r="I26485" s="101"/>
    </row>
    <row r="26486" spans="9:9" x14ac:dyDescent="0.3">
      <c r="I26486" s="101"/>
    </row>
    <row r="26487" spans="9:9" x14ac:dyDescent="0.3">
      <c r="I26487" s="101"/>
    </row>
    <row r="26488" spans="9:9" x14ac:dyDescent="0.3">
      <c r="I26488" s="101"/>
    </row>
    <row r="26489" spans="9:9" x14ac:dyDescent="0.3">
      <c r="I26489" s="101"/>
    </row>
    <row r="26490" spans="9:9" x14ac:dyDescent="0.3">
      <c r="I26490" s="101"/>
    </row>
    <row r="26491" spans="9:9" x14ac:dyDescent="0.3">
      <c r="I26491" s="101"/>
    </row>
    <row r="26492" spans="9:9" x14ac:dyDescent="0.3">
      <c r="I26492" s="101"/>
    </row>
    <row r="26493" spans="9:9" x14ac:dyDescent="0.3">
      <c r="I26493" s="101"/>
    </row>
    <row r="26494" spans="9:9" x14ac:dyDescent="0.3">
      <c r="I26494" s="101"/>
    </row>
    <row r="26495" spans="9:9" x14ac:dyDescent="0.3">
      <c r="I26495" s="101"/>
    </row>
    <row r="26496" spans="9:9" x14ac:dyDescent="0.3">
      <c r="I26496" s="101"/>
    </row>
    <row r="26497" spans="9:9" x14ac:dyDescent="0.3">
      <c r="I26497" s="101"/>
    </row>
    <row r="26498" spans="9:9" x14ac:dyDescent="0.3">
      <c r="I26498" s="101"/>
    </row>
    <row r="26499" spans="9:9" x14ac:dyDescent="0.3">
      <c r="I26499" s="101"/>
    </row>
    <row r="26500" spans="9:9" x14ac:dyDescent="0.3">
      <c r="I26500" s="101"/>
    </row>
    <row r="26501" spans="9:9" x14ac:dyDescent="0.3">
      <c r="I26501" s="101"/>
    </row>
    <row r="26502" spans="9:9" x14ac:dyDescent="0.3">
      <c r="I26502" s="101"/>
    </row>
    <row r="26503" spans="9:9" x14ac:dyDescent="0.3">
      <c r="I26503" s="101"/>
    </row>
    <row r="26504" spans="9:9" x14ac:dyDescent="0.3">
      <c r="I26504" s="101"/>
    </row>
    <row r="26505" spans="9:9" x14ac:dyDescent="0.3">
      <c r="I26505" s="101"/>
    </row>
    <row r="26506" spans="9:9" x14ac:dyDescent="0.3">
      <c r="I26506" s="101"/>
    </row>
    <row r="26507" spans="9:9" x14ac:dyDescent="0.3">
      <c r="I26507" s="101"/>
    </row>
    <row r="26508" spans="9:9" x14ac:dyDescent="0.3">
      <c r="I26508" s="101"/>
    </row>
    <row r="26509" spans="9:9" x14ac:dyDescent="0.3">
      <c r="I26509" s="101"/>
    </row>
    <row r="26510" spans="9:9" x14ac:dyDescent="0.3">
      <c r="I26510" s="101"/>
    </row>
    <row r="26511" spans="9:9" x14ac:dyDescent="0.3">
      <c r="I26511" s="101"/>
    </row>
    <row r="26512" spans="9:9" x14ac:dyDescent="0.3">
      <c r="I26512" s="101"/>
    </row>
    <row r="26513" spans="9:9" x14ac:dyDescent="0.3">
      <c r="I26513" s="101"/>
    </row>
    <row r="26514" spans="9:9" x14ac:dyDescent="0.3">
      <c r="I26514" s="101"/>
    </row>
    <row r="26515" spans="9:9" x14ac:dyDescent="0.3">
      <c r="I26515" s="101"/>
    </row>
    <row r="26516" spans="9:9" x14ac:dyDescent="0.3">
      <c r="I26516" s="101"/>
    </row>
    <row r="26517" spans="9:9" x14ac:dyDescent="0.3">
      <c r="I26517" s="101"/>
    </row>
    <row r="26518" spans="9:9" x14ac:dyDescent="0.3">
      <c r="I26518" s="101"/>
    </row>
    <row r="26519" spans="9:9" x14ac:dyDescent="0.3">
      <c r="I26519" s="101"/>
    </row>
    <row r="26520" spans="9:9" x14ac:dyDescent="0.3">
      <c r="I26520" s="101"/>
    </row>
    <row r="26521" spans="9:9" x14ac:dyDescent="0.3">
      <c r="I26521" s="101"/>
    </row>
    <row r="26522" spans="9:9" x14ac:dyDescent="0.3">
      <c r="I26522" s="101"/>
    </row>
    <row r="26523" spans="9:9" x14ac:dyDescent="0.3">
      <c r="I26523" s="101"/>
    </row>
    <row r="26524" spans="9:9" x14ac:dyDescent="0.3">
      <c r="I26524" s="101"/>
    </row>
    <row r="26525" spans="9:9" x14ac:dyDescent="0.3">
      <c r="I26525" s="101"/>
    </row>
    <row r="26526" spans="9:9" x14ac:dyDescent="0.3">
      <c r="I26526" s="101"/>
    </row>
    <row r="26527" spans="9:9" x14ac:dyDescent="0.3">
      <c r="I26527" s="101"/>
    </row>
    <row r="26528" spans="9:9" x14ac:dyDescent="0.3">
      <c r="I26528" s="101"/>
    </row>
    <row r="26529" spans="9:9" x14ac:dyDescent="0.3">
      <c r="I26529" s="101"/>
    </row>
    <row r="26530" spans="9:9" x14ac:dyDescent="0.3">
      <c r="I26530" s="101"/>
    </row>
    <row r="26531" spans="9:9" x14ac:dyDescent="0.3">
      <c r="I26531" s="101"/>
    </row>
    <row r="26532" spans="9:9" x14ac:dyDescent="0.3">
      <c r="I26532" s="101"/>
    </row>
    <row r="26533" spans="9:9" x14ac:dyDescent="0.3">
      <c r="I26533" s="101"/>
    </row>
    <row r="26534" spans="9:9" x14ac:dyDescent="0.3">
      <c r="I26534" s="101"/>
    </row>
    <row r="26535" spans="9:9" x14ac:dyDescent="0.3">
      <c r="I26535" s="101"/>
    </row>
    <row r="26536" spans="9:9" x14ac:dyDescent="0.3">
      <c r="I26536" s="101"/>
    </row>
    <row r="26537" spans="9:9" x14ac:dyDescent="0.3">
      <c r="I26537" s="101"/>
    </row>
    <row r="26538" spans="9:9" x14ac:dyDescent="0.3">
      <c r="I26538" s="101"/>
    </row>
    <row r="26539" spans="9:9" x14ac:dyDescent="0.3">
      <c r="I26539" s="101"/>
    </row>
    <row r="26540" spans="9:9" x14ac:dyDescent="0.3">
      <c r="I26540" s="101"/>
    </row>
    <row r="26541" spans="9:9" x14ac:dyDescent="0.3">
      <c r="I26541" s="101"/>
    </row>
    <row r="26542" spans="9:9" x14ac:dyDescent="0.3">
      <c r="I26542" s="101"/>
    </row>
    <row r="26543" spans="9:9" x14ac:dyDescent="0.3">
      <c r="I26543" s="101"/>
    </row>
    <row r="26544" spans="9:9" x14ac:dyDescent="0.3">
      <c r="I26544" s="101"/>
    </row>
    <row r="26545" spans="9:9" x14ac:dyDescent="0.3">
      <c r="I26545" s="101"/>
    </row>
    <row r="26546" spans="9:9" x14ac:dyDescent="0.3">
      <c r="I26546" s="101"/>
    </row>
    <row r="26547" spans="9:9" x14ac:dyDescent="0.3">
      <c r="I26547" s="101"/>
    </row>
    <row r="26548" spans="9:9" x14ac:dyDescent="0.3">
      <c r="I26548" s="101"/>
    </row>
    <row r="26549" spans="9:9" x14ac:dyDescent="0.3">
      <c r="I26549" s="101"/>
    </row>
    <row r="26550" spans="9:9" x14ac:dyDescent="0.3">
      <c r="I26550" s="101"/>
    </row>
    <row r="26551" spans="9:9" x14ac:dyDescent="0.3">
      <c r="I26551" s="101"/>
    </row>
    <row r="26552" spans="9:9" x14ac:dyDescent="0.3">
      <c r="I26552" s="101"/>
    </row>
    <row r="26553" spans="9:9" x14ac:dyDescent="0.3">
      <c r="I26553" s="101"/>
    </row>
    <row r="26554" spans="9:9" x14ac:dyDescent="0.3">
      <c r="I26554" s="101"/>
    </row>
    <row r="26555" spans="9:9" x14ac:dyDescent="0.3">
      <c r="I26555" s="101"/>
    </row>
    <row r="26556" spans="9:9" x14ac:dyDescent="0.3">
      <c r="I26556" s="101"/>
    </row>
    <row r="26557" spans="9:9" x14ac:dyDescent="0.3">
      <c r="I26557" s="101"/>
    </row>
    <row r="26558" spans="9:9" x14ac:dyDescent="0.3">
      <c r="I26558" s="101"/>
    </row>
    <row r="26559" spans="9:9" x14ac:dyDescent="0.3">
      <c r="I26559" s="101"/>
    </row>
    <row r="26560" spans="9:9" x14ac:dyDescent="0.3">
      <c r="I26560" s="101"/>
    </row>
    <row r="26561" spans="9:9" x14ac:dyDescent="0.3">
      <c r="I26561" s="101"/>
    </row>
    <row r="26562" spans="9:9" x14ac:dyDescent="0.3">
      <c r="I26562" s="101"/>
    </row>
    <row r="26563" spans="9:9" x14ac:dyDescent="0.3">
      <c r="I26563" s="101"/>
    </row>
    <row r="26564" spans="9:9" x14ac:dyDescent="0.3">
      <c r="I26564" s="101"/>
    </row>
    <row r="26565" spans="9:9" x14ac:dyDescent="0.3">
      <c r="I26565" s="101"/>
    </row>
    <row r="26566" spans="9:9" x14ac:dyDescent="0.3">
      <c r="I26566" s="101"/>
    </row>
    <row r="26567" spans="9:9" x14ac:dyDescent="0.3">
      <c r="I26567" s="101"/>
    </row>
    <row r="26568" spans="9:9" x14ac:dyDescent="0.3">
      <c r="I26568" s="101"/>
    </row>
    <row r="26569" spans="9:9" x14ac:dyDescent="0.3">
      <c r="I26569" s="101"/>
    </row>
    <row r="26570" spans="9:9" x14ac:dyDescent="0.3">
      <c r="I26570" s="101"/>
    </row>
    <row r="26571" spans="9:9" x14ac:dyDescent="0.3">
      <c r="I26571" s="101"/>
    </row>
    <row r="26572" spans="9:9" x14ac:dyDescent="0.3">
      <c r="I26572" s="101"/>
    </row>
    <row r="26573" spans="9:9" x14ac:dyDescent="0.3">
      <c r="I26573" s="101"/>
    </row>
    <row r="26574" spans="9:9" x14ac:dyDescent="0.3">
      <c r="I26574" s="101"/>
    </row>
    <row r="26575" spans="9:9" x14ac:dyDescent="0.3">
      <c r="I26575" s="101"/>
    </row>
    <row r="26576" spans="9:9" x14ac:dyDescent="0.3">
      <c r="I26576" s="101"/>
    </row>
    <row r="26577" spans="9:9" x14ac:dyDescent="0.3">
      <c r="I26577" s="101"/>
    </row>
    <row r="26578" spans="9:9" x14ac:dyDescent="0.3">
      <c r="I26578" s="101"/>
    </row>
    <row r="26579" spans="9:9" x14ac:dyDescent="0.3">
      <c r="I26579" s="101"/>
    </row>
    <row r="26580" spans="9:9" x14ac:dyDescent="0.3">
      <c r="I26580" s="101"/>
    </row>
    <row r="26581" spans="9:9" x14ac:dyDescent="0.3">
      <c r="I26581" s="101"/>
    </row>
    <row r="26582" spans="9:9" x14ac:dyDescent="0.3">
      <c r="I26582" s="101"/>
    </row>
    <row r="26583" spans="9:9" x14ac:dyDescent="0.3">
      <c r="I26583" s="101"/>
    </row>
    <row r="26584" spans="9:9" x14ac:dyDescent="0.3">
      <c r="I26584" s="101"/>
    </row>
    <row r="26585" spans="9:9" x14ac:dyDescent="0.3">
      <c r="I26585" s="101"/>
    </row>
    <row r="26586" spans="9:9" x14ac:dyDescent="0.3">
      <c r="I26586" s="101"/>
    </row>
    <row r="26587" spans="9:9" x14ac:dyDescent="0.3">
      <c r="I26587" s="101"/>
    </row>
    <row r="26588" spans="9:9" x14ac:dyDescent="0.3">
      <c r="I26588" s="101"/>
    </row>
    <row r="26589" spans="9:9" x14ac:dyDescent="0.3">
      <c r="I26589" s="101"/>
    </row>
    <row r="26590" spans="9:9" x14ac:dyDescent="0.3">
      <c r="I26590" s="101"/>
    </row>
    <row r="26591" spans="9:9" x14ac:dyDescent="0.3">
      <c r="I26591" s="101"/>
    </row>
    <row r="26592" spans="9:9" x14ac:dyDescent="0.3">
      <c r="I26592" s="101"/>
    </row>
    <row r="26593" spans="9:9" x14ac:dyDescent="0.3">
      <c r="I26593" s="101"/>
    </row>
    <row r="26594" spans="9:9" x14ac:dyDescent="0.3">
      <c r="I26594" s="101"/>
    </row>
    <row r="26595" spans="9:9" x14ac:dyDescent="0.3">
      <c r="I26595" s="101"/>
    </row>
    <row r="26596" spans="9:9" x14ac:dyDescent="0.3">
      <c r="I26596" s="101"/>
    </row>
    <row r="26597" spans="9:9" x14ac:dyDescent="0.3">
      <c r="I26597" s="101"/>
    </row>
    <row r="26598" spans="9:9" x14ac:dyDescent="0.3">
      <c r="I26598" s="101"/>
    </row>
    <row r="26599" spans="9:9" x14ac:dyDescent="0.3">
      <c r="I26599" s="101"/>
    </row>
    <row r="26600" spans="9:9" x14ac:dyDescent="0.3">
      <c r="I26600" s="101"/>
    </row>
    <row r="26601" spans="9:9" x14ac:dyDescent="0.3">
      <c r="I26601" s="101"/>
    </row>
    <row r="26602" spans="9:9" x14ac:dyDescent="0.3">
      <c r="I26602" s="101"/>
    </row>
    <row r="26603" spans="9:9" x14ac:dyDescent="0.3">
      <c r="I26603" s="101"/>
    </row>
    <row r="26604" spans="9:9" x14ac:dyDescent="0.3">
      <c r="I26604" s="101"/>
    </row>
    <row r="26605" spans="9:9" x14ac:dyDescent="0.3">
      <c r="I26605" s="101"/>
    </row>
    <row r="26606" spans="9:9" x14ac:dyDescent="0.3">
      <c r="I26606" s="101"/>
    </row>
    <row r="26607" spans="9:9" x14ac:dyDescent="0.3">
      <c r="I26607" s="101"/>
    </row>
    <row r="26608" spans="9:9" x14ac:dyDescent="0.3">
      <c r="I26608" s="101"/>
    </row>
    <row r="26609" spans="9:9" x14ac:dyDescent="0.3">
      <c r="I26609" s="101"/>
    </row>
    <row r="26610" spans="9:9" x14ac:dyDescent="0.3">
      <c r="I26610" s="101"/>
    </row>
    <row r="26611" spans="9:9" x14ac:dyDescent="0.3">
      <c r="I26611" s="101"/>
    </row>
    <row r="26612" spans="9:9" x14ac:dyDescent="0.3">
      <c r="I26612" s="101"/>
    </row>
    <row r="26613" spans="9:9" x14ac:dyDescent="0.3">
      <c r="I26613" s="101"/>
    </row>
    <row r="26614" spans="9:9" x14ac:dyDescent="0.3">
      <c r="I26614" s="101"/>
    </row>
    <row r="26615" spans="9:9" x14ac:dyDescent="0.3">
      <c r="I26615" s="101"/>
    </row>
    <row r="26616" spans="9:9" x14ac:dyDescent="0.3">
      <c r="I26616" s="101"/>
    </row>
    <row r="26617" spans="9:9" x14ac:dyDescent="0.3">
      <c r="I26617" s="101"/>
    </row>
    <row r="26618" spans="9:9" x14ac:dyDescent="0.3">
      <c r="I26618" s="101"/>
    </row>
    <row r="26619" spans="9:9" x14ac:dyDescent="0.3">
      <c r="I26619" s="101"/>
    </row>
    <row r="26620" spans="9:9" x14ac:dyDescent="0.3">
      <c r="I26620" s="101"/>
    </row>
    <row r="26621" spans="9:9" x14ac:dyDescent="0.3">
      <c r="I26621" s="101"/>
    </row>
    <row r="26622" spans="9:9" x14ac:dyDescent="0.3">
      <c r="I26622" s="101"/>
    </row>
    <row r="26623" spans="9:9" x14ac:dyDescent="0.3">
      <c r="I26623" s="101"/>
    </row>
    <row r="26624" spans="9:9" x14ac:dyDescent="0.3">
      <c r="I26624" s="101"/>
    </row>
    <row r="26625" spans="9:9" x14ac:dyDescent="0.3">
      <c r="I26625" s="101"/>
    </row>
    <row r="26626" spans="9:9" x14ac:dyDescent="0.3">
      <c r="I26626" s="101"/>
    </row>
    <row r="26627" spans="9:9" x14ac:dyDescent="0.3">
      <c r="I26627" s="101"/>
    </row>
    <row r="26628" spans="9:9" x14ac:dyDescent="0.3">
      <c r="I26628" s="101"/>
    </row>
    <row r="26629" spans="9:9" x14ac:dyDescent="0.3">
      <c r="I26629" s="101"/>
    </row>
    <row r="26630" spans="9:9" x14ac:dyDescent="0.3">
      <c r="I26630" s="101"/>
    </row>
    <row r="26631" spans="9:9" x14ac:dyDescent="0.3">
      <c r="I26631" s="101"/>
    </row>
    <row r="26632" spans="9:9" x14ac:dyDescent="0.3">
      <c r="I26632" s="101"/>
    </row>
    <row r="26633" spans="9:9" x14ac:dyDescent="0.3">
      <c r="I26633" s="101"/>
    </row>
    <row r="26634" spans="9:9" x14ac:dyDescent="0.3">
      <c r="I26634" s="101"/>
    </row>
    <row r="26635" spans="9:9" x14ac:dyDescent="0.3">
      <c r="I26635" s="101"/>
    </row>
    <row r="26636" spans="9:9" x14ac:dyDescent="0.3">
      <c r="I26636" s="101"/>
    </row>
    <row r="26637" spans="9:9" x14ac:dyDescent="0.3">
      <c r="I26637" s="101"/>
    </row>
    <row r="26638" spans="9:9" x14ac:dyDescent="0.3">
      <c r="I26638" s="101"/>
    </row>
    <row r="26639" spans="9:9" x14ac:dyDescent="0.3">
      <c r="I26639" s="101"/>
    </row>
    <row r="26640" spans="9:9" x14ac:dyDescent="0.3">
      <c r="I26640" s="101"/>
    </row>
    <row r="26641" spans="9:9" x14ac:dyDescent="0.3">
      <c r="I26641" s="101"/>
    </row>
    <row r="26642" spans="9:9" x14ac:dyDescent="0.3">
      <c r="I26642" s="101"/>
    </row>
    <row r="26643" spans="9:9" x14ac:dyDescent="0.3">
      <c r="I26643" s="101"/>
    </row>
    <row r="26644" spans="9:9" x14ac:dyDescent="0.3">
      <c r="I26644" s="101"/>
    </row>
    <row r="26645" spans="9:9" x14ac:dyDescent="0.3">
      <c r="I26645" s="101"/>
    </row>
    <row r="26646" spans="9:9" x14ac:dyDescent="0.3">
      <c r="I26646" s="101"/>
    </row>
    <row r="26647" spans="9:9" x14ac:dyDescent="0.3">
      <c r="I26647" s="101"/>
    </row>
    <row r="26648" spans="9:9" x14ac:dyDescent="0.3">
      <c r="I26648" s="101"/>
    </row>
    <row r="26649" spans="9:9" x14ac:dyDescent="0.3">
      <c r="I26649" s="101"/>
    </row>
    <row r="26650" spans="9:9" x14ac:dyDescent="0.3">
      <c r="I26650" s="101"/>
    </row>
    <row r="26651" spans="9:9" x14ac:dyDescent="0.3">
      <c r="I26651" s="101"/>
    </row>
    <row r="26652" spans="9:9" x14ac:dyDescent="0.3">
      <c r="I26652" s="101"/>
    </row>
    <row r="26653" spans="9:9" x14ac:dyDescent="0.3">
      <c r="I26653" s="101"/>
    </row>
    <row r="26654" spans="9:9" x14ac:dyDescent="0.3">
      <c r="I26654" s="101"/>
    </row>
    <row r="26655" spans="9:9" x14ac:dyDescent="0.3">
      <c r="I26655" s="101"/>
    </row>
    <row r="26656" spans="9:9" x14ac:dyDescent="0.3">
      <c r="I26656" s="101"/>
    </row>
    <row r="26657" spans="9:9" x14ac:dyDescent="0.3">
      <c r="I26657" s="101"/>
    </row>
    <row r="26658" spans="9:9" x14ac:dyDescent="0.3">
      <c r="I26658" s="101"/>
    </row>
    <row r="26659" spans="9:9" x14ac:dyDescent="0.3">
      <c r="I26659" s="101"/>
    </row>
    <row r="26660" spans="9:9" x14ac:dyDescent="0.3">
      <c r="I26660" s="101"/>
    </row>
    <row r="26661" spans="9:9" x14ac:dyDescent="0.3">
      <c r="I26661" s="101"/>
    </row>
    <row r="26662" spans="9:9" x14ac:dyDescent="0.3">
      <c r="I26662" s="101"/>
    </row>
    <row r="26663" spans="9:9" x14ac:dyDescent="0.3">
      <c r="I26663" s="101"/>
    </row>
    <row r="26664" spans="9:9" x14ac:dyDescent="0.3">
      <c r="I26664" s="101"/>
    </row>
    <row r="26665" spans="9:9" x14ac:dyDescent="0.3">
      <c r="I26665" s="101"/>
    </row>
    <row r="26666" spans="9:9" x14ac:dyDescent="0.3">
      <c r="I26666" s="101"/>
    </row>
    <row r="26667" spans="9:9" x14ac:dyDescent="0.3">
      <c r="I26667" s="101"/>
    </row>
    <row r="26668" spans="9:9" x14ac:dyDescent="0.3">
      <c r="I26668" s="101"/>
    </row>
    <row r="26669" spans="9:9" x14ac:dyDescent="0.3">
      <c r="I26669" s="101"/>
    </row>
    <row r="26670" spans="9:9" x14ac:dyDescent="0.3">
      <c r="I26670" s="101"/>
    </row>
    <row r="26671" spans="9:9" x14ac:dyDescent="0.3">
      <c r="I26671" s="101"/>
    </row>
    <row r="26672" spans="9:9" x14ac:dyDescent="0.3">
      <c r="I26672" s="101"/>
    </row>
    <row r="26673" spans="9:9" x14ac:dyDescent="0.3">
      <c r="I26673" s="101"/>
    </row>
    <row r="26674" spans="9:9" x14ac:dyDescent="0.3">
      <c r="I26674" s="101"/>
    </row>
    <row r="26675" spans="9:9" x14ac:dyDescent="0.3">
      <c r="I26675" s="101"/>
    </row>
    <row r="26676" spans="9:9" x14ac:dyDescent="0.3">
      <c r="I26676" s="101"/>
    </row>
    <row r="26677" spans="9:9" x14ac:dyDescent="0.3">
      <c r="I26677" s="101"/>
    </row>
    <row r="26678" spans="9:9" x14ac:dyDescent="0.3">
      <c r="I26678" s="101"/>
    </row>
    <row r="26679" spans="9:9" x14ac:dyDescent="0.3">
      <c r="I26679" s="101"/>
    </row>
    <row r="26680" spans="9:9" x14ac:dyDescent="0.3">
      <c r="I26680" s="101"/>
    </row>
    <row r="26681" spans="9:9" x14ac:dyDescent="0.3">
      <c r="I26681" s="101"/>
    </row>
    <row r="26682" spans="9:9" x14ac:dyDescent="0.3">
      <c r="I26682" s="101"/>
    </row>
    <row r="26683" spans="9:9" x14ac:dyDescent="0.3">
      <c r="I26683" s="101"/>
    </row>
    <row r="26684" spans="9:9" x14ac:dyDescent="0.3">
      <c r="I26684" s="101"/>
    </row>
    <row r="26685" spans="9:9" x14ac:dyDescent="0.3">
      <c r="I26685" s="101"/>
    </row>
    <row r="26686" spans="9:9" x14ac:dyDescent="0.3">
      <c r="I26686" s="101"/>
    </row>
    <row r="26687" spans="9:9" x14ac:dyDescent="0.3">
      <c r="I26687" s="101"/>
    </row>
    <row r="26688" spans="9:9" x14ac:dyDescent="0.3">
      <c r="I26688" s="101"/>
    </row>
    <row r="26689" spans="9:9" x14ac:dyDescent="0.3">
      <c r="I26689" s="101"/>
    </row>
    <row r="26690" spans="9:9" x14ac:dyDescent="0.3">
      <c r="I26690" s="101"/>
    </row>
    <row r="26691" spans="9:9" x14ac:dyDescent="0.3">
      <c r="I26691" s="101"/>
    </row>
    <row r="26692" spans="9:9" x14ac:dyDescent="0.3">
      <c r="I26692" s="101"/>
    </row>
    <row r="26693" spans="9:9" x14ac:dyDescent="0.3">
      <c r="I26693" s="101"/>
    </row>
    <row r="26694" spans="9:9" x14ac:dyDescent="0.3">
      <c r="I26694" s="101"/>
    </row>
    <row r="26695" spans="9:9" x14ac:dyDescent="0.3">
      <c r="I26695" s="101"/>
    </row>
    <row r="26696" spans="9:9" x14ac:dyDescent="0.3">
      <c r="I26696" s="101"/>
    </row>
    <row r="26697" spans="9:9" x14ac:dyDescent="0.3">
      <c r="I26697" s="101"/>
    </row>
    <row r="26698" spans="9:9" x14ac:dyDescent="0.3">
      <c r="I26698" s="101"/>
    </row>
    <row r="26699" spans="9:9" x14ac:dyDescent="0.3">
      <c r="I26699" s="101"/>
    </row>
    <row r="26700" spans="9:9" x14ac:dyDescent="0.3">
      <c r="I26700" s="101"/>
    </row>
    <row r="26701" spans="9:9" x14ac:dyDescent="0.3">
      <c r="I26701" s="101"/>
    </row>
    <row r="26702" spans="9:9" x14ac:dyDescent="0.3">
      <c r="I26702" s="101"/>
    </row>
    <row r="26703" spans="9:9" x14ac:dyDescent="0.3">
      <c r="I26703" s="101"/>
    </row>
    <row r="26704" spans="9:9" x14ac:dyDescent="0.3">
      <c r="I26704" s="101"/>
    </row>
    <row r="26705" spans="9:9" x14ac:dyDescent="0.3">
      <c r="I26705" s="101"/>
    </row>
    <row r="26706" spans="9:9" x14ac:dyDescent="0.3">
      <c r="I26706" s="101"/>
    </row>
    <row r="26707" spans="9:9" x14ac:dyDescent="0.3">
      <c r="I26707" s="101"/>
    </row>
    <row r="26708" spans="9:9" x14ac:dyDescent="0.3">
      <c r="I26708" s="101"/>
    </row>
    <row r="26709" spans="9:9" x14ac:dyDescent="0.3">
      <c r="I26709" s="101"/>
    </row>
    <row r="26710" spans="9:9" x14ac:dyDescent="0.3">
      <c r="I26710" s="101"/>
    </row>
    <row r="26711" spans="9:9" x14ac:dyDescent="0.3">
      <c r="I26711" s="101"/>
    </row>
    <row r="26712" spans="9:9" x14ac:dyDescent="0.3">
      <c r="I26712" s="101"/>
    </row>
    <row r="26713" spans="9:9" x14ac:dyDescent="0.3">
      <c r="I26713" s="101"/>
    </row>
    <row r="26714" spans="9:9" x14ac:dyDescent="0.3">
      <c r="I26714" s="101"/>
    </row>
    <row r="26715" spans="9:9" x14ac:dyDescent="0.3">
      <c r="I26715" s="101"/>
    </row>
    <row r="26716" spans="9:9" x14ac:dyDescent="0.3">
      <c r="I26716" s="101"/>
    </row>
    <row r="26717" spans="9:9" x14ac:dyDescent="0.3">
      <c r="I26717" s="101"/>
    </row>
    <row r="26718" spans="9:9" x14ac:dyDescent="0.3">
      <c r="I26718" s="101"/>
    </row>
    <row r="26719" spans="9:9" x14ac:dyDescent="0.3">
      <c r="I26719" s="101"/>
    </row>
    <row r="26720" spans="9:9" x14ac:dyDescent="0.3">
      <c r="I26720" s="101"/>
    </row>
    <row r="26721" spans="9:9" x14ac:dyDescent="0.3">
      <c r="I26721" s="101"/>
    </row>
    <row r="26722" spans="9:9" x14ac:dyDescent="0.3">
      <c r="I26722" s="101"/>
    </row>
    <row r="26723" spans="9:9" x14ac:dyDescent="0.3">
      <c r="I26723" s="101"/>
    </row>
    <row r="26724" spans="9:9" x14ac:dyDescent="0.3">
      <c r="I26724" s="101"/>
    </row>
    <row r="26725" spans="9:9" x14ac:dyDescent="0.3">
      <c r="I26725" s="101"/>
    </row>
    <row r="26726" spans="9:9" x14ac:dyDescent="0.3">
      <c r="I26726" s="101"/>
    </row>
    <row r="26727" spans="9:9" x14ac:dyDescent="0.3">
      <c r="I26727" s="101"/>
    </row>
    <row r="26728" spans="9:9" x14ac:dyDescent="0.3">
      <c r="I26728" s="101"/>
    </row>
    <row r="26729" spans="9:9" x14ac:dyDescent="0.3">
      <c r="I26729" s="101"/>
    </row>
    <row r="26730" spans="9:9" x14ac:dyDescent="0.3">
      <c r="I26730" s="101"/>
    </row>
    <row r="26731" spans="9:9" x14ac:dyDescent="0.3">
      <c r="I26731" s="101"/>
    </row>
    <row r="26732" spans="9:9" x14ac:dyDescent="0.3">
      <c r="I26732" s="101"/>
    </row>
    <row r="26733" spans="9:9" x14ac:dyDescent="0.3">
      <c r="I26733" s="101"/>
    </row>
    <row r="26734" spans="9:9" x14ac:dyDescent="0.3">
      <c r="I26734" s="101"/>
    </row>
    <row r="26735" spans="9:9" x14ac:dyDescent="0.3">
      <c r="I26735" s="101"/>
    </row>
    <row r="26736" spans="9:9" x14ac:dyDescent="0.3">
      <c r="I26736" s="101"/>
    </row>
    <row r="26737" spans="9:9" x14ac:dyDescent="0.3">
      <c r="I26737" s="101"/>
    </row>
    <row r="26738" spans="9:9" x14ac:dyDescent="0.3">
      <c r="I26738" s="101"/>
    </row>
    <row r="26739" spans="9:9" x14ac:dyDescent="0.3">
      <c r="I26739" s="101"/>
    </row>
    <row r="26740" spans="9:9" x14ac:dyDescent="0.3">
      <c r="I26740" s="101"/>
    </row>
    <row r="26741" spans="9:9" x14ac:dyDescent="0.3">
      <c r="I26741" s="101"/>
    </row>
    <row r="26742" spans="9:9" x14ac:dyDescent="0.3">
      <c r="I26742" s="101"/>
    </row>
    <row r="26743" spans="9:9" x14ac:dyDescent="0.3">
      <c r="I26743" s="101"/>
    </row>
    <row r="26744" spans="9:9" x14ac:dyDescent="0.3">
      <c r="I26744" s="101"/>
    </row>
    <row r="26745" spans="9:9" x14ac:dyDescent="0.3">
      <c r="I26745" s="101"/>
    </row>
    <row r="26746" spans="9:9" x14ac:dyDescent="0.3">
      <c r="I26746" s="101"/>
    </row>
    <row r="26747" spans="9:9" x14ac:dyDescent="0.3">
      <c r="I26747" s="101"/>
    </row>
    <row r="26748" spans="9:9" x14ac:dyDescent="0.3">
      <c r="I26748" s="101"/>
    </row>
    <row r="26749" spans="9:9" x14ac:dyDescent="0.3">
      <c r="I26749" s="101"/>
    </row>
    <row r="26750" spans="9:9" x14ac:dyDescent="0.3">
      <c r="I26750" s="101"/>
    </row>
    <row r="26751" spans="9:9" x14ac:dyDescent="0.3">
      <c r="I26751" s="101"/>
    </row>
    <row r="26752" spans="9:9" x14ac:dyDescent="0.3">
      <c r="I26752" s="101"/>
    </row>
    <row r="26753" spans="9:9" x14ac:dyDescent="0.3">
      <c r="I26753" s="101"/>
    </row>
    <row r="26754" spans="9:9" x14ac:dyDescent="0.3">
      <c r="I26754" s="101"/>
    </row>
    <row r="26755" spans="9:9" x14ac:dyDescent="0.3">
      <c r="I26755" s="101"/>
    </row>
    <row r="26756" spans="9:9" x14ac:dyDescent="0.3">
      <c r="I26756" s="101"/>
    </row>
    <row r="26757" spans="9:9" x14ac:dyDescent="0.3">
      <c r="I26757" s="101"/>
    </row>
    <row r="26758" spans="9:9" x14ac:dyDescent="0.3">
      <c r="I26758" s="101"/>
    </row>
    <row r="26759" spans="9:9" x14ac:dyDescent="0.3">
      <c r="I26759" s="101"/>
    </row>
    <row r="26760" spans="9:9" x14ac:dyDescent="0.3">
      <c r="I26760" s="101"/>
    </row>
    <row r="26761" spans="9:9" x14ac:dyDescent="0.3">
      <c r="I26761" s="101"/>
    </row>
    <row r="26762" spans="9:9" x14ac:dyDescent="0.3">
      <c r="I26762" s="101"/>
    </row>
    <row r="26763" spans="9:9" x14ac:dyDescent="0.3">
      <c r="I26763" s="101"/>
    </row>
    <row r="26764" spans="9:9" x14ac:dyDescent="0.3">
      <c r="I26764" s="101"/>
    </row>
    <row r="26765" spans="9:9" x14ac:dyDescent="0.3">
      <c r="I26765" s="101"/>
    </row>
    <row r="26766" spans="9:9" x14ac:dyDescent="0.3">
      <c r="I26766" s="101"/>
    </row>
    <row r="26767" spans="9:9" x14ac:dyDescent="0.3">
      <c r="I26767" s="101"/>
    </row>
    <row r="26768" spans="9:9" x14ac:dyDescent="0.3">
      <c r="I26768" s="101"/>
    </row>
    <row r="26769" spans="9:9" x14ac:dyDescent="0.3">
      <c r="I26769" s="101"/>
    </row>
    <row r="26770" spans="9:9" x14ac:dyDescent="0.3">
      <c r="I26770" s="101"/>
    </row>
    <row r="26771" spans="9:9" x14ac:dyDescent="0.3">
      <c r="I26771" s="101"/>
    </row>
    <row r="26772" spans="9:9" x14ac:dyDescent="0.3">
      <c r="I26772" s="101"/>
    </row>
    <row r="26773" spans="9:9" x14ac:dyDescent="0.3">
      <c r="I26773" s="101"/>
    </row>
    <row r="26774" spans="9:9" x14ac:dyDescent="0.3">
      <c r="I26774" s="101"/>
    </row>
    <row r="26775" spans="9:9" x14ac:dyDescent="0.3">
      <c r="I26775" s="101"/>
    </row>
    <row r="26776" spans="9:9" x14ac:dyDescent="0.3">
      <c r="I26776" s="101"/>
    </row>
    <row r="26777" spans="9:9" x14ac:dyDescent="0.3">
      <c r="I26777" s="101"/>
    </row>
    <row r="26778" spans="9:9" x14ac:dyDescent="0.3">
      <c r="I26778" s="101"/>
    </row>
    <row r="26779" spans="9:9" x14ac:dyDescent="0.3">
      <c r="I26779" s="101"/>
    </row>
    <row r="26780" spans="9:9" x14ac:dyDescent="0.3">
      <c r="I26780" s="101"/>
    </row>
    <row r="26781" spans="9:9" x14ac:dyDescent="0.3">
      <c r="I26781" s="101"/>
    </row>
    <row r="26782" spans="9:9" x14ac:dyDescent="0.3">
      <c r="I26782" s="101"/>
    </row>
    <row r="26783" spans="9:9" x14ac:dyDescent="0.3">
      <c r="I26783" s="101"/>
    </row>
    <row r="26784" spans="9:9" x14ac:dyDescent="0.3">
      <c r="I26784" s="101"/>
    </row>
    <row r="26785" spans="9:9" x14ac:dyDescent="0.3">
      <c r="I26785" s="101"/>
    </row>
    <row r="26786" spans="9:9" x14ac:dyDescent="0.3">
      <c r="I26786" s="101"/>
    </row>
    <row r="26787" spans="9:9" x14ac:dyDescent="0.3">
      <c r="I26787" s="101"/>
    </row>
    <row r="26788" spans="9:9" x14ac:dyDescent="0.3">
      <c r="I26788" s="101"/>
    </row>
    <row r="26789" spans="9:9" x14ac:dyDescent="0.3">
      <c r="I26789" s="101"/>
    </row>
    <row r="26790" spans="9:9" x14ac:dyDescent="0.3">
      <c r="I26790" s="101"/>
    </row>
    <row r="26791" spans="9:9" x14ac:dyDescent="0.3">
      <c r="I26791" s="101"/>
    </row>
    <row r="26792" spans="9:9" x14ac:dyDescent="0.3">
      <c r="I26792" s="101"/>
    </row>
    <row r="26793" spans="9:9" x14ac:dyDescent="0.3">
      <c r="I26793" s="101"/>
    </row>
    <row r="26794" spans="9:9" x14ac:dyDescent="0.3">
      <c r="I26794" s="101"/>
    </row>
    <row r="26795" spans="9:9" x14ac:dyDescent="0.3">
      <c r="I26795" s="101"/>
    </row>
    <row r="26796" spans="9:9" x14ac:dyDescent="0.3">
      <c r="I26796" s="101"/>
    </row>
    <row r="26797" spans="9:9" x14ac:dyDescent="0.3">
      <c r="I26797" s="101"/>
    </row>
    <row r="26798" spans="9:9" x14ac:dyDescent="0.3">
      <c r="I26798" s="101"/>
    </row>
    <row r="26799" spans="9:9" x14ac:dyDescent="0.3">
      <c r="I26799" s="101"/>
    </row>
    <row r="26800" spans="9:9" x14ac:dyDescent="0.3">
      <c r="I26800" s="101"/>
    </row>
    <row r="26801" spans="9:9" x14ac:dyDescent="0.3">
      <c r="I26801" s="101"/>
    </row>
    <row r="26802" spans="9:9" x14ac:dyDescent="0.3">
      <c r="I26802" s="101"/>
    </row>
    <row r="26803" spans="9:9" x14ac:dyDescent="0.3">
      <c r="I26803" s="101"/>
    </row>
    <row r="26804" spans="9:9" x14ac:dyDescent="0.3">
      <c r="I26804" s="101"/>
    </row>
    <row r="26805" spans="9:9" x14ac:dyDescent="0.3">
      <c r="I26805" s="101"/>
    </row>
    <row r="26806" spans="9:9" x14ac:dyDescent="0.3">
      <c r="I26806" s="101"/>
    </row>
    <row r="26807" spans="9:9" x14ac:dyDescent="0.3">
      <c r="I26807" s="101"/>
    </row>
    <row r="26808" spans="9:9" x14ac:dyDescent="0.3">
      <c r="I26808" s="101"/>
    </row>
    <row r="26809" spans="9:9" x14ac:dyDescent="0.3">
      <c r="I26809" s="101"/>
    </row>
    <row r="26810" spans="9:9" x14ac:dyDescent="0.3">
      <c r="I26810" s="101"/>
    </row>
    <row r="26811" spans="9:9" x14ac:dyDescent="0.3">
      <c r="I26811" s="101"/>
    </row>
    <row r="26812" spans="9:9" x14ac:dyDescent="0.3">
      <c r="I26812" s="101"/>
    </row>
    <row r="26813" spans="9:9" x14ac:dyDescent="0.3">
      <c r="I26813" s="101"/>
    </row>
    <row r="26814" spans="9:9" x14ac:dyDescent="0.3">
      <c r="I26814" s="101"/>
    </row>
    <row r="26815" spans="9:9" x14ac:dyDescent="0.3">
      <c r="I26815" s="101"/>
    </row>
    <row r="26816" spans="9:9" x14ac:dyDescent="0.3">
      <c r="I26816" s="101"/>
    </row>
    <row r="26817" spans="9:9" x14ac:dyDescent="0.3">
      <c r="I26817" s="101"/>
    </row>
    <row r="26818" spans="9:9" x14ac:dyDescent="0.3">
      <c r="I26818" s="101"/>
    </row>
    <row r="26819" spans="9:9" x14ac:dyDescent="0.3">
      <c r="I26819" s="101"/>
    </row>
    <row r="26820" spans="9:9" x14ac:dyDescent="0.3">
      <c r="I26820" s="101"/>
    </row>
    <row r="26821" spans="9:9" x14ac:dyDescent="0.3">
      <c r="I26821" s="101"/>
    </row>
    <row r="26822" spans="9:9" x14ac:dyDescent="0.3">
      <c r="I26822" s="101"/>
    </row>
    <row r="26823" spans="9:9" x14ac:dyDescent="0.3">
      <c r="I26823" s="101"/>
    </row>
    <row r="26824" spans="9:9" x14ac:dyDescent="0.3">
      <c r="I26824" s="101"/>
    </row>
    <row r="26825" spans="9:9" x14ac:dyDescent="0.3">
      <c r="I26825" s="101"/>
    </row>
    <row r="26826" spans="9:9" x14ac:dyDescent="0.3">
      <c r="I26826" s="101"/>
    </row>
    <row r="26827" spans="9:9" x14ac:dyDescent="0.3">
      <c r="I26827" s="101"/>
    </row>
    <row r="26828" spans="9:9" x14ac:dyDescent="0.3">
      <c r="I26828" s="101"/>
    </row>
    <row r="26829" spans="9:9" x14ac:dyDescent="0.3">
      <c r="I26829" s="101"/>
    </row>
    <row r="26830" spans="9:9" x14ac:dyDescent="0.3">
      <c r="I26830" s="101"/>
    </row>
    <row r="26831" spans="9:9" x14ac:dyDescent="0.3">
      <c r="I26831" s="101"/>
    </row>
    <row r="26832" spans="9:9" x14ac:dyDescent="0.3">
      <c r="I26832" s="101"/>
    </row>
    <row r="26833" spans="9:9" x14ac:dyDescent="0.3">
      <c r="I26833" s="101"/>
    </row>
    <row r="26834" spans="9:9" x14ac:dyDescent="0.3">
      <c r="I26834" s="101"/>
    </row>
    <row r="26835" spans="9:9" x14ac:dyDescent="0.3">
      <c r="I26835" s="101"/>
    </row>
    <row r="26836" spans="9:9" x14ac:dyDescent="0.3">
      <c r="I26836" s="101"/>
    </row>
    <row r="26837" spans="9:9" x14ac:dyDescent="0.3">
      <c r="I26837" s="101"/>
    </row>
    <row r="26838" spans="9:9" x14ac:dyDescent="0.3">
      <c r="I26838" s="101"/>
    </row>
    <row r="26839" spans="9:9" x14ac:dyDescent="0.3">
      <c r="I26839" s="101"/>
    </row>
    <row r="26840" spans="9:9" x14ac:dyDescent="0.3">
      <c r="I26840" s="101"/>
    </row>
    <row r="26841" spans="9:9" x14ac:dyDescent="0.3">
      <c r="I26841" s="101"/>
    </row>
    <row r="26842" spans="9:9" x14ac:dyDescent="0.3">
      <c r="I26842" s="101"/>
    </row>
    <row r="26843" spans="9:9" x14ac:dyDescent="0.3">
      <c r="I26843" s="101"/>
    </row>
    <row r="26844" spans="9:9" x14ac:dyDescent="0.3">
      <c r="I26844" s="101"/>
    </row>
    <row r="26845" spans="9:9" x14ac:dyDescent="0.3">
      <c r="I26845" s="101"/>
    </row>
    <row r="26846" spans="9:9" x14ac:dyDescent="0.3">
      <c r="I26846" s="101"/>
    </row>
    <row r="26847" spans="9:9" x14ac:dyDescent="0.3">
      <c r="I26847" s="101"/>
    </row>
    <row r="26848" spans="9:9" x14ac:dyDescent="0.3">
      <c r="I26848" s="101"/>
    </row>
    <row r="26849" spans="9:9" x14ac:dyDescent="0.3">
      <c r="I26849" s="101"/>
    </row>
    <row r="26850" spans="9:9" x14ac:dyDescent="0.3">
      <c r="I26850" s="101"/>
    </row>
    <row r="26851" spans="9:9" x14ac:dyDescent="0.3">
      <c r="I26851" s="101"/>
    </row>
    <row r="26852" spans="9:9" x14ac:dyDescent="0.3">
      <c r="I26852" s="101"/>
    </row>
    <row r="26853" spans="9:9" x14ac:dyDescent="0.3">
      <c r="I26853" s="101"/>
    </row>
    <row r="26854" spans="9:9" x14ac:dyDescent="0.3">
      <c r="I26854" s="101"/>
    </row>
    <row r="26855" spans="9:9" x14ac:dyDescent="0.3">
      <c r="I26855" s="101"/>
    </row>
    <row r="26856" spans="9:9" x14ac:dyDescent="0.3">
      <c r="I26856" s="101"/>
    </row>
    <row r="26857" spans="9:9" x14ac:dyDescent="0.3">
      <c r="I26857" s="101"/>
    </row>
    <row r="26858" spans="9:9" x14ac:dyDescent="0.3">
      <c r="I26858" s="101"/>
    </row>
    <row r="26859" spans="9:9" x14ac:dyDescent="0.3">
      <c r="I26859" s="101"/>
    </row>
    <row r="26860" spans="9:9" x14ac:dyDescent="0.3">
      <c r="I26860" s="101"/>
    </row>
    <row r="26861" spans="9:9" x14ac:dyDescent="0.3">
      <c r="I26861" s="101"/>
    </row>
    <row r="26862" spans="9:9" x14ac:dyDescent="0.3">
      <c r="I26862" s="101"/>
    </row>
    <row r="26863" spans="9:9" x14ac:dyDescent="0.3">
      <c r="I26863" s="101"/>
    </row>
    <row r="26864" spans="9:9" x14ac:dyDescent="0.3">
      <c r="I26864" s="101"/>
    </row>
    <row r="26865" spans="9:9" x14ac:dyDescent="0.3">
      <c r="I26865" s="101"/>
    </row>
    <row r="26866" spans="9:9" x14ac:dyDescent="0.3">
      <c r="I26866" s="101"/>
    </row>
    <row r="26867" spans="9:9" x14ac:dyDescent="0.3">
      <c r="I26867" s="101"/>
    </row>
    <row r="26868" spans="9:9" x14ac:dyDescent="0.3">
      <c r="I26868" s="101"/>
    </row>
    <row r="26869" spans="9:9" x14ac:dyDescent="0.3">
      <c r="I26869" s="101"/>
    </row>
    <row r="26870" spans="9:9" x14ac:dyDescent="0.3">
      <c r="I26870" s="101"/>
    </row>
    <row r="26871" spans="9:9" x14ac:dyDescent="0.3">
      <c r="I26871" s="101"/>
    </row>
    <row r="26872" spans="9:9" x14ac:dyDescent="0.3">
      <c r="I26872" s="101"/>
    </row>
    <row r="26873" spans="9:9" x14ac:dyDescent="0.3">
      <c r="I26873" s="101"/>
    </row>
    <row r="26874" spans="9:9" x14ac:dyDescent="0.3">
      <c r="I26874" s="101"/>
    </row>
    <row r="26875" spans="9:9" x14ac:dyDescent="0.3">
      <c r="I26875" s="101"/>
    </row>
    <row r="26876" spans="9:9" x14ac:dyDescent="0.3">
      <c r="I26876" s="101"/>
    </row>
    <row r="26877" spans="9:9" x14ac:dyDescent="0.3">
      <c r="I26877" s="101"/>
    </row>
    <row r="26878" spans="9:9" x14ac:dyDescent="0.3">
      <c r="I26878" s="101"/>
    </row>
    <row r="26879" spans="9:9" x14ac:dyDescent="0.3">
      <c r="I26879" s="101"/>
    </row>
    <row r="26880" spans="9:9" x14ac:dyDescent="0.3">
      <c r="I26880" s="101"/>
    </row>
    <row r="26881" spans="9:9" x14ac:dyDescent="0.3">
      <c r="I26881" s="101"/>
    </row>
    <row r="26882" spans="9:9" x14ac:dyDescent="0.3">
      <c r="I26882" s="101"/>
    </row>
    <row r="26883" spans="9:9" x14ac:dyDescent="0.3">
      <c r="I26883" s="101"/>
    </row>
    <row r="26884" spans="9:9" x14ac:dyDescent="0.3">
      <c r="I26884" s="101"/>
    </row>
    <row r="26885" spans="9:9" x14ac:dyDescent="0.3">
      <c r="I26885" s="101"/>
    </row>
    <row r="26886" spans="9:9" x14ac:dyDescent="0.3">
      <c r="I26886" s="101"/>
    </row>
    <row r="26887" spans="9:9" x14ac:dyDescent="0.3">
      <c r="I26887" s="101"/>
    </row>
    <row r="26888" spans="9:9" x14ac:dyDescent="0.3">
      <c r="I26888" s="101"/>
    </row>
    <row r="26889" spans="9:9" x14ac:dyDescent="0.3">
      <c r="I26889" s="101"/>
    </row>
    <row r="26890" spans="9:9" x14ac:dyDescent="0.3">
      <c r="I26890" s="101"/>
    </row>
    <row r="26891" spans="9:9" x14ac:dyDescent="0.3">
      <c r="I26891" s="101"/>
    </row>
    <row r="26892" spans="9:9" x14ac:dyDescent="0.3">
      <c r="I26892" s="101"/>
    </row>
    <row r="26893" spans="9:9" x14ac:dyDescent="0.3">
      <c r="I26893" s="101"/>
    </row>
    <row r="26894" spans="9:9" x14ac:dyDescent="0.3">
      <c r="I26894" s="101"/>
    </row>
    <row r="26895" spans="9:9" x14ac:dyDescent="0.3">
      <c r="I26895" s="101"/>
    </row>
    <row r="26896" spans="9:9" x14ac:dyDescent="0.3">
      <c r="I26896" s="101"/>
    </row>
    <row r="26897" spans="9:9" x14ac:dyDescent="0.3">
      <c r="I26897" s="101"/>
    </row>
    <row r="26898" spans="9:9" x14ac:dyDescent="0.3">
      <c r="I26898" s="101"/>
    </row>
    <row r="26899" spans="9:9" x14ac:dyDescent="0.3">
      <c r="I26899" s="101"/>
    </row>
    <row r="26900" spans="9:9" x14ac:dyDescent="0.3">
      <c r="I26900" s="101"/>
    </row>
    <row r="26901" spans="9:9" x14ac:dyDescent="0.3">
      <c r="I26901" s="101"/>
    </row>
    <row r="26902" spans="9:9" x14ac:dyDescent="0.3">
      <c r="I26902" s="101"/>
    </row>
    <row r="26903" spans="9:9" x14ac:dyDescent="0.3">
      <c r="I26903" s="101"/>
    </row>
    <row r="26904" spans="9:9" x14ac:dyDescent="0.3">
      <c r="I26904" s="101"/>
    </row>
    <row r="26905" spans="9:9" x14ac:dyDescent="0.3">
      <c r="I26905" s="101"/>
    </row>
    <row r="26906" spans="9:9" x14ac:dyDescent="0.3">
      <c r="I26906" s="101"/>
    </row>
    <row r="26907" spans="9:9" x14ac:dyDescent="0.3">
      <c r="I26907" s="101"/>
    </row>
    <row r="26908" spans="9:9" x14ac:dyDescent="0.3">
      <c r="I26908" s="101"/>
    </row>
    <row r="26909" spans="9:9" x14ac:dyDescent="0.3">
      <c r="I26909" s="101"/>
    </row>
    <row r="26910" spans="9:9" x14ac:dyDescent="0.3">
      <c r="I26910" s="101"/>
    </row>
    <row r="26911" spans="9:9" x14ac:dyDescent="0.3">
      <c r="I26911" s="101"/>
    </row>
    <row r="26912" spans="9:9" x14ac:dyDescent="0.3">
      <c r="I26912" s="101"/>
    </row>
    <row r="26913" spans="9:9" x14ac:dyDescent="0.3">
      <c r="I26913" s="101"/>
    </row>
    <row r="26914" spans="9:9" x14ac:dyDescent="0.3">
      <c r="I26914" s="101"/>
    </row>
    <row r="26915" spans="9:9" x14ac:dyDescent="0.3">
      <c r="I26915" s="101"/>
    </row>
    <row r="26916" spans="9:9" x14ac:dyDescent="0.3">
      <c r="I26916" s="101"/>
    </row>
    <row r="26917" spans="9:9" x14ac:dyDescent="0.3">
      <c r="I26917" s="101"/>
    </row>
    <row r="26918" spans="9:9" x14ac:dyDescent="0.3">
      <c r="I26918" s="101"/>
    </row>
    <row r="26919" spans="9:9" x14ac:dyDescent="0.3">
      <c r="I26919" s="101"/>
    </row>
    <row r="26920" spans="9:9" x14ac:dyDescent="0.3">
      <c r="I26920" s="101"/>
    </row>
    <row r="26921" spans="9:9" x14ac:dyDescent="0.3">
      <c r="I26921" s="101"/>
    </row>
    <row r="26922" spans="9:9" x14ac:dyDescent="0.3">
      <c r="I26922" s="101"/>
    </row>
    <row r="26923" spans="9:9" x14ac:dyDescent="0.3">
      <c r="I26923" s="101"/>
    </row>
    <row r="26924" spans="9:9" x14ac:dyDescent="0.3">
      <c r="I26924" s="101"/>
    </row>
    <row r="26925" spans="9:9" x14ac:dyDescent="0.3">
      <c r="I26925" s="101"/>
    </row>
    <row r="26926" spans="9:9" x14ac:dyDescent="0.3">
      <c r="I26926" s="101"/>
    </row>
    <row r="26927" spans="9:9" x14ac:dyDescent="0.3">
      <c r="I26927" s="101"/>
    </row>
    <row r="26928" spans="9:9" x14ac:dyDescent="0.3">
      <c r="I26928" s="101"/>
    </row>
    <row r="26929" spans="9:9" x14ac:dyDescent="0.3">
      <c r="I26929" s="101"/>
    </row>
    <row r="26930" spans="9:9" x14ac:dyDescent="0.3">
      <c r="I26930" s="101"/>
    </row>
    <row r="26931" spans="9:9" x14ac:dyDescent="0.3">
      <c r="I26931" s="101"/>
    </row>
    <row r="26932" spans="9:9" x14ac:dyDescent="0.3">
      <c r="I26932" s="101"/>
    </row>
    <row r="26933" spans="9:9" x14ac:dyDescent="0.3">
      <c r="I26933" s="101"/>
    </row>
    <row r="26934" spans="9:9" x14ac:dyDescent="0.3">
      <c r="I26934" s="101"/>
    </row>
    <row r="26935" spans="9:9" x14ac:dyDescent="0.3">
      <c r="I26935" s="101"/>
    </row>
    <row r="26936" spans="9:9" x14ac:dyDescent="0.3">
      <c r="I26936" s="101"/>
    </row>
    <row r="26937" spans="9:9" x14ac:dyDescent="0.3">
      <c r="I26937" s="101"/>
    </row>
    <row r="26938" spans="9:9" x14ac:dyDescent="0.3">
      <c r="I26938" s="101"/>
    </row>
    <row r="26939" spans="9:9" x14ac:dyDescent="0.3">
      <c r="I26939" s="101"/>
    </row>
    <row r="26940" spans="9:9" x14ac:dyDescent="0.3">
      <c r="I26940" s="101"/>
    </row>
    <row r="26941" spans="9:9" x14ac:dyDescent="0.3">
      <c r="I26941" s="101"/>
    </row>
    <row r="26942" spans="9:9" x14ac:dyDescent="0.3">
      <c r="I26942" s="101"/>
    </row>
    <row r="26943" spans="9:9" x14ac:dyDescent="0.3">
      <c r="I26943" s="101"/>
    </row>
    <row r="26944" spans="9:9" x14ac:dyDescent="0.3">
      <c r="I26944" s="101"/>
    </row>
    <row r="26945" spans="9:9" x14ac:dyDescent="0.3">
      <c r="I26945" s="101"/>
    </row>
    <row r="26946" spans="9:9" x14ac:dyDescent="0.3">
      <c r="I26946" s="101"/>
    </row>
    <row r="26947" spans="9:9" x14ac:dyDescent="0.3">
      <c r="I26947" s="101"/>
    </row>
    <row r="26948" spans="9:9" x14ac:dyDescent="0.3">
      <c r="I26948" s="101"/>
    </row>
    <row r="26949" spans="9:9" x14ac:dyDescent="0.3">
      <c r="I26949" s="101"/>
    </row>
    <row r="26950" spans="9:9" x14ac:dyDescent="0.3">
      <c r="I26950" s="101"/>
    </row>
    <row r="26951" spans="9:9" x14ac:dyDescent="0.3">
      <c r="I26951" s="101"/>
    </row>
    <row r="26952" spans="9:9" x14ac:dyDescent="0.3">
      <c r="I26952" s="101"/>
    </row>
    <row r="26953" spans="9:9" x14ac:dyDescent="0.3">
      <c r="I26953" s="101"/>
    </row>
    <row r="26954" spans="9:9" x14ac:dyDescent="0.3">
      <c r="I26954" s="101"/>
    </row>
    <row r="26955" spans="9:9" x14ac:dyDescent="0.3">
      <c r="I26955" s="101"/>
    </row>
    <row r="26956" spans="9:9" x14ac:dyDescent="0.3">
      <c r="I26956" s="101"/>
    </row>
    <row r="26957" spans="9:9" x14ac:dyDescent="0.3">
      <c r="I26957" s="101"/>
    </row>
    <row r="26958" spans="9:9" x14ac:dyDescent="0.3">
      <c r="I26958" s="101"/>
    </row>
    <row r="26959" spans="9:9" x14ac:dyDescent="0.3">
      <c r="I26959" s="101"/>
    </row>
    <row r="26960" spans="9:9" x14ac:dyDescent="0.3">
      <c r="I26960" s="101"/>
    </row>
    <row r="26961" spans="9:9" x14ac:dyDescent="0.3">
      <c r="I26961" s="101"/>
    </row>
    <row r="26962" spans="9:9" x14ac:dyDescent="0.3">
      <c r="I26962" s="101"/>
    </row>
    <row r="26963" spans="9:9" x14ac:dyDescent="0.3">
      <c r="I26963" s="101"/>
    </row>
    <row r="26964" spans="9:9" x14ac:dyDescent="0.3">
      <c r="I26964" s="101"/>
    </row>
    <row r="26965" spans="9:9" x14ac:dyDescent="0.3">
      <c r="I26965" s="101"/>
    </row>
    <row r="26966" spans="9:9" x14ac:dyDescent="0.3">
      <c r="I26966" s="101"/>
    </row>
    <row r="26967" spans="9:9" x14ac:dyDescent="0.3">
      <c r="I26967" s="101"/>
    </row>
    <row r="26968" spans="9:9" x14ac:dyDescent="0.3">
      <c r="I26968" s="101"/>
    </row>
    <row r="26969" spans="9:9" x14ac:dyDescent="0.3">
      <c r="I26969" s="101"/>
    </row>
    <row r="26970" spans="9:9" x14ac:dyDescent="0.3">
      <c r="I26970" s="101"/>
    </row>
    <row r="26971" spans="9:9" x14ac:dyDescent="0.3">
      <c r="I26971" s="101"/>
    </row>
    <row r="26972" spans="9:9" x14ac:dyDescent="0.3">
      <c r="I26972" s="101"/>
    </row>
    <row r="26973" spans="9:9" x14ac:dyDescent="0.3">
      <c r="I26973" s="101"/>
    </row>
    <row r="26974" spans="9:9" x14ac:dyDescent="0.3">
      <c r="I26974" s="101"/>
    </row>
    <row r="26975" spans="9:9" x14ac:dyDescent="0.3">
      <c r="I26975" s="101"/>
    </row>
    <row r="26976" spans="9:9" x14ac:dyDescent="0.3">
      <c r="I26976" s="101"/>
    </row>
    <row r="26977" spans="9:9" x14ac:dyDescent="0.3">
      <c r="I26977" s="101"/>
    </row>
    <row r="26978" spans="9:9" x14ac:dyDescent="0.3">
      <c r="I26978" s="101"/>
    </row>
    <row r="26979" spans="9:9" x14ac:dyDescent="0.3">
      <c r="I26979" s="101"/>
    </row>
    <row r="26980" spans="9:9" x14ac:dyDescent="0.3">
      <c r="I26980" s="101"/>
    </row>
    <row r="26981" spans="9:9" x14ac:dyDescent="0.3">
      <c r="I26981" s="101"/>
    </row>
    <row r="26982" spans="9:9" x14ac:dyDescent="0.3">
      <c r="I26982" s="101"/>
    </row>
    <row r="26983" spans="9:9" x14ac:dyDescent="0.3">
      <c r="I26983" s="101"/>
    </row>
    <row r="26984" spans="9:9" x14ac:dyDescent="0.3">
      <c r="I26984" s="101"/>
    </row>
    <row r="26985" spans="9:9" x14ac:dyDescent="0.3">
      <c r="I26985" s="101"/>
    </row>
    <row r="26986" spans="9:9" x14ac:dyDescent="0.3">
      <c r="I26986" s="101"/>
    </row>
    <row r="26987" spans="9:9" x14ac:dyDescent="0.3">
      <c r="I26987" s="101"/>
    </row>
    <row r="26988" spans="9:9" x14ac:dyDescent="0.3">
      <c r="I26988" s="101"/>
    </row>
    <row r="26989" spans="9:9" x14ac:dyDescent="0.3">
      <c r="I26989" s="101"/>
    </row>
    <row r="26990" spans="9:9" x14ac:dyDescent="0.3">
      <c r="I26990" s="101"/>
    </row>
    <row r="26991" spans="9:9" x14ac:dyDescent="0.3">
      <c r="I26991" s="101"/>
    </row>
    <row r="26992" spans="9:9" x14ac:dyDescent="0.3">
      <c r="I26992" s="101"/>
    </row>
    <row r="26993" spans="9:9" x14ac:dyDescent="0.3">
      <c r="I26993" s="101"/>
    </row>
    <row r="26994" spans="9:9" x14ac:dyDescent="0.3">
      <c r="I26994" s="101"/>
    </row>
    <row r="26995" spans="9:9" x14ac:dyDescent="0.3">
      <c r="I26995" s="101"/>
    </row>
    <row r="26996" spans="9:9" x14ac:dyDescent="0.3">
      <c r="I26996" s="101"/>
    </row>
    <row r="26997" spans="9:9" x14ac:dyDescent="0.3">
      <c r="I26997" s="101"/>
    </row>
    <row r="26998" spans="9:9" x14ac:dyDescent="0.3">
      <c r="I26998" s="101"/>
    </row>
    <row r="26999" spans="9:9" x14ac:dyDescent="0.3">
      <c r="I26999" s="101"/>
    </row>
    <row r="27000" spans="9:9" x14ac:dyDescent="0.3">
      <c r="I27000" s="101"/>
    </row>
    <row r="27001" spans="9:9" x14ac:dyDescent="0.3">
      <c r="I27001" s="101"/>
    </row>
    <row r="27002" spans="9:9" x14ac:dyDescent="0.3">
      <c r="I27002" s="101"/>
    </row>
    <row r="27003" spans="9:9" x14ac:dyDescent="0.3">
      <c r="I27003" s="101"/>
    </row>
    <row r="27004" spans="9:9" x14ac:dyDescent="0.3">
      <c r="I27004" s="101"/>
    </row>
    <row r="27005" spans="9:9" x14ac:dyDescent="0.3">
      <c r="I27005" s="101"/>
    </row>
    <row r="27006" spans="9:9" x14ac:dyDescent="0.3">
      <c r="I27006" s="101"/>
    </row>
    <row r="27007" spans="9:9" x14ac:dyDescent="0.3">
      <c r="I27007" s="101"/>
    </row>
    <row r="27008" spans="9:9" x14ac:dyDescent="0.3">
      <c r="I27008" s="101"/>
    </row>
    <row r="27009" spans="9:9" x14ac:dyDescent="0.3">
      <c r="I27009" s="101"/>
    </row>
    <row r="27010" spans="9:9" x14ac:dyDescent="0.3">
      <c r="I27010" s="101"/>
    </row>
    <row r="27011" spans="9:9" x14ac:dyDescent="0.3">
      <c r="I27011" s="101"/>
    </row>
    <row r="27012" spans="9:9" x14ac:dyDescent="0.3">
      <c r="I27012" s="101"/>
    </row>
    <row r="27013" spans="9:9" x14ac:dyDescent="0.3">
      <c r="I27013" s="101"/>
    </row>
    <row r="27014" spans="9:9" x14ac:dyDescent="0.3">
      <c r="I27014" s="101"/>
    </row>
    <row r="27015" spans="9:9" x14ac:dyDescent="0.3">
      <c r="I27015" s="101"/>
    </row>
    <row r="27016" spans="9:9" x14ac:dyDescent="0.3">
      <c r="I27016" s="101"/>
    </row>
    <row r="27017" spans="9:9" x14ac:dyDescent="0.3">
      <c r="I27017" s="101"/>
    </row>
    <row r="27018" spans="9:9" x14ac:dyDescent="0.3">
      <c r="I27018" s="101"/>
    </row>
    <row r="27019" spans="9:9" x14ac:dyDescent="0.3">
      <c r="I27019" s="101"/>
    </row>
    <row r="27020" spans="9:9" x14ac:dyDescent="0.3">
      <c r="I27020" s="101"/>
    </row>
    <row r="27021" spans="9:9" x14ac:dyDescent="0.3">
      <c r="I27021" s="101"/>
    </row>
    <row r="27022" spans="9:9" x14ac:dyDescent="0.3">
      <c r="I27022" s="101"/>
    </row>
    <row r="27023" spans="9:9" x14ac:dyDescent="0.3">
      <c r="I27023" s="101"/>
    </row>
    <row r="27024" spans="9:9" x14ac:dyDescent="0.3">
      <c r="I27024" s="101"/>
    </row>
    <row r="27025" spans="9:9" x14ac:dyDescent="0.3">
      <c r="I27025" s="101"/>
    </row>
    <row r="27026" spans="9:9" x14ac:dyDescent="0.3">
      <c r="I27026" s="101"/>
    </row>
    <row r="27027" spans="9:9" x14ac:dyDescent="0.3">
      <c r="I27027" s="101"/>
    </row>
    <row r="27028" spans="9:9" x14ac:dyDescent="0.3">
      <c r="I27028" s="101"/>
    </row>
    <row r="27029" spans="9:9" x14ac:dyDescent="0.3">
      <c r="I27029" s="101"/>
    </row>
    <row r="27030" spans="9:9" x14ac:dyDescent="0.3">
      <c r="I27030" s="101"/>
    </row>
    <row r="27031" spans="9:9" x14ac:dyDescent="0.3">
      <c r="I27031" s="101"/>
    </row>
    <row r="27032" spans="9:9" x14ac:dyDescent="0.3">
      <c r="I27032" s="101"/>
    </row>
    <row r="27033" spans="9:9" x14ac:dyDescent="0.3">
      <c r="I27033" s="101"/>
    </row>
    <row r="27034" spans="9:9" x14ac:dyDescent="0.3">
      <c r="I27034" s="101"/>
    </row>
    <row r="27035" spans="9:9" x14ac:dyDescent="0.3">
      <c r="I27035" s="101"/>
    </row>
    <row r="27036" spans="9:9" x14ac:dyDescent="0.3">
      <c r="I27036" s="101"/>
    </row>
    <row r="27037" spans="9:9" x14ac:dyDescent="0.3">
      <c r="I27037" s="101"/>
    </row>
    <row r="27038" spans="9:9" x14ac:dyDescent="0.3">
      <c r="I27038" s="101"/>
    </row>
    <row r="27039" spans="9:9" x14ac:dyDescent="0.3">
      <c r="I27039" s="101"/>
    </row>
    <row r="27040" spans="9:9" x14ac:dyDescent="0.3">
      <c r="I27040" s="101"/>
    </row>
    <row r="27041" spans="9:9" x14ac:dyDescent="0.3">
      <c r="I27041" s="101"/>
    </row>
    <row r="27042" spans="9:9" x14ac:dyDescent="0.3">
      <c r="I27042" s="101"/>
    </row>
    <row r="27043" spans="9:9" x14ac:dyDescent="0.3">
      <c r="I27043" s="101"/>
    </row>
    <row r="27044" spans="9:9" x14ac:dyDescent="0.3">
      <c r="I27044" s="101"/>
    </row>
    <row r="27045" spans="9:9" x14ac:dyDescent="0.3">
      <c r="I27045" s="101"/>
    </row>
    <row r="27046" spans="9:9" x14ac:dyDescent="0.3">
      <c r="I27046" s="101"/>
    </row>
    <row r="27047" spans="9:9" x14ac:dyDescent="0.3">
      <c r="I27047" s="101"/>
    </row>
    <row r="27048" spans="9:9" x14ac:dyDescent="0.3">
      <c r="I27048" s="101"/>
    </row>
    <row r="27049" spans="9:9" x14ac:dyDescent="0.3">
      <c r="I27049" s="101"/>
    </row>
    <row r="27050" spans="9:9" x14ac:dyDescent="0.3">
      <c r="I27050" s="101"/>
    </row>
    <row r="27051" spans="9:9" x14ac:dyDescent="0.3">
      <c r="I27051" s="101"/>
    </row>
    <row r="27052" spans="9:9" x14ac:dyDescent="0.3">
      <c r="I27052" s="101"/>
    </row>
    <row r="27053" spans="9:9" x14ac:dyDescent="0.3">
      <c r="I27053" s="101"/>
    </row>
    <row r="27054" spans="9:9" x14ac:dyDescent="0.3">
      <c r="I27054" s="101"/>
    </row>
    <row r="27055" spans="9:9" x14ac:dyDescent="0.3">
      <c r="I27055" s="101"/>
    </row>
    <row r="27056" spans="9:9" x14ac:dyDescent="0.3">
      <c r="I27056" s="101"/>
    </row>
    <row r="27057" spans="9:9" x14ac:dyDescent="0.3">
      <c r="I27057" s="101"/>
    </row>
    <row r="27058" spans="9:9" x14ac:dyDescent="0.3">
      <c r="I27058" s="101"/>
    </row>
    <row r="27059" spans="9:9" x14ac:dyDescent="0.3">
      <c r="I27059" s="101"/>
    </row>
    <row r="27060" spans="9:9" x14ac:dyDescent="0.3">
      <c r="I27060" s="101"/>
    </row>
    <row r="27061" spans="9:9" x14ac:dyDescent="0.3">
      <c r="I27061" s="101"/>
    </row>
    <row r="27062" spans="9:9" x14ac:dyDescent="0.3">
      <c r="I27062" s="101"/>
    </row>
    <row r="27063" spans="9:9" x14ac:dyDescent="0.3">
      <c r="I27063" s="101"/>
    </row>
    <row r="27064" spans="9:9" x14ac:dyDescent="0.3">
      <c r="I27064" s="101"/>
    </row>
    <row r="27065" spans="9:9" x14ac:dyDescent="0.3">
      <c r="I27065" s="101"/>
    </row>
    <row r="27066" spans="9:9" x14ac:dyDescent="0.3">
      <c r="I27066" s="101"/>
    </row>
    <row r="27067" spans="9:9" x14ac:dyDescent="0.3">
      <c r="I27067" s="101"/>
    </row>
    <row r="27068" spans="9:9" x14ac:dyDescent="0.3">
      <c r="I27068" s="101"/>
    </row>
    <row r="27069" spans="9:9" x14ac:dyDescent="0.3">
      <c r="I27069" s="101"/>
    </row>
    <row r="27070" spans="9:9" x14ac:dyDescent="0.3">
      <c r="I27070" s="101"/>
    </row>
    <row r="27071" spans="9:9" x14ac:dyDescent="0.3">
      <c r="I27071" s="101"/>
    </row>
    <row r="27072" spans="9:9" x14ac:dyDescent="0.3">
      <c r="I27072" s="101"/>
    </row>
    <row r="27073" spans="9:9" x14ac:dyDescent="0.3">
      <c r="I27073" s="101"/>
    </row>
    <row r="27074" spans="9:9" x14ac:dyDescent="0.3">
      <c r="I27074" s="101"/>
    </row>
    <row r="27075" spans="9:9" x14ac:dyDescent="0.3">
      <c r="I27075" s="101"/>
    </row>
    <row r="27076" spans="9:9" x14ac:dyDescent="0.3">
      <c r="I27076" s="101"/>
    </row>
    <row r="27077" spans="9:9" x14ac:dyDescent="0.3">
      <c r="I27077" s="101"/>
    </row>
    <row r="27078" spans="9:9" x14ac:dyDescent="0.3">
      <c r="I27078" s="101"/>
    </row>
    <row r="27079" spans="9:9" x14ac:dyDescent="0.3">
      <c r="I27079" s="101"/>
    </row>
    <row r="27080" spans="9:9" x14ac:dyDescent="0.3">
      <c r="I27080" s="101"/>
    </row>
    <row r="27081" spans="9:9" x14ac:dyDescent="0.3">
      <c r="I27081" s="101"/>
    </row>
    <row r="27082" spans="9:9" x14ac:dyDescent="0.3">
      <c r="I27082" s="101"/>
    </row>
    <row r="27083" spans="9:9" x14ac:dyDescent="0.3">
      <c r="I27083" s="101"/>
    </row>
    <row r="27084" spans="9:9" x14ac:dyDescent="0.3">
      <c r="I27084" s="101"/>
    </row>
    <row r="27085" spans="9:9" x14ac:dyDescent="0.3">
      <c r="I27085" s="101"/>
    </row>
    <row r="27086" spans="9:9" x14ac:dyDescent="0.3">
      <c r="I27086" s="101"/>
    </row>
    <row r="27087" spans="9:9" x14ac:dyDescent="0.3">
      <c r="I27087" s="101"/>
    </row>
    <row r="27088" spans="9:9" x14ac:dyDescent="0.3">
      <c r="I27088" s="101"/>
    </row>
    <row r="27089" spans="9:9" x14ac:dyDescent="0.3">
      <c r="I27089" s="101"/>
    </row>
    <row r="27090" spans="9:9" x14ac:dyDescent="0.3">
      <c r="I27090" s="101"/>
    </row>
    <row r="27091" spans="9:9" x14ac:dyDescent="0.3">
      <c r="I27091" s="101"/>
    </row>
    <row r="27092" spans="9:9" x14ac:dyDescent="0.3">
      <c r="I27092" s="101"/>
    </row>
    <row r="27093" spans="9:9" x14ac:dyDescent="0.3">
      <c r="I27093" s="101"/>
    </row>
    <row r="27094" spans="9:9" x14ac:dyDescent="0.3">
      <c r="I27094" s="101"/>
    </row>
    <row r="27095" spans="9:9" x14ac:dyDescent="0.3">
      <c r="I27095" s="101"/>
    </row>
    <row r="27096" spans="9:9" x14ac:dyDescent="0.3">
      <c r="I27096" s="101"/>
    </row>
    <row r="27097" spans="9:9" x14ac:dyDescent="0.3">
      <c r="I27097" s="101"/>
    </row>
    <row r="27098" spans="9:9" x14ac:dyDescent="0.3">
      <c r="I27098" s="101"/>
    </row>
    <row r="27099" spans="9:9" x14ac:dyDescent="0.3">
      <c r="I27099" s="101"/>
    </row>
    <row r="27100" spans="9:9" x14ac:dyDescent="0.3">
      <c r="I27100" s="101"/>
    </row>
    <row r="27101" spans="9:9" x14ac:dyDescent="0.3">
      <c r="I27101" s="101"/>
    </row>
    <row r="27102" spans="9:9" x14ac:dyDescent="0.3">
      <c r="I27102" s="101"/>
    </row>
    <row r="27103" spans="9:9" x14ac:dyDescent="0.3">
      <c r="I27103" s="101"/>
    </row>
    <row r="27104" spans="9:9" x14ac:dyDescent="0.3">
      <c r="I27104" s="101"/>
    </row>
    <row r="27105" spans="9:9" x14ac:dyDescent="0.3">
      <c r="I27105" s="101"/>
    </row>
    <row r="27106" spans="9:9" x14ac:dyDescent="0.3">
      <c r="I27106" s="101"/>
    </row>
    <row r="27107" spans="9:9" x14ac:dyDescent="0.3">
      <c r="I27107" s="101"/>
    </row>
    <row r="27108" spans="9:9" x14ac:dyDescent="0.3">
      <c r="I27108" s="101"/>
    </row>
    <row r="27109" spans="9:9" x14ac:dyDescent="0.3">
      <c r="I27109" s="101"/>
    </row>
    <row r="27110" spans="9:9" x14ac:dyDescent="0.3">
      <c r="I27110" s="101"/>
    </row>
    <row r="27111" spans="9:9" x14ac:dyDescent="0.3">
      <c r="I27111" s="101"/>
    </row>
    <row r="27112" spans="9:9" x14ac:dyDescent="0.3">
      <c r="I27112" s="101"/>
    </row>
    <row r="27113" spans="9:9" x14ac:dyDescent="0.3">
      <c r="I27113" s="101"/>
    </row>
    <row r="27114" spans="9:9" x14ac:dyDescent="0.3">
      <c r="I27114" s="101"/>
    </row>
    <row r="27115" spans="9:9" x14ac:dyDescent="0.3">
      <c r="I27115" s="101"/>
    </row>
    <row r="27116" spans="9:9" x14ac:dyDescent="0.3">
      <c r="I27116" s="101"/>
    </row>
    <row r="27117" spans="9:9" x14ac:dyDescent="0.3">
      <c r="I27117" s="101"/>
    </row>
    <row r="27118" spans="9:9" x14ac:dyDescent="0.3">
      <c r="I27118" s="101"/>
    </row>
    <row r="27119" spans="9:9" x14ac:dyDescent="0.3">
      <c r="I27119" s="101"/>
    </row>
    <row r="27120" spans="9:9" x14ac:dyDescent="0.3">
      <c r="I27120" s="101"/>
    </row>
    <row r="27121" spans="9:9" x14ac:dyDescent="0.3">
      <c r="I27121" s="101"/>
    </row>
    <row r="27122" spans="9:9" x14ac:dyDescent="0.3">
      <c r="I27122" s="101"/>
    </row>
    <row r="27123" spans="9:9" x14ac:dyDescent="0.3">
      <c r="I27123" s="101"/>
    </row>
    <row r="27124" spans="9:9" x14ac:dyDescent="0.3">
      <c r="I27124" s="101"/>
    </row>
    <row r="27125" spans="9:9" x14ac:dyDescent="0.3">
      <c r="I27125" s="101"/>
    </row>
    <row r="27126" spans="9:9" x14ac:dyDescent="0.3">
      <c r="I27126" s="101"/>
    </row>
    <row r="27127" spans="9:9" x14ac:dyDescent="0.3">
      <c r="I27127" s="101"/>
    </row>
    <row r="27128" spans="9:9" x14ac:dyDescent="0.3">
      <c r="I27128" s="101"/>
    </row>
    <row r="27129" spans="9:9" x14ac:dyDescent="0.3">
      <c r="I27129" s="101"/>
    </row>
    <row r="27130" spans="9:9" x14ac:dyDescent="0.3">
      <c r="I27130" s="101"/>
    </row>
    <row r="27131" spans="9:9" x14ac:dyDescent="0.3">
      <c r="I27131" s="101"/>
    </row>
    <row r="27132" spans="9:9" x14ac:dyDescent="0.3">
      <c r="I27132" s="101"/>
    </row>
    <row r="27133" spans="9:9" x14ac:dyDescent="0.3">
      <c r="I27133" s="101"/>
    </row>
    <row r="27134" spans="9:9" x14ac:dyDescent="0.3">
      <c r="I27134" s="101"/>
    </row>
    <row r="27135" spans="9:9" x14ac:dyDescent="0.3">
      <c r="I27135" s="101"/>
    </row>
    <row r="27136" spans="9:9" x14ac:dyDescent="0.3">
      <c r="I27136" s="101"/>
    </row>
    <row r="27137" spans="9:9" x14ac:dyDescent="0.3">
      <c r="I27137" s="101"/>
    </row>
    <row r="27138" spans="9:9" x14ac:dyDescent="0.3">
      <c r="I27138" s="101"/>
    </row>
    <row r="27139" spans="9:9" x14ac:dyDescent="0.3">
      <c r="I27139" s="101"/>
    </row>
    <row r="27140" spans="9:9" x14ac:dyDescent="0.3">
      <c r="I27140" s="101"/>
    </row>
    <row r="27141" spans="9:9" x14ac:dyDescent="0.3">
      <c r="I27141" s="101"/>
    </row>
    <row r="27142" spans="9:9" x14ac:dyDescent="0.3">
      <c r="I27142" s="101"/>
    </row>
    <row r="27143" spans="9:9" x14ac:dyDescent="0.3">
      <c r="I27143" s="101"/>
    </row>
    <row r="27144" spans="9:9" x14ac:dyDescent="0.3">
      <c r="I27144" s="101"/>
    </row>
    <row r="27145" spans="9:9" x14ac:dyDescent="0.3">
      <c r="I27145" s="101"/>
    </row>
    <row r="27146" spans="9:9" x14ac:dyDescent="0.3">
      <c r="I27146" s="101"/>
    </row>
    <row r="27147" spans="9:9" x14ac:dyDescent="0.3">
      <c r="I27147" s="101"/>
    </row>
    <row r="27148" spans="9:9" x14ac:dyDescent="0.3">
      <c r="I27148" s="101"/>
    </row>
    <row r="27149" spans="9:9" x14ac:dyDescent="0.3">
      <c r="I27149" s="101"/>
    </row>
    <row r="27150" spans="9:9" x14ac:dyDescent="0.3">
      <c r="I27150" s="101"/>
    </row>
    <row r="27151" spans="9:9" x14ac:dyDescent="0.3">
      <c r="I27151" s="101"/>
    </row>
    <row r="27152" spans="9:9" x14ac:dyDescent="0.3">
      <c r="I27152" s="101"/>
    </row>
    <row r="27153" spans="9:9" x14ac:dyDescent="0.3">
      <c r="I27153" s="101"/>
    </row>
    <row r="27154" spans="9:9" x14ac:dyDescent="0.3">
      <c r="I27154" s="101"/>
    </row>
    <row r="27155" spans="9:9" x14ac:dyDescent="0.3">
      <c r="I27155" s="101"/>
    </row>
    <row r="27156" spans="9:9" x14ac:dyDescent="0.3">
      <c r="I27156" s="101"/>
    </row>
    <row r="27157" spans="9:9" x14ac:dyDescent="0.3">
      <c r="I27157" s="101"/>
    </row>
    <row r="27158" spans="9:9" x14ac:dyDescent="0.3">
      <c r="I27158" s="101"/>
    </row>
    <row r="27159" spans="9:9" x14ac:dyDescent="0.3">
      <c r="I27159" s="101"/>
    </row>
    <row r="27160" spans="9:9" x14ac:dyDescent="0.3">
      <c r="I27160" s="101"/>
    </row>
    <row r="27161" spans="9:9" x14ac:dyDescent="0.3">
      <c r="I27161" s="101"/>
    </row>
    <row r="27162" spans="9:9" x14ac:dyDescent="0.3">
      <c r="I27162" s="101"/>
    </row>
    <row r="27163" spans="9:9" x14ac:dyDescent="0.3">
      <c r="I27163" s="101"/>
    </row>
    <row r="27164" spans="9:9" x14ac:dyDescent="0.3">
      <c r="I27164" s="101"/>
    </row>
    <row r="27165" spans="9:9" x14ac:dyDescent="0.3">
      <c r="I27165" s="101"/>
    </row>
    <row r="27166" spans="9:9" x14ac:dyDescent="0.3">
      <c r="I27166" s="101"/>
    </row>
    <row r="27167" spans="9:9" x14ac:dyDescent="0.3">
      <c r="I27167" s="101"/>
    </row>
    <row r="27168" spans="9:9" x14ac:dyDescent="0.3">
      <c r="I27168" s="101"/>
    </row>
    <row r="27169" spans="9:9" x14ac:dyDescent="0.3">
      <c r="I27169" s="101"/>
    </row>
    <row r="27170" spans="9:9" x14ac:dyDescent="0.3">
      <c r="I27170" s="101"/>
    </row>
    <row r="27171" spans="9:9" x14ac:dyDescent="0.3">
      <c r="I27171" s="101"/>
    </row>
    <row r="27172" spans="9:9" x14ac:dyDescent="0.3">
      <c r="I27172" s="101"/>
    </row>
    <row r="27173" spans="9:9" x14ac:dyDescent="0.3">
      <c r="I27173" s="101"/>
    </row>
    <row r="27174" spans="9:9" x14ac:dyDescent="0.3">
      <c r="I27174" s="101"/>
    </row>
    <row r="27175" spans="9:9" x14ac:dyDescent="0.3">
      <c r="I27175" s="101"/>
    </row>
    <row r="27176" spans="9:9" x14ac:dyDescent="0.3">
      <c r="I27176" s="101"/>
    </row>
    <row r="27177" spans="9:9" x14ac:dyDescent="0.3">
      <c r="I27177" s="101"/>
    </row>
    <row r="27178" spans="9:9" x14ac:dyDescent="0.3">
      <c r="I27178" s="101"/>
    </row>
    <row r="27179" spans="9:9" x14ac:dyDescent="0.3">
      <c r="I27179" s="101"/>
    </row>
    <row r="27180" spans="9:9" x14ac:dyDescent="0.3">
      <c r="I27180" s="101"/>
    </row>
    <row r="27181" spans="9:9" x14ac:dyDescent="0.3">
      <c r="I27181" s="101"/>
    </row>
    <row r="27182" spans="9:9" x14ac:dyDescent="0.3">
      <c r="I27182" s="101"/>
    </row>
    <row r="27183" spans="9:9" x14ac:dyDescent="0.3">
      <c r="I27183" s="101"/>
    </row>
    <row r="27184" spans="9:9" x14ac:dyDescent="0.3">
      <c r="I27184" s="101"/>
    </row>
    <row r="27185" spans="9:9" x14ac:dyDescent="0.3">
      <c r="I27185" s="101"/>
    </row>
    <row r="27186" spans="9:9" x14ac:dyDescent="0.3">
      <c r="I27186" s="101"/>
    </row>
    <row r="27187" spans="9:9" x14ac:dyDescent="0.3">
      <c r="I27187" s="101"/>
    </row>
    <row r="27188" spans="9:9" x14ac:dyDescent="0.3">
      <c r="I27188" s="101"/>
    </row>
    <row r="27189" spans="9:9" x14ac:dyDescent="0.3">
      <c r="I27189" s="101"/>
    </row>
    <row r="27190" spans="9:9" x14ac:dyDescent="0.3">
      <c r="I27190" s="101"/>
    </row>
    <row r="27191" spans="9:9" x14ac:dyDescent="0.3">
      <c r="I27191" s="101"/>
    </row>
    <row r="27192" spans="9:9" x14ac:dyDescent="0.3">
      <c r="I27192" s="101"/>
    </row>
    <row r="27193" spans="9:9" x14ac:dyDescent="0.3">
      <c r="I27193" s="101"/>
    </row>
    <row r="27194" spans="9:9" x14ac:dyDescent="0.3">
      <c r="I27194" s="101"/>
    </row>
    <row r="27195" spans="9:9" x14ac:dyDescent="0.3">
      <c r="I27195" s="101"/>
    </row>
    <row r="27196" spans="9:9" x14ac:dyDescent="0.3">
      <c r="I27196" s="101"/>
    </row>
    <row r="27197" spans="9:9" x14ac:dyDescent="0.3">
      <c r="I27197" s="101"/>
    </row>
    <row r="27198" spans="9:9" x14ac:dyDescent="0.3">
      <c r="I27198" s="101"/>
    </row>
    <row r="27199" spans="9:9" x14ac:dyDescent="0.3">
      <c r="I27199" s="101"/>
    </row>
    <row r="27200" spans="9:9" x14ac:dyDescent="0.3">
      <c r="I27200" s="101"/>
    </row>
    <row r="27201" spans="9:9" x14ac:dyDescent="0.3">
      <c r="I27201" s="101"/>
    </row>
    <row r="27202" spans="9:9" x14ac:dyDescent="0.3">
      <c r="I27202" s="101"/>
    </row>
    <row r="27203" spans="9:9" x14ac:dyDescent="0.3">
      <c r="I27203" s="101"/>
    </row>
    <row r="27204" spans="9:9" x14ac:dyDescent="0.3">
      <c r="I27204" s="101"/>
    </row>
    <row r="27205" spans="9:9" x14ac:dyDescent="0.3">
      <c r="I27205" s="101"/>
    </row>
    <row r="27206" spans="9:9" x14ac:dyDescent="0.3">
      <c r="I27206" s="101"/>
    </row>
    <row r="27207" spans="9:9" x14ac:dyDescent="0.3">
      <c r="I27207" s="101"/>
    </row>
    <row r="27208" spans="9:9" x14ac:dyDescent="0.3">
      <c r="I27208" s="101"/>
    </row>
    <row r="27209" spans="9:9" x14ac:dyDescent="0.3">
      <c r="I27209" s="101"/>
    </row>
    <row r="27210" spans="9:9" x14ac:dyDescent="0.3">
      <c r="I27210" s="101"/>
    </row>
    <row r="27211" spans="9:9" x14ac:dyDescent="0.3">
      <c r="I27211" s="101"/>
    </row>
    <row r="27212" spans="9:9" x14ac:dyDescent="0.3">
      <c r="I27212" s="101"/>
    </row>
    <row r="27213" spans="9:9" x14ac:dyDescent="0.3">
      <c r="I27213" s="101"/>
    </row>
    <row r="27214" spans="9:9" x14ac:dyDescent="0.3">
      <c r="I27214" s="101"/>
    </row>
    <row r="27215" spans="9:9" x14ac:dyDescent="0.3">
      <c r="I27215" s="101"/>
    </row>
    <row r="27216" spans="9:9" x14ac:dyDescent="0.3">
      <c r="I27216" s="101"/>
    </row>
    <row r="27217" spans="9:9" x14ac:dyDescent="0.3">
      <c r="I27217" s="101"/>
    </row>
    <row r="27218" spans="9:9" x14ac:dyDescent="0.3">
      <c r="I27218" s="101"/>
    </row>
    <row r="27219" spans="9:9" x14ac:dyDescent="0.3">
      <c r="I27219" s="101"/>
    </row>
    <row r="27220" spans="9:9" x14ac:dyDescent="0.3">
      <c r="I27220" s="101"/>
    </row>
    <row r="27221" spans="9:9" x14ac:dyDescent="0.3">
      <c r="I27221" s="101"/>
    </row>
    <row r="27222" spans="9:9" x14ac:dyDescent="0.3">
      <c r="I27222" s="101"/>
    </row>
    <row r="27223" spans="9:9" x14ac:dyDescent="0.3">
      <c r="I27223" s="101"/>
    </row>
    <row r="27224" spans="9:9" x14ac:dyDescent="0.3">
      <c r="I27224" s="101"/>
    </row>
    <row r="27225" spans="9:9" x14ac:dyDescent="0.3">
      <c r="I27225" s="101"/>
    </row>
    <row r="27226" spans="9:9" x14ac:dyDescent="0.3">
      <c r="I27226" s="101"/>
    </row>
    <row r="27227" spans="9:9" x14ac:dyDescent="0.3">
      <c r="I27227" s="101"/>
    </row>
    <row r="27228" spans="9:9" x14ac:dyDescent="0.3">
      <c r="I27228" s="101"/>
    </row>
    <row r="27229" spans="9:9" x14ac:dyDescent="0.3">
      <c r="I27229" s="101"/>
    </row>
    <row r="27230" spans="9:9" x14ac:dyDescent="0.3">
      <c r="I27230" s="101"/>
    </row>
    <row r="27231" spans="9:9" x14ac:dyDescent="0.3">
      <c r="I27231" s="101"/>
    </row>
    <row r="27232" spans="9:9" x14ac:dyDescent="0.3">
      <c r="I27232" s="101"/>
    </row>
    <row r="27233" spans="9:9" x14ac:dyDescent="0.3">
      <c r="I27233" s="101"/>
    </row>
    <row r="27234" spans="9:9" x14ac:dyDescent="0.3">
      <c r="I27234" s="101"/>
    </row>
    <row r="27235" spans="9:9" x14ac:dyDescent="0.3">
      <c r="I27235" s="101"/>
    </row>
    <row r="27236" spans="9:9" x14ac:dyDescent="0.3">
      <c r="I27236" s="101"/>
    </row>
    <row r="27237" spans="9:9" x14ac:dyDescent="0.3">
      <c r="I27237" s="101"/>
    </row>
    <row r="27238" spans="9:9" x14ac:dyDescent="0.3">
      <c r="I27238" s="101"/>
    </row>
    <row r="27239" spans="9:9" x14ac:dyDescent="0.3">
      <c r="I27239" s="101"/>
    </row>
    <row r="27240" spans="9:9" x14ac:dyDescent="0.3">
      <c r="I27240" s="101"/>
    </row>
    <row r="27241" spans="9:9" x14ac:dyDescent="0.3">
      <c r="I27241" s="101"/>
    </row>
    <row r="27242" spans="9:9" x14ac:dyDescent="0.3">
      <c r="I27242" s="101"/>
    </row>
    <row r="27243" spans="9:9" x14ac:dyDescent="0.3">
      <c r="I27243" s="101"/>
    </row>
    <row r="27244" spans="9:9" x14ac:dyDescent="0.3">
      <c r="I27244" s="101"/>
    </row>
    <row r="27245" spans="9:9" x14ac:dyDescent="0.3">
      <c r="I27245" s="101"/>
    </row>
    <row r="27246" spans="9:9" x14ac:dyDescent="0.3">
      <c r="I27246" s="101"/>
    </row>
    <row r="27247" spans="9:9" x14ac:dyDescent="0.3">
      <c r="I27247" s="101"/>
    </row>
    <row r="27248" spans="9:9" x14ac:dyDescent="0.3">
      <c r="I27248" s="101"/>
    </row>
    <row r="27249" spans="9:9" x14ac:dyDescent="0.3">
      <c r="I27249" s="101"/>
    </row>
    <row r="27250" spans="9:9" x14ac:dyDescent="0.3">
      <c r="I27250" s="101"/>
    </row>
    <row r="27251" spans="9:9" x14ac:dyDescent="0.3">
      <c r="I27251" s="101"/>
    </row>
    <row r="27252" spans="9:9" x14ac:dyDescent="0.3">
      <c r="I27252" s="101"/>
    </row>
    <row r="27253" spans="9:9" x14ac:dyDescent="0.3">
      <c r="I27253" s="101"/>
    </row>
    <row r="27254" spans="9:9" x14ac:dyDescent="0.3">
      <c r="I27254" s="101"/>
    </row>
    <row r="27255" spans="9:9" x14ac:dyDescent="0.3">
      <c r="I27255" s="101"/>
    </row>
    <row r="27256" spans="9:9" x14ac:dyDescent="0.3">
      <c r="I27256" s="101"/>
    </row>
    <row r="27257" spans="9:9" x14ac:dyDescent="0.3">
      <c r="I27257" s="101"/>
    </row>
    <row r="27258" spans="9:9" x14ac:dyDescent="0.3">
      <c r="I27258" s="101"/>
    </row>
    <row r="27259" spans="9:9" x14ac:dyDescent="0.3">
      <c r="I27259" s="101"/>
    </row>
    <row r="27260" spans="9:9" x14ac:dyDescent="0.3">
      <c r="I27260" s="101"/>
    </row>
    <row r="27261" spans="9:9" x14ac:dyDescent="0.3">
      <c r="I27261" s="101"/>
    </row>
    <row r="27262" spans="9:9" x14ac:dyDescent="0.3">
      <c r="I27262" s="101"/>
    </row>
    <row r="27263" spans="9:9" x14ac:dyDescent="0.3">
      <c r="I27263" s="101"/>
    </row>
    <row r="27264" spans="9:9" x14ac:dyDescent="0.3">
      <c r="I27264" s="101"/>
    </row>
    <row r="27265" spans="9:9" x14ac:dyDescent="0.3">
      <c r="I27265" s="101"/>
    </row>
    <row r="27266" spans="9:9" x14ac:dyDescent="0.3">
      <c r="I27266" s="101"/>
    </row>
    <row r="27267" spans="9:9" x14ac:dyDescent="0.3">
      <c r="I27267" s="101"/>
    </row>
    <row r="27268" spans="9:9" x14ac:dyDescent="0.3">
      <c r="I27268" s="101"/>
    </row>
    <row r="27269" spans="9:9" x14ac:dyDescent="0.3">
      <c r="I27269" s="101"/>
    </row>
    <row r="27270" spans="9:9" x14ac:dyDescent="0.3">
      <c r="I27270" s="101"/>
    </row>
    <row r="27271" spans="9:9" x14ac:dyDescent="0.3">
      <c r="I27271" s="101"/>
    </row>
    <row r="27272" spans="9:9" x14ac:dyDescent="0.3">
      <c r="I27272" s="101"/>
    </row>
    <row r="27273" spans="9:9" x14ac:dyDescent="0.3">
      <c r="I27273" s="101"/>
    </row>
    <row r="27274" spans="9:9" x14ac:dyDescent="0.3">
      <c r="I27274" s="101"/>
    </row>
    <row r="27275" spans="9:9" x14ac:dyDescent="0.3">
      <c r="I27275" s="101"/>
    </row>
    <row r="27276" spans="9:9" x14ac:dyDescent="0.3">
      <c r="I27276" s="101"/>
    </row>
    <row r="27277" spans="9:9" x14ac:dyDescent="0.3">
      <c r="I27277" s="101"/>
    </row>
    <row r="27278" spans="9:9" x14ac:dyDescent="0.3">
      <c r="I27278" s="101"/>
    </row>
    <row r="27279" spans="9:9" x14ac:dyDescent="0.3">
      <c r="I27279" s="101"/>
    </row>
    <row r="27280" spans="9:9" x14ac:dyDescent="0.3">
      <c r="I27280" s="101"/>
    </row>
    <row r="27281" spans="9:9" x14ac:dyDescent="0.3">
      <c r="I27281" s="101"/>
    </row>
    <row r="27282" spans="9:9" x14ac:dyDescent="0.3">
      <c r="I27282" s="101"/>
    </row>
    <row r="27283" spans="9:9" x14ac:dyDescent="0.3">
      <c r="I27283" s="101"/>
    </row>
    <row r="27284" spans="9:9" x14ac:dyDescent="0.3">
      <c r="I27284" s="101"/>
    </row>
    <row r="27285" spans="9:9" x14ac:dyDescent="0.3">
      <c r="I27285" s="101"/>
    </row>
    <row r="27286" spans="9:9" x14ac:dyDescent="0.3">
      <c r="I27286" s="101"/>
    </row>
    <row r="27287" spans="9:9" x14ac:dyDescent="0.3">
      <c r="I27287" s="101"/>
    </row>
    <row r="27288" spans="9:9" x14ac:dyDescent="0.3">
      <c r="I27288" s="101"/>
    </row>
    <row r="27289" spans="9:9" x14ac:dyDescent="0.3">
      <c r="I27289" s="101"/>
    </row>
    <row r="27290" spans="9:9" x14ac:dyDescent="0.3">
      <c r="I27290" s="101"/>
    </row>
    <row r="27291" spans="9:9" x14ac:dyDescent="0.3">
      <c r="I27291" s="101"/>
    </row>
    <row r="27292" spans="9:9" x14ac:dyDescent="0.3">
      <c r="I27292" s="101"/>
    </row>
    <row r="27293" spans="9:9" x14ac:dyDescent="0.3">
      <c r="I27293" s="101"/>
    </row>
    <row r="27294" spans="9:9" x14ac:dyDescent="0.3">
      <c r="I27294" s="101"/>
    </row>
    <row r="27295" spans="9:9" x14ac:dyDescent="0.3">
      <c r="I27295" s="101"/>
    </row>
    <row r="27296" spans="9:9" x14ac:dyDescent="0.3">
      <c r="I27296" s="101"/>
    </row>
    <row r="27297" spans="9:9" x14ac:dyDescent="0.3">
      <c r="I27297" s="101"/>
    </row>
    <row r="27298" spans="9:9" x14ac:dyDescent="0.3">
      <c r="I27298" s="101"/>
    </row>
    <row r="27299" spans="9:9" x14ac:dyDescent="0.3">
      <c r="I27299" s="101"/>
    </row>
    <row r="27300" spans="9:9" x14ac:dyDescent="0.3">
      <c r="I27300" s="101"/>
    </row>
    <row r="27301" spans="9:9" x14ac:dyDescent="0.3">
      <c r="I27301" s="101"/>
    </row>
    <row r="27302" spans="9:9" x14ac:dyDescent="0.3">
      <c r="I27302" s="101"/>
    </row>
    <row r="27303" spans="9:9" x14ac:dyDescent="0.3">
      <c r="I27303" s="101"/>
    </row>
    <row r="27304" spans="9:9" x14ac:dyDescent="0.3">
      <c r="I27304" s="101"/>
    </row>
    <row r="27305" spans="9:9" x14ac:dyDescent="0.3">
      <c r="I27305" s="101"/>
    </row>
    <row r="27306" spans="9:9" x14ac:dyDescent="0.3">
      <c r="I27306" s="101"/>
    </row>
    <row r="27307" spans="9:9" x14ac:dyDescent="0.3">
      <c r="I27307" s="101"/>
    </row>
    <row r="27308" spans="9:9" x14ac:dyDescent="0.3">
      <c r="I27308" s="101"/>
    </row>
    <row r="27309" spans="9:9" x14ac:dyDescent="0.3">
      <c r="I27309" s="101"/>
    </row>
    <row r="27310" spans="9:9" x14ac:dyDescent="0.3">
      <c r="I27310" s="101"/>
    </row>
    <row r="27311" spans="9:9" x14ac:dyDescent="0.3">
      <c r="I27311" s="101"/>
    </row>
    <row r="27312" spans="9:9" x14ac:dyDescent="0.3">
      <c r="I27312" s="101"/>
    </row>
    <row r="27313" spans="9:9" x14ac:dyDescent="0.3">
      <c r="I27313" s="101"/>
    </row>
    <row r="27314" spans="9:9" x14ac:dyDescent="0.3">
      <c r="I27314" s="101"/>
    </row>
    <row r="27315" spans="9:9" x14ac:dyDescent="0.3">
      <c r="I27315" s="101"/>
    </row>
    <row r="27316" spans="9:9" x14ac:dyDescent="0.3">
      <c r="I27316" s="101"/>
    </row>
    <row r="27317" spans="9:9" x14ac:dyDescent="0.3">
      <c r="I27317" s="101"/>
    </row>
    <row r="27318" spans="9:9" x14ac:dyDescent="0.3">
      <c r="I27318" s="101"/>
    </row>
    <row r="27319" spans="9:9" x14ac:dyDescent="0.3">
      <c r="I27319" s="101"/>
    </row>
    <row r="27320" spans="9:9" x14ac:dyDescent="0.3">
      <c r="I27320" s="101"/>
    </row>
    <row r="27321" spans="9:9" x14ac:dyDescent="0.3">
      <c r="I27321" s="101"/>
    </row>
    <row r="27322" spans="9:9" x14ac:dyDescent="0.3">
      <c r="I27322" s="101"/>
    </row>
    <row r="27323" spans="9:9" x14ac:dyDescent="0.3">
      <c r="I27323" s="101"/>
    </row>
    <row r="27324" spans="9:9" x14ac:dyDescent="0.3">
      <c r="I27324" s="101"/>
    </row>
    <row r="27325" spans="9:9" x14ac:dyDescent="0.3">
      <c r="I27325" s="101"/>
    </row>
    <row r="27326" spans="9:9" x14ac:dyDescent="0.3">
      <c r="I27326" s="101"/>
    </row>
    <row r="27327" spans="9:9" x14ac:dyDescent="0.3">
      <c r="I27327" s="101"/>
    </row>
    <row r="27328" spans="9:9" x14ac:dyDescent="0.3">
      <c r="I27328" s="101"/>
    </row>
    <row r="27329" spans="9:9" x14ac:dyDescent="0.3">
      <c r="I27329" s="101"/>
    </row>
    <row r="27330" spans="9:9" x14ac:dyDescent="0.3">
      <c r="I27330" s="101"/>
    </row>
    <row r="27331" spans="9:9" x14ac:dyDescent="0.3">
      <c r="I27331" s="101"/>
    </row>
    <row r="27332" spans="9:9" x14ac:dyDescent="0.3">
      <c r="I27332" s="101"/>
    </row>
    <row r="27333" spans="9:9" x14ac:dyDescent="0.3">
      <c r="I27333" s="101"/>
    </row>
    <row r="27334" spans="9:9" x14ac:dyDescent="0.3">
      <c r="I27334" s="101"/>
    </row>
    <row r="27335" spans="9:9" x14ac:dyDescent="0.3">
      <c r="I27335" s="101"/>
    </row>
    <row r="27336" spans="9:9" x14ac:dyDescent="0.3">
      <c r="I27336" s="101"/>
    </row>
    <row r="27337" spans="9:9" x14ac:dyDescent="0.3">
      <c r="I27337" s="101"/>
    </row>
    <row r="27338" spans="9:9" x14ac:dyDescent="0.3">
      <c r="I27338" s="101"/>
    </row>
    <row r="27339" spans="9:9" x14ac:dyDescent="0.3">
      <c r="I27339" s="101"/>
    </row>
    <row r="27340" spans="9:9" x14ac:dyDescent="0.3">
      <c r="I27340" s="101"/>
    </row>
    <row r="27341" spans="9:9" x14ac:dyDescent="0.3">
      <c r="I27341" s="101"/>
    </row>
    <row r="27342" spans="9:9" x14ac:dyDescent="0.3">
      <c r="I27342" s="101"/>
    </row>
    <row r="27343" spans="9:9" x14ac:dyDescent="0.3">
      <c r="I27343" s="101"/>
    </row>
    <row r="27344" spans="9:9" x14ac:dyDescent="0.3">
      <c r="I27344" s="101"/>
    </row>
    <row r="27345" spans="9:9" x14ac:dyDescent="0.3">
      <c r="I27345" s="101"/>
    </row>
    <row r="27346" spans="9:9" x14ac:dyDescent="0.3">
      <c r="I27346" s="101"/>
    </row>
    <row r="27347" spans="9:9" x14ac:dyDescent="0.3">
      <c r="I27347" s="101"/>
    </row>
    <row r="27348" spans="9:9" x14ac:dyDescent="0.3">
      <c r="I27348" s="101"/>
    </row>
    <row r="27349" spans="9:9" x14ac:dyDescent="0.3">
      <c r="I27349" s="101"/>
    </row>
    <row r="27350" spans="9:9" x14ac:dyDescent="0.3">
      <c r="I27350" s="101"/>
    </row>
    <row r="27351" spans="9:9" x14ac:dyDescent="0.3">
      <c r="I27351" s="101"/>
    </row>
    <row r="27352" spans="9:9" x14ac:dyDescent="0.3">
      <c r="I27352" s="101"/>
    </row>
    <row r="27353" spans="9:9" x14ac:dyDescent="0.3">
      <c r="I27353" s="101"/>
    </row>
    <row r="27354" spans="9:9" x14ac:dyDescent="0.3">
      <c r="I27354" s="101"/>
    </row>
    <row r="27355" spans="9:9" x14ac:dyDescent="0.3">
      <c r="I27355" s="101"/>
    </row>
    <row r="27356" spans="9:9" x14ac:dyDescent="0.3">
      <c r="I27356" s="101"/>
    </row>
    <row r="27357" spans="9:9" x14ac:dyDescent="0.3">
      <c r="I27357" s="101"/>
    </row>
    <row r="27358" spans="9:9" x14ac:dyDescent="0.3">
      <c r="I27358" s="101"/>
    </row>
    <row r="27359" spans="9:9" x14ac:dyDescent="0.3">
      <c r="I27359" s="101"/>
    </row>
    <row r="27360" spans="9:9" x14ac:dyDescent="0.3">
      <c r="I27360" s="101"/>
    </row>
    <row r="27361" spans="9:9" x14ac:dyDescent="0.3">
      <c r="I27361" s="101"/>
    </row>
    <row r="27362" spans="9:9" x14ac:dyDescent="0.3">
      <c r="I27362" s="101"/>
    </row>
    <row r="27363" spans="9:9" x14ac:dyDescent="0.3">
      <c r="I27363" s="101"/>
    </row>
    <row r="27364" spans="9:9" x14ac:dyDescent="0.3">
      <c r="I27364" s="101"/>
    </row>
    <row r="27365" spans="9:9" x14ac:dyDescent="0.3">
      <c r="I27365" s="101"/>
    </row>
    <row r="27366" spans="9:9" x14ac:dyDescent="0.3">
      <c r="I27366" s="101"/>
    </row>
    <row r="27367" spans="9:9" x14ac:dyDescent="0.3">
      <c r="I27367" s="101"/>
    </row>
    <row r="27368" spans="9:9" x14ac:dyDescent="0.3">
      <c r="I27368" s="101"/>
    </row>
    <row r="27369" spans="9:9" x14ac:dyDescent="0.3">
      <c r="I27369" s="101"/>
    </row>
    <row r="27370" spans="9:9" x14ac:dyDescent="0.3">
      <c r="I27370" s="101"/>
    </row>
    <row r="27371" spans="9:9" x14ac:dyDescent="0.3">
      <c r="I27371" s="101"/>
    </row>
    <row r="27372" spans="9:9" x14ac:dyDescent="0.3">
      <c r="I27372" s="101"/>
    </row>
    <row r="27373" spans="9:9" x14ac:dyDescent="0.3">
      <c r="I27373" s="101"/>
    </row>
    <row r="27374" spans="9:9" x14ac:dyDescent="0.3">
      <c r="I27374" s="101"/>
    </row>
    <row r="27375" spans="9:9" x14ac:dyDescent="0.3">
      <c r="I27375" s="101"/>
    </row>
    <row r="27376" spans="9:9" x14ac:dyDescent="0.3">
      <c r="I27376" s="101"/>
    </row>
    <row r="27377" spans="9:9" x14ac:dyDescent="0.3">
      <c r="I27377" s="101"/>
    </row>
    <row r="27378" spans="9:9" x14ac:dyDescent="0.3">
      <c r="I27378" s="101"/>
    </row>
    <row r="27379" spans="9:9" x14ac:dyDescent="0.3">
      <c r="I27379" s="101"/>
    </row>
    <row r="27380" spans="9:9" x14ac:dyDescent="0.3">
      <c r="I27380" s="101"/>
    </row>
    <row r="27381" spans="9:9" x14ac:dyDescent="0.3">
      <c r="I27381" s="101"/>
    </row>
    <row r="27382" spans="9:9" x14ac:dyDescent="0.3">
      <c r="I27382" s="101"/>
    </row>
    <row r="27383" spans="9:9" x14ac:dyDescent="0.3">
      <c r="I27383" s="101"/>
    </row>
    <row r="27384" spans="9:9" x14ac:dyDescent="0.3">
      <c r="I27384" s="101"/>
    </row>
    <row r="27385" spans="9:9" x14ac:dyDescent="0.3">
      <c r="I27385" s="101"/>
    </row>
    <row r="27386" spans="9:9" x14ac:dyDescent="0.3">
      <c r="I27386" s="101"/>
    </row>
    <row r="27387" spans="9:9" x14ac:dyDescent="0.3">
      <c r="I27387" s="101"/>
    </row>
    <row r="27388" spans="9:9" x14ac:dyDescent="0.3">
      <c r="I27388" s="101"/>
    </row>
    <row r="27389" spans="9:9" x14ac:dyDescent="0.3">
      <c r="I27389" s="101"/>
    </row>
    <row r="27390" spans="9:9" x14ac:dyDescent="0.3">
      <c r="I27390" s="101"/>
    </row>
    <row r="27391" spans="9:9" x14ac:dyDescent="0.3">
      <c r="I27391" s="101"/>
    </row>
    <row r="27392" spans="9:9" x14ac:dyDescent="0.3">
      <c r="I27392" s="101"/>
    </row>
    <row r="27393" spans="9:9" x14ac:dyDescent="0.3">
      <c r="I27393" s="101"/>
    </row>
    <row r="27394" spans="9:9" x14ac:dyDescent="0.3">
      <c r="I27394" s="101"/>
    </row>
    <row r="27395" spans="9:9" x14ac:dyDescent="0.3">
      <c r="I27395" s="101"/>
    </row>
    <row r="27396" spans="9:9" x14ac:dyDescent="0.3">
      <c r="I27396" s="101"/>
    </row>
    <row r="27397" spans="9:9" x14ac:dyDescent="0.3">
      <c r="I27397" s="101"/>
    </row>
    <row r="27398" spans="9:9" x14ac:dyDescent="0.3">
      <c r="I27398" s="101"/>
    </row>
    <row r="27399" spans="9:9" x14ac:dyDescent="0.3">
      <c r="I27399" s="101"/>
    </row>
    <row r="27400" spans="9:9" x14ac:dyDescent="0.3">
      <c r="I27400" s="101"/>
    </row>
    <row r="27401" spans="9:9" x14ac:dyDescent="0.3">
      <c r="I27401" s="101"/>
    </row>
    <row r="27402" spans="9:9" x14ac:dyDescent="0.3">
      <c r="I27402" s="101"/>
    </row>
    <row r="27403" spans="9:9" x14ac:dyDescent="0.3">
      <c r="I27403" s="101"/>
    </row>
    <row r="27404" spans="9:9" x14ac:dyDescent="0.3">
      <c r="I27404" s="101"/>
    </row>
    <row r="27405" spans="9:9" x14ac:dyDescent="0.3">
      <c r="I27405" s="101"/>
    </row>
    <row r="27406" spans="9:9" x14ac:dyDescent="0.3">
      <c r="I27406" s="101"/>
    </row>
    <row r="27407" spans="9:9" x14ac:dyDescent="0.3">
      <c r="I27407" s="101"/>
    </row>
    <row r="27408" spans="9:9" x14ac:dyDescent="0.3">
      <c r="I27408" s="101"/>
    </row>
    <row r="27409" spans="9:9" x14ac:dyDescent="0.3">
      <c r="I27409" s="101"/>
    </row>
    <row r="27410" spans="9:9" x14ac:dyDescent="0.3">
      <c r="I27410" s="101"/>
    </row>
    <row r="27411" spans="9:9" x14ac:dyDescent="0.3">
      <c r="I27411" s="101"/>
    </row>
    <row r="27412" spans="9:9" x14ac:dyDescent="0.3">
      <c r="I27412" s="101"/>
    </row>
    <row r="27413" spans="9:9" x14ac:dyDescent="0.3">
      <c r="I27413" s="101"/>
    </row>
    <row r="27414" spans="9:9" x14ac:dyDescent="0.3">
      <c r="I27414" s="101"/>
    </row>
    <row r="27415" spans="9:9" x14ac:dyDescent="0.3">
      <c r="I27415" s="101"/>
    </row>
    <row r="27416" spans="9:9" x14ac:dyDescent="0.3">
      <c r="I27416" s="101"/>
    </row>
    <row r="27417" spans="9:9" x14ac:dyDescent="0.3">
      <c r="I27417" s="101"/>
    </row>
    <row r="27418" spans="9:9" x14ac:dyDescent="0.3">
      <c r="I27418" s="101"/>
    </row>
    <row r="27419" spans="9:9" x14ac:dyDescent="0.3">
      <c r="I27419" s="101"/>
    </row>
    <row r="27420" spans="9:9" x14ac:dyDescent="0.3">
      <c r="I27420" s="101"/>
    </row>
    <row r="27421" spans="9:9" x14ac:dyDescent="0.3">
      <c r="I27421" s="101"/>
    </row>
    <row r="27422" spans="9:9" x14ac:dyDescent="0.3">
      <c r="I27422" s="101"/>
    </row>
    <row r="27423" spans="9:9" x14ac:dyDescent="0.3">
      <c r="I27423" s="101"/>
    </row>
    <row r="27424" spans="9:9" x14ac:dyDescent="0.3">
      <c r="I27424" s="101"/>
    </row>
    <row r="27425" spans="9:9" x14ac:dyDescent="0.3">
      <c r="I27425" s="101"/>
    </row>
    <row r="27426" spans="9:9" x14ac:dyDescent="0.3">
      <c r="I27426" s="101"/>
    </row>
    <row r="27427" spans="9:9" x14ac:dyDescent="0.3">
      <c r="I27427" s="101"/>
    </row>
    <row r="27428" spans="9:9" x14ac:dyDescent="0.3">
      <c r="I27428" s="101"/>
    </row>
    <row r="27429" spans="9:9" x14ac:dyDescent="0.3">
      <c r="I27429" s="101"/>
    </row>
    <row r="27430" spans="9:9" x14ac:dyDescent="0.3">
      <c r="I27430" s="101"/>
    </row>
    <row r="27431" spans="9:9" x14ac:dyDescent="0.3">
      <c r="I27431" s="101"/>
    </row>
    <row r="27432" spans="9:9" x14ac:dyDescent="0.3">
      <c r="I27432" s="101"/>
    </row>
    <row r="27433" spans="9:9" x14ac:dyDescent="0.3">
      <c r="I27433" s="101"/>
    </row>
    <row r="27434" spans="9:9" x14ac:dyDescent="0.3">
      <c r="I27434" s="101"/>
    </row>
    <row r="27435" spans="9:9" x14ac:dyDescent="0.3">
      <c r="I27435" s="101"/>
    </row>
    <row r="27436" spans="9:9" x14ac:dyDescent="0.3">
      <c r="I27436" s="101"/>
    </row>
    <row r="27437" spans="9:9" x14ac:dyDescent="0.3">
      <c r="I27437" s="101"/>
    </row>
    <row r="27438" spans="9:9" x14ac:dyDescent="0.3">
      <c r="I27438" s="101"/>
    </row>
    <row r="27439" spans="9:9" x14ac:dyDescent="0.3">
      <c r="I27439" s="101"/>
    </row>
    <row r="27440" spans="9:9" x14ac:dyDescent="0.3">
      <c r="I27440" s="101"/>
    </row>
    <row r="27441" spans="9:9" x14ac:dyDescent="0.3">
      <c r="I27441" s="101"/>
    </row>
    <row r="27442" spans="9:9" x14ac:dyDescent="0.3">
      <c r="I27442" s="101"/>
    </row>
    <row r="27443" spans="9:9" x14ac:dyDescent="0.3">
      <c r="I27443" s="101"/>
    </row>
    <row r="27444" spans="9:9" x14ac:dyDescent="0.3">
      <c r="I27444" s="101"/>
    </row>
    <row r="27445" spans="9:9" x14ac:dyDescent="0.3">
      <c r="I27445" s="101"/>
    </row>
    <row r="27446" spans="9:9" x14ac:dyDescent="0.3">
      <c r="I27446" s="101"/>
    </row>
    <row r="27447" spans="9:9" x14ac:dyDescent="0.3">
      <c r="I27447" s="101"/>
    </row>
    <row r="27448" spans="9:9" x14ac:dyDescent="0.3">
      <c r="I27448" s="101"/>
    </row>
    <row r="27449" spans="9:9" x14ac:dyDescent="0.3">
      <c r="I27449" s="101"/>
    </row>
    <row r="27450" spans="9:9" x14ac:dyDescent="0.3">
      <c r="I27450" s="101"/>
    </row>
    <row r="27451" spans="9:9" x14ac:dyDescent="0.3">
      <c r="I27451" s="101"/>
    </row>
    <row r="27452" spans="9:9" x14ac:dyDescent="0.3">
      <c r="I27452" s="101"/>
    </row>
    <row r="27453" spans="9:9" x14ac:dyDescent="0.3">
      <c r="I27453" s="101"/>
    </row>
    <row r="27454" spans="9:9" x14ac:dyDescent="0.3">
      <c r="I27454" s="101"/>
    </row>
    <row r="27455" spans="9:9" x14ac:dyDescent="0.3">
      <c r="I27455" s="101"/>
    </row>
    <row r="27456" spans="9:9" x14ac:dyDescent="0.3">
      <c r="I27456" s="101"/>
    </row>
    <row r="27457" spans="9:9" x14ac:dyDescent="0.3">
      <c r="I27457" s="101"/>
    </row>
    <row r="27458" spans="9:9" x14ac:dyDescent="0.3">
      <c r="I27458" s="101"/>
    </row>
    <row r="27459" spans="9:9" x14ac:dyDescent="0.3">
      <c r="I27459" s="101"/>
    </row>
    <row r="27460" spans="9:9" x14ac:dyDescent="0.3">
      <c r="I27460" s="101"/>
    </row>
    <row r="27461" spans="9:9" x14ac:dyDescent="0.3">
      <c r="I27461" s="101"/>
    </row>
    <row r="27462" spans="9:9" x14ac:dyDescent="0.3">
      <c r="I27462" s="101"/>
    </row>
    <row r="27463" spans="9:9" x14ac:dyDescent="0.3">
      <c r="I27463" s="101"/>
    </row>
    <row r="27464" spans="9:9" x14ac:dyDescent="0.3">
      <c r="I27464" s="101"/>
    </row>
    <row r="27465" spans="9:9" x14ac:dyDescent="0.3">
      <c r="I27465" s="101"/>
    </row>
    <row r="27466" spans="9:9" x14ac:dyDescent="0.3">
      <c r="I27466" s="101"/>
    </row>
    <row r="27467" spans="9:9" x14ac:dyDescent="0.3">
      <c r="I27467" s="101"/>
    </row>
    <row r="27468" spans="9:9" x14ac:dyDescent="0.3">
      <c r="I27468" s="101"/>
    </row>
    <row r="27469" spans="9:9" x14ac:dyDescent="0.3">
      <c r="I27469" s="101"/>
    </row>
    <row r="27470" spans="9:9" x14ac:dyDescent="0.3">
      <c r="I27470" s="101"/>
    </row>
    <row r="27471" spans="9:9" x14ac:dyDescent="0.3">
      <c r="I27471" s="101"/>
    </row>
    <row r="27472" spans="9:9" x14ac:dyDescent="0.3">
      <c r="I27472" s="101"/>
    </row>
    <row r="27473" spans="9:9" x14ac:dyDescent="0.3">
      <c r="I27473" s="101"/>
    </row>
    <row r="27474" spans="9:9" x14ac:dyDescent="0.3">
      <c r="I27474" s="101"/>
    </row>
    <row r="27475" spans="9:9" x14ac:dyDescent="0.3">
      <c r="I27475" s="101"/>
    </row>
    <row r="27476" spans="9:9" x14ac:dyDescent="0.3">
      <c r="I27476" s="101"/>
    </row>
    <row r="27477" spans="9:9" x14ac:dyDescent="0.3">
      <c r="I27477" s="101"/>
    </row>
    <row r="27478" spans="9:9" x14ac:dyDescent="0.3">
      <c r="I27478" s="101"/>
    </row>
    <row r="27479" spans="9:9" x14ac:dyDescent="0.3">
      <c r="I27479" s="101"/>
    </row>
    <row r="27480" spans="9:9" x14ac:dyDescent="0.3">
      <c r="I27480" s="101"/>
    </row>
    <row r="27481" spans="9:9" x14ac:dyDescent="0.3">
      <c r="I27481" s="101"/>
    </row>
    <row r="27482" spans="9:9" x14ac:dyDescent="0.3">
      <c r="I27482" s="101"/>
    </row>
    <row r="27483" spans="9:9" x14ac:dyDescent="0.3">
      <c r="I27483" s="101"/>
    </row>
    <row r="27484" spans="9:9" x14ac:dyDescent="0.3">
      <c r="I27484" s="101"/>
    </row>
    <row r="27485" spans="9:9" x14ac:dyDescent="0.3">
      <c r="I27485" s="101"/>
    </row>
    <row r="27486" spans="9:9" x14ac:dyDescent="0.3">
      <c r="I27486" s="101"/>
    </row>
    <row r="27487" spans="9:9" x14ac:dyDescent="0.3">
      <c r="I27487" s="101"/>
    </row>
    <row r="27488" spans="9:9" x14ac:dyDescent="0.3">
      <c r="I27488" s="101"/>
    </row>
    <row r="27489" spans="9:9" x14ac:dyDescent="0.3">
      <c r="I27489" s="101"/>
    </row>
    <row r="27490" spans="9:9" x14ac:dyDescent="0.3">
      <c r="I27490" s="101"/>
    </row>
    <row r="27491" spans="9:9" x14ac:dyDescent="0.3">
      <c r="I27491" s="101"/>
    </row>
    <row r="27492" spans="9:9" x14ac:dyDescent="0.3">
      <c r="I27492" s="101"/>
    </row>
    <row r="27493" spans="9:9" x14ac:dyDescent="0.3">
      <c r="I27493" s="101"/>
    </row>
    <row r="27494" spans="9:9" x14ac:dyDescent="0.3">
      <c r="I27494" s="101"/>
    </row>
    <row r="27495" spans="9:9" x14ac:dyDescent="0.3">
      <c r="I27495" s="101"/>
    </row>
    <row r="27496" spans="9:9" x14ac:dyDescent="0.3">
      <c r="I27496" s="101"/>
    </row>
    <row r="27497" spans="9:9" x14ac:dyDescent="0.3">
      <c r="I27497" s="101"/>
    </row>
    <row r="27498" spans="9:9" x14ac:dyDescent="0.3">
      <c r="I27498" s="101"/>
    </row>
    <row r="27499" spans="9:9" x14ac:dyDescent="0.3">
      <c r="I27499" s="101"/>
    </row>
    <row r="27500" spans="9:9" x14ac:dyDescent="0.3">
      <c r="I27500" s="101"/>
    </row>
    <row r="27501" spans="9:9" x14ac:dyDescent="0.3">
      <c r="I27501" s="101"/>
    </row>
    <row r="27502" spans="9:9" x14ac:dyDescent="0.3">
      <c r="I27502" s="101"/>
    </row>
    <row r="27503" spans="9:9" x14ac:dyDescent="0.3">
      <c r="I27503" s="101"/>
    </row>
    <row r="27504" spans="9:9" x14ac:dyDescent="0.3">
      <c r="I27504" s="101"/>
    </row>
    <row r="27505" spans="9:9" x14ac:dyDescent="0.3">
      <c r="I27505" s="101"/>
    </row>
    <row r="27506" spans="9:9" x14ac:dyDescent="0.3">
      <c r="I27506" s="101"/>
    </row>
    <row r="27507" spans="9:9" x14ac:dyDescent="0.3">
      <c r="I27507" s="101"/>
    </row>
    <row r="27508" spans="9:9" x14ac:dyDescent="0.3">
      <c r="I27508" s="101"/>
    </row>
    <row r="27509" spans="9:9" x14ac:dyDescent="0.3">
      <c r="I27509" s="101"/>
    </row>
    <row r="27510" spans="9:9" x14ac:dyDescent="0.3">
      <c r="I27510" s="101"/>
    </row>
    <row r="27511" spans="9:9" x14ac:dyDescent="0.3">
      <c r="I27511" s="101"/>
    </row>
    <row r="27512" spans="9:9" x14ac:dyDescent="0.3">
      <c r="I27512" s="101"/>
    </row>
    <row r="27513" spans="9:9" x14ac:dyDescent="0.3">
      <c r="I27513" s="101"/>
    </row>
    <row r="27514" spans="9:9" x14ac:dyDescent="0.3">
      <c r="I27514" s="101"/>
    </row>
    <row r="27515" spans="9:9" x14ac:dyDescent="0.3">
      <c r="I27515" s="101"/>
    </row>
    <row r="27516" spans="9:9" x14ac:dyDescent="0.3">
      <c r="I27516" s="101"/>
    </row>
    <row r="27517" spans="9:9" x14ac:dyDescent="0.3">
      <c r="I27517" s="101"/>
    </row>
    <row r="27518" spans="9:9" x14ac:dyDescent="0.3">
      <c r="I27518" s="101"/>
    </row>
    <row r="27519" spans="9:9" x14ac:dyDescent="0.3">
      <c r="I27519" s="101"/>
    </row>
    <row r="27520" spans="9:9" x14ac:dyDescent="0.3">
      <c r="I27520" s="101"/>
    </row>
    <row r="27521" spans="9:9" x14ac:dyDescent="0.3">
      <c r="I27521" s="101"/>
    </row>
    <row r="27522" spans="9:9" x14ac:dyDescent="0.3">
      <c r="I27522" s="101"/>
    </row>
    <row r="27523" spans="9:9" x14ac:dyDescent="0.3">
      <c r="I27523" s="101"/>
    </row>
    <row r="27524" spans="9:9" x14ac:dyDescent="0.3">
      <c r="I27524" s="101"/>
    </row>
    <row r="27525" spans="9:9" x14ac:dyDescent="0.3">
      <c r="I27525" s="101"/>
    </row>
    <row r="27526" spans="9:9" x14ac:dyDescent="0.3">
      <c r="I27526" s="101"/>
    </row>
    <row r="27527" spans="9:9" x14ac:dyDescent="0.3">
      <c r="I27527" s="101"/>
    </row>
    <row r="27528" spans="9:9" x14ac:dyDescent="0.3">
      <c r="I27528" s="101"/>
    </row>
    <row r="27529" spans="9:9" x14ac:dyDescent="0.3">
      <c r="I27529" s="101"/>
    </row>
    <row r="27530" spans="9:9" x14ac:dyDescent="0.3">
      <c r="I27530" s="101"/>
    </row>
    <row r="27531" spans="9:9" x14ac:dyDescent="0.3">
      <c r="I27531" s="101"/>
    </row>
    <row r="27532" spans="9:9" x14ac:dyDescent="0.3">
      <c r="I27532" s="101"/>
    </row>
    <row r="27533" spans="9:9" x14ac:dyDescent="0.3">
      <c r="I27533" s="101"/>
    </row>
    <row r="27534" spans="9:9" x14ac:dyDescent="0.3">
      <c r="I27534" s="101"/>
    </row>
    <row r="27535" spans="9:9" x14ac:dyDescent="0.3">
      <c r="I27535" s="101"/>
    </row>
    <row r="27536" spans="9:9" x14ac:dyDescent="0.3">
      <c r="I27536" s="101"/>
    </row>
    <row r="27537" spans="9:9" x14ac:dyDescent="0.3">
      <c r="I27537" s="101"/>
    </row>
    <row r="27538" spans="9:9" x14ac:dyDescent="0.3">
      <c r="I27538" s="101"/>
    </row>
    <row r="27539" spans="9:9" x14ac:dyDescent="0.3">
      <c r="I27539" s="101"/>
    </row>
    <row r="27540" spans="9:9" x14ac:dyDescent="0.3">
      <c r="I27540" s="101"/>
    </row>
    <row r="27541" spans="9:9" x14ac:dyDescent="0.3">
      <c r="I27541" s="101"/>
    </row>
    <row r="27542" spans="9:9" x14ac:dyDescent="0.3">
      <c r="I27542" s="101"/>
    </row>
    <row r="27543" spans="9:9" x14ac:dyDescent="0.3">
      <c r="I27543" s="101"/>
    </row>
    <row r="27544" spans="9:9" x14ac:dyDescent="0.3">
      <c r="I27544" s="101"/>
    </row>
    <row r="27545" spans="9:9" x14ac:dyDescent="0.3">
      <c r="I27545" s="101"/>
    </row>
    <row r="27546" spans="9:9" x14ac:dyDescent="0.3">
      <c r="I27546" s="101"/>
    </row>
    <row r="27547" spans="9:9" x14ac:dyDescent="0.3">
      <c r="I27547" s="101"/>
    </row>
    <row r="27548" spans="9:9" x14ac:dyDescent="0.3">
      <c r="I27548" s="101"/>
    </row>
    <row r="27549" spans="9:9" x14ac:dyDescent="0.3">
      <c r="I27549" s="101"/>
    </row>
    <row r="27550" spans="9:9" x14ac:dyDescent="0.3">
      <c r="I27550" s="101"/>
    </row>
    <row r="27551" spans="9:9" x14ac:dyDescent="0.3">
      <c r="I27551" s="101"/>
    </row>
    <row r="27552" spans="9:9" x14ac:dyDescent="0.3">
      <c r="I27552" s="101"/>
    </row>
    <row r="27553" spans="9:9" x14ac:dyDescent="0.3">
      <c r="I27553" s="101"/>
    </row>
    <row r="27554" spans="9:9" x14ac:dyDescent="0.3">
      <c r="I27554" s="101"/>
    </row>
    <row r="27555" spans="9:9" x14ac:dyDescent="0.3">
      <c r="I27555" s="101"/>
    </row>
    <row r="27556" spans="9:9" x14ac:dyDescent="0.3">
      <c r="I27556" s="101"/>
    </row>
    <row r="27557" spans="9:9" x14ac:dyDescent="0.3">
      <c r="I27557" s="101"/>
    </row>
    <row r="27558" spans="9:9" x14ac:dyDescent="0.3">
      <c r="I27558" s="101"/>
    </row>
    <row r="27559" spans="9:9" x14ac:dyDescent="0.3">
      <c r="I27559" s="101"/>
    </row>
    <row r="27560" spans="9:9" x14ac:dyDescent="0.3">
      <c r="I27560" s="101"/>
    </row>
    <row r="27561" spans="9:9" x14ac:dyDescent="0.3">
      <c r="I27561" s="101"/>
    </row>
    <row r="27562" spans="9:9" x14ac:dyDescent="0.3">
      <c r="I27562" s="101"/>
    </row>
    <row r="27563" spans="9:9" x14ac:dyDescent="0.3">
      <c r="I27563" s="101"/>
    </row>
    <row r="27564" spans="9:9" x14ac:dyDescent="0.3">
      <c r="I27564" s="101"/>
    </row>
    <row r="27565" spans="9:9" x14ac:dyDescent="0.3">
      <c r="I27565" s="101"/>
    </row>
    <row r="27566" spans="9:9" x14ac:dyDescent="0.3">
      <c r="I27566" s="101"/>
    </row>
    <row r="27567" spans="9:9" x14ac:dyDescent="0.3">
      <c r="I27567" s="101"/>
    </row>
    <row r="27568" spans="9:9" x14ac:dyDescent="0.3">
      <c r="I27568" s="101"/>
    </row>
    <row r="27569" spans="9:9" x14ac:dyDescent="0.3">
      <c r="I27569" s="101"/>
    </row>
    <row r="27570" spans="9:9" x14ac:dyDescent="0.3">
      <c r="I27570" s="101"/>
    </row>
    <row r="27571" spans="9:9" x14ac:dyDescent="0.3">
      <c r="I27571" s="101"/>
    </row>
    <row r="27572" spans="9:9" x14ac:dyDescent="0.3">
      <c r="I27572" s="101"/>
    </row>
    <row r="27573" spans="9:9" x14ac:dyDescent="0.3">
      <c r="I27573" s="101"/>
    </row>
    <row r="27574" spans="9:9" x14ac:dyDescent="0.3">
      <c r="I27574" s="101"/>
    </row>
    <row r="27575" spans="9:9" x14ac:dyDescent="0.3">
      <c r="I27575" s="101"/>
    </row>
    <row r="27576" spans="9:9" x14ac:dyDescent="0.3">
      <c r="I27576" s="101"/>
    </row>
    <row r="27577" spans="9:9" x14ac:dyDescent="0.3">
      <c r="I27577" s="101"/>
    </row>
    <row r="27578" spans="9:9" x14ac:dyDescent="0.3">
      <c r="I27578" s="101"/>
    </row>
    <row r="27579" spans="9:9" x14ac:dyDescent="0.3">
      <c r="I27579" s="101"/>
    </row>
    <row r="27580" spans="9:9" x14ac:dyDescent="0.3">
      <c r="I27580" s="101"/>
    </row>
    <row r="27581" spans="9:9" x14ac:dyDescent="0.3">
      <c r="I27581" s="101"/>
    </row>
    <row r="27582" spans="9:9" x14ac:dyDescent="0.3">
      <c r="I27582" s="101"/>
    </row>
    <row r="27583" spans="9:9" x14ac:dyDescent="0.3">
      <c r="I27583" s="101"/>
    </row>
    <row r="27584" spans="9:9" x14ac:dyDescent="0.3">
      <c r="I27584" s="101"/>
    </row>
    <row r="27585" spans="9:9" x14ac:dyDescent="0.3">
      <c r="I27585" s="101"/>
    </row>
    <row r="27586" spans="9:9" x14ac:dyDescent="0.3">
      <c r="I27586" s="101"/>
    </row>
    <row r="27587" spans="9:9" x14ac:dyDescent="0.3">
      <c r="I27587" s="101"/>
    </row>
    <row r="27588" spans="9:9" x14ac:dyDescent="0.3">
      <c r="I27588" s="101"/>
    </row>
    <row r="27589" spans="9:9" x14ac:dyDescent="0.3">
      <c r="I27589" s="101"/>
    </row>
    <row r="27590" spans="9:9" x14ac:dyDescent="0.3">
      <c r="I27590" s="101"/>
    </row>
    <row r="27591" spans="9:9" x14ac:dyDescent="0.3">
      <c r="I27591" s="101"/>
    </row>
    <row r="27592" spans="9:9" x14ac:dyDescent="0.3">
      <c r="I27592" s="101"/>
    </row>
    <row r="27593" spans="9:9" x14ac:dyDescent="0.3">
      <c r="I27593" s="101"/>
    </row>
    <row r="27594" spans="9:9" x14ac:dyDescent="0.3">
      <c r="I27594" s="101"/>
    </row>
    <row r="27595" spans="9:9" x14ac:dyDescent="0.3">
      <c r="I27595" s="101"/>
    </row>
    <row r="27596" spans="9:9" x14ac:dyDescent="0.3">
      <c r="I27596" s="101"/>
    </row>
    <row r="27597" spans="9:9" x14ac:dyDescent="0.3">
      <c r="I27597" s="101"/>
    </row>
    <row r="27598" spans="9:9" x14ac:dyDescent="0.3">
      <c r="I27598" s="101"/>
    </row>
    <row r="27599" spans="9:9" x14ac:dyDescent="0.3">
      <c r="I27599" s="101"/>
    </row>
    <row r="27600" spans="9:9" x14ac:dyDescent="0.3">
      <c r="I27600" s="101"/>
    </row>
    <row r="27601" spans="9:9" x14ac:dyDescent="0.3">
      <c r="I27601" s="101"/>
    </row>
    <row r="27602" spans="9:9" x14ac:dyDescent="0.3">
      <c r="I27602" s="101"/>
    </row>
    <row r="27603" spans="9:9" x14ac:dyDescent="0.3">
      <c r="I27603" s="101"/>
    </row>
    <row r="27604" spans="9:9" x14ac:dyDescent="0.3">
      <c r="I27604" s="101"/>
    </row>
    <row r="27605" spans="9:9" x14ac:dyDescent="0.3">
      <c r="I27605" s="101"/>
    </row>
    <row r="27606" spans="9:9" x14ac:dyDescent="0.3">
      <c r="I27606" s="101"/>
    </row>
    <row r="27607" spans="9:9" x14ac:dyDescent="0.3">
      <c r="I27607" s="101"/>
    </row>
    <row r="27608" spans="9:9" x14ac:dyDescent="0.3">
      <c r="I27608" s="101"/>
    </row>
    <row r="27609" spans="9:9" x14ac:dyDescent="0.3">
      <c r="I27609" s="101"/>
    </row>
    <row r="27610" spans="9:9" x14ac:dyDescent="0.3">
      <c r="I27610" s="101"/>
    </row>
    <row r="27611" spans="9:9" x14ac:dyDescent="0.3">
      <c r="I27611" s="101"/>
    </row>
    <row r="27612" spans="9:9" x14ac:dyDescent="0.3">
      <c r="I27612" s="101"/>
    </row>
    <row r="27613" spans="9:9" x14ac:dyDescent="0.3">
      <c r="I27613" s="101"/>
    </row>
    <row r="27614" spans="9:9" x14ac:dyDescent="0.3">
      <c r="I27614" s="101"/>
    </row>
    <row r="27615" spans="9:9" x14ac:dyDescent="0.3">
      <c r="I27615" s="101"/>
    </row>
    <row r="27616" spans="9:9" x14ac:dyDescent="0.3">
      <c r="I27616" s="101"/>
    </row>
    <row r="27617" spans="9:9" x14ac:dyDescent="0.3">
      <c r="I27617" s="101"/>
    </row>
    <row r="27618" spans="9:9" x14ac:dyDescent="0.3">
      <c r="I27618" s="101"/>
    </row>
    <row r="27619" spans="9:9" x14ac:dyDescent="0.3">
      <c r="I27619" s="101"/>
    </row>
    <row r="27620" spans="9:9" x14ac:dyDescent="0.3">
      <c r="I27620" s="101"/>
    </row>
    <row r="27621" spans="9:9" x14ac:dyDescent="0.3">
      <c r="I27621" s="101"/>
    </row>
    <row r="27622" spans="9:9" x14ac:dyDescent="0.3">
      <c r="I27622" s="101"/>
    </row>
    <row r="27623" spans="9:9" x14ac:dyDescent="0.3">
      <c r="I27623" s="101"/>
    </row>
    <row r="27624" spans="9:9" x14ac:dyDescent="0.3">
      <c r="I27624" s="101"/>
    </row>
    <row r="27625" spans="9:9" x14ac:dyDescent="0.3">
      <c r="I27625" s="101"/>
    </row>
    <row r="27626" spans="9:9" x14ac:dyDescent="0.3">
      <c r="I27626" s="101"/>
    </row>
    <row r="27627" spans="9:9" x14ac:dyDescent="0.3">
      <c r="I27627" s="101"/>
    </row>
    <row r="27628" spans="9:9" x14ac:dyDescent="0.3">
      <c r="I27628" s="101"/>
    </row>
    <row r="27629" spans="9:9" x14ac:dyDescent="0.3">
      <c r="I27629" s="101"/>
    </row>
    <row r="27630" spans="9:9" x14ac:dyDescent="0.3">
      <c r="I27630" s="101"/>
    </row>
    <row r="27631" spans="9:9" x14ac:dyDescent="0.3">
      <c r="I27631" s="101"/>
    </row>
    <row r="27632" spans="9:9" x14ac:dyDescent="0.3">
      <c r="I27632" s="101"/>
    </row>
    <row r="27633" spans="9:9" x14ac:dyDescent="0.3">
      <c r="I27633" s="101"/>
    </row>
    <row r="27634" spans="9:9" x14ac:dyDescent="0.3">
      <c r="I27634" s="101"/>
    </row>
    <row r="27635" spans="9:9" x14ac:dyDescent="0.3">
      <c r="I27635" s="101"/>
    </row>
    <row r="27636" spans="9:9" x14ac:dyDescent="0.3">
      <c r="I27636" s="101"/>
    </row>
    <row r="27637" spans="9:9" x14ac:dyDescent="0.3">
      <c r="I27637" s="101"/>
    </row>
    <row r="27638" spans="9:9" x14ac:dyDescent="0.3">
      <c r="I27638" s="101"/>
    </row>
    <row r="27639" spans="9:9" x14ac:dyDescent="0.3">
      <c r="I27639" s="101"/>
    </row>
    <row r="27640" spans="9:9" x14ac:dyDescent="0.3">
      <c r="I27640" s="101"/>
    </row>
    <row r="27641" spans="9:9" x14ac:dyDescent="0.3">
      <c r="I27641" s="101"/>
    </row>
    <row r="27642" spans="9:9" x14ac:dyDescent="0.3">
      <c r="I27642" s="101"/>
    </row>
    <row r="27643" spans="9:9" x14ac:dyDescent="0.3">
      <c r="I27643" s="101"/>
    </row>
    <row r="27644" spans="9:9" x14ac:dyDescent="0.3">
      <c r="I27644" s="101"/>
    </row>
    <row r="27645" spans="9:9" x14ac:dyDescent="0.3">
      <c r="I27645" s="101"/>
    </row>
    <row r="27646" spans="9:9" x14ac:dyDescent="0.3">
      <c r="I27646" s="101"/>
    </row>
    <row r="27647" spans="9:9" x14ac:dyDescent="0.3">
      <c r="I27647" s="101"/>
    </row>
    <row r="27648" spans="9:9" x14ac:dyDescent="0.3">
      <c r="I27648" s="101"/>
    </row>
    <row r="27649" spans="9:9" x14ac:dyDescent="0.3">
      <c r="I27649" s="101"/>
    </row>
    <row r="27650" spans="9:9" x14ac:dyDescent="0.3">
      <c r="I27650" s="101"/>
    </row>
    <row r="27651" spans="9:9" x14ac:dyDescent="0.3">
      <c r="I27651" s="101"/>
    </row>
    <row r="27652" spans="9:9" x14ac:dyDescent="0.3">
      <c r="I27652" s="101"/>
    </row>
    <row r="27653" spans="9:9" x14ac:dyDescent="0.3">
      <c r="I27653" s="101"/>
    </row>
    <row r="27654" spans="9:9" x14ac:dyDescent="0.3">
      <c r="I27654" s="101"/>
    </row>
    <row r="27655" spans="9:9" x14ac:dyDescent="0.3">
      <c r="I27655" s="101"/>
    </row>
    <row r="27656" spans="9:9" x14ac:dyDescent="0.3">
      <c r="I27656" s="101"/>
    </row>
    <row r="27657" spans="9:9" x14ac:dyDescent="0.3">
      <c r="I27657" s="101"/>
    </row>
    <row r="27658" spans="9:9" x14ac:dyDescent="0.3">
      <c r="I27658" s="101"/>
    </row>
    <row r="27659" spans="9:9" x14ac:dyDescent="0.3">
      <c r="I27659" s="101"/>
    </row>
    <row r="27660" spans="9:9" x14ac:dyDescent="0.3">
      <c r="I27660" s="101"/>
    </row>
    <row r="27661" spans="9:9" x14ac:dyDescent="0.3">
      <c r="I27661" s="101"/>
    </row>
    <row r="27662" spans="9:9" x14ac:dyDescent="0.3">
      <c r="I27662" s="101"/>
    </row>
    <row r="27663" spans="9:9" x14ac:dyDescent="0.3">
      <c r="I27663" s="101"/>
    </row>
    <row r="27664" spans="9:9" x14ac:dyDescent="0.3">
      <c r="I27664" s="101"/>
    </row>
    <row r="27665" spans="9:9" x14ac:dyDescent="0.3">
      <c r="I27665" s="101"/>
    </row>
    <row r="27666" spans="9:9" x14ac:dyDescent="0.3">
      <c r="I27666" s="101"/>
    </row>
    <row r="27667" spans="9:9" x14ac:dyDescent="0.3">
      <c r="I27667" s="101"/>
    </row>
    <row r="27668" spans="9:9" x14ac:dyDescent="0.3">
      <c r="I27668" s="101"/>
    </row>
    <row r="27669" spans="9:9" x14ac:dyDescent="0.3">
      <c r="I27669" s="101"/>
    </row>
    <row r="27670" spans="9:9" x14ac:dyDescent="0.3">
      <c r="I27670" s="101"/>
    </row>
    <row r="27671" spans="9:9" x14ac:dyDescent="0.3">
      <c r="I27671" s="101"/>
    </row>
    <row r="27672" spans="9:9" x14ac:dyDescent="0.3">
      <c r="I27672" s="101"/>
    </row>
    <row r="27673" spans="9:9" x14ac:dyDescent="0.3">
      <c r="I27673" s="101"/>
    </row>
    <row r="27674" spans="9:9" x14ac:dyDescent="0.3">
      <c r="I27674" s="101"/>
    </row>
    <row r="27675" spans="9:9" x14ac:dyDescent="0.3">
      <c r="I27675" s="101"/>
    </row>
    <row r="27676" spans="9:9" x14ac:dyDescent="0.3">
      <c r="I27676" s="101"/>
    </row>
    <row r="27677" spans="9:9" x14ac:dyDescent="0.3">
      <c r="I27677" s="101"/>
    </row>
    <row r="27678" spans="9:9" x14ac:dyDescent="0.3">
      <c r="I27678" s="101"/>
    </row>
    <row r="27679" spans="9:9" x14ac:dyDescent="0.3">
      <c r="I27679" s="101"/>
    </row>
    <row r="27680" spans="9:9" x14ac:dyDescent="0.3">
      <c r="I27680" s="101"/>
    </row>
    <row r="27681" spans="9:9" x14ac:dyDescent="0.3">
      <c r="I27681" s="101"/>
    </row>
    <row r="27682" spans="9:9" x14ac:dyDescent="0.3">
      <c r="I27682" s="101"/>
    </row>
    <row r="27683" spans="9:9" x14ac:dyDescent="0.3">
      <c r="I27683" s="101"/>
    </row>
    <row r="27684" spans="9:9" x14ac:dyDescent="0.3">
      <c r="I27684" s="101"/>
    </row>
    <row r="27685" spans="9:9" x14ac:dyDescent="0.3">
      <c r="I27685" s="101"/>
    </row>
    <row r="27686" spans="9:9" x14ac:dyDescent="0.3">
      <c r="I27686" s="101"/>
    </row>
    <row r="27687" spans="9:9" x14ac:dyDescent="0.3">
      <c r="I27687" s="101"/>
    </row>
    <row r="27688" spans="9:9" x14ac:dyDescent="0.3">
      <c r="I27688" s="101"/>
    </row>
    <row r="27689" spans="9:9" x14ac:dyDescent="0.3">
      <c r="I27689" s="101"/>
    </row>
    <row r="27690" spans="9:9" x14ac:dyDescent="0.3">
      <c r="I27690" s="101"/>
    </row>
    <row r="27691" spans="9:9" x14ac:dyDescent="0.3">
      <c r="I27691" s="101"/>
    </row>
    <row r="27692" spans="9:9" x14ac:dyDescent="0.3">
      <c r="I27692" s="101"/>
    </row>
    <row r="27693" spans="9:9" x14ac:dyDescent="0.3">
      <c r="I27693" s="101"/>
    </row>
    <row r="27694" spans="9:9" x14ac:dyDescent="0.3">
      <c r="I27694" s="101"/>
    </row>
    <row r="27695" spans="9:9" x14ac:dyDescent="0.3">
      <c r="I27695" s="101"/>
    </row>
    <row r="27696" spans="9:9" x14ac:dyDescent="0.3">
      <c r="I27696" s="101"/>
    </row>
    <row r="27697" spans="9:9" x14ac:dyDescent="0.3">
      <c r="I27697" s="101"/>
    </row>
    <row r="27698" spans="9:9" x14ac:dyDescent="0.3">
      <c r="I27698" s="101"/>
    </row>
    <row r="27699" spans="9:9" x14ac:dyDescent="0.3">
      <c r="I27699" s="101"/>
    </row>
    <row r="27700" spans="9:9" x14ac:dyDescent="0.3">
      <c r="I27700" s="101"/>
    </row>
    <row r="27701" spans="9:9" x14ac:dyDescent="0.3">
      <c r="I27701" s="101"/>
    </row>
    <row r="27702" spans="9:9" x14ac:dyDescent="0.3">
      <c r="I27702" s="101"/>
    </row>
    <row r="27703" spans="9:9" x14ac:dyDescent="0.3">
      <c r="I27703" s="101"/>
    </row>
    <row r="27704" spans="9:9" x14ac:dyDescent="0.3">
      <c r="I27704" s="101"/>
    </row>
    <row r="27705" spans="9:9" x14ac:dyDescent="0.3">
      <c r="I27705" s="101"/>
    </row>
    <row r="27706" spans="9:9" x14ac:dyDescent="0.3">
      <c r="I27706" s="101"/>
    </row>
    <row r="27707" spans="9:9" x14ac:dyDescent="0.3">
      <c r="I27707" s="101"/>
    </row>
    <row r="27708" spans="9:9" x14ac:dyDescent="0.3">
      <c r="I27708" s="101"/>
    </row>
    <row r="27709" spans="9:9" x14ac:dyDescent="0.3">
      <c r="I27709" s="101"/>
    </row>
    <row r="27710" spans="9:9" x14ac:dyDescent="0.3">
      <c r="I27710" s="101"/>
    </row>
    <row r="27711" spans="9:9" x14ac:dyDescent="0.3">
      <c r="I27711" s="101"/>
    </row>
    <row r="27712" spans="9:9" x14ac:dyDescent="0.3">
      <c r="I27712" s="101"/>
    </row>
    <row r="27713" spans="9:9" x14ac:dyDescent="0.3">
      <c r="I27713" s="101"/>
    </row>
    <row r="27714" spans="9:9" x14ac:dyDescent="0.3">
      <c r="I27714" s="101"/>
    </row>
    <row r="27715" spans="9:9" x14ac:dyDescent="0.3">
      <c r="I27715" s="101"/>
    </row>
    <row r="27716" spans="9:9" x14ac:dyDescent="0.3">
      <c r="I27716" s="101"/>
    </row>
    <row r="27717" spans="9:9" x14ac:dyDescent="0.3">
      <c r="I27717" s="101"/>
    </row>
    <row r="27718" spans="9:9" x14ac:dyDescent="0.3">
      <c r="I27718" s="101"/>
    </row>
    <row r="27719" spans="9:9" x14ac:dyDescent="0.3">
      <c r="I27719" s="101"/>
    </row>
    <row r="27720" spans="9:9" x14ac:dyDescent="0.3">
      <c r="I27720" s="101"/>
    </row>
    <row r="27721" spans="9:9" x14ac:dyDescent="0.3">
      <c r="I27721" s="101"/>
    </row>
    <row r="27722" spans="9:9" x14ac:dyDescent="0.3">
      <c r="I27722" s="101"/>
    </row>
    <row r="27723" spans="9:9" x14ac:dyDescent="0.3">
      <c r="I27723" s="101"/>
    </row>
    <row r="27724" spans="9:9" x14ac:dyDescent="0.3">
      <c r="I27724" s="101"/>
    </row>
    <row r="27725" spans="9:9" x14ac:dyDescent="0.3">
      <c r="I27725" s="101"/>
    </row>
    <row r="27726" spans="9:9" x14ac:dyDescent="0.3">
      <c r="I27726" s="101"/>
    </row>
    <row r="27727" spans="9:9" x14ac:dyDescent="0.3">
      <c r="I27727" s="101"/>
    </row>
    <row r="27728" spans="9:9" x14ac:dyDescent="0.3">
      <c r="I27728" s="101"/>
    </row>
    <row r="27729" spans="9:9" x14ac:dyDescent="0.3">
      <c r="I27729" s="101"/>
    </row>
    <row r="27730" spans="9:9" x14ac:dyDescent="0.3">
      <c r="I27730" s="101"/>
    </row>
    <row r="27731" spans="9:9" x14ac:dyDescent="0.3">
      <c r="I27731" s="101"/>
    </row>
    <row r="27732" spans="9:9" x14ac:dyDescent="0.3">
      <c r="I27732" s="101"/>
    </row>
    <row r="27733" spans="9:9" x14ac:dyDescent="0.3">
      <c r="I27733" s="101"/>
    </row>
    <row r="27734" spans="9:9" x14ac:dyDescent="0.3">
      <c r="I27734" s="101"/>
    </row>
    <row r="27735" spans="9:9" x14ac:dyDescent="0.3">
      <c r="I27735" s="101"/>
    </row>
    <row r="27736" spans="9:9" x14ac:dyDescent="0.3">
      <c r="I27736" s="101"/>
    </row>
    <row r="27737" spans="9:9" x14ac:dyDescent="0.3">
      <c r="I27737" s="101"/>
    </row>
    <row r="27738" spans="9:9" x14ac:dyDescent="0.3">
      <c r="I27738" s="101"/>
    </row>
    <row r="27739" spans="9:9" x14ac:dyDescent="0.3">
      <c r="I27739" s="101"/>
    </row>
    <row r="27740" spans="9:9" x14ac:dyDescent="0.3">
      <c r="I27740" s="101"/>
    </row>
    <row r="27741" spans="9:9" x14ac:dyDescent="0.3">
      <c r="I27741" s="101"/>
    </row>
    <row r="27742" spans="9:9" x14ac:dyDescent="0.3">
      <c r="I27742" s="101"/>
    </row>
    <row r="27743" spans="9:9" x14ac:dyDescent="0.3">
      <c r="I27743" s="101"/>
    </row>
    <row r="27744" spans="9:9" x14ac:dyDescent="0.3">
      <c r="I27744" s="101"/>
    </row>
    <row r="27745" spans="9:9" x14ac:dyDescent="0.3">
      <c r="I27745" s="101"/>
    </row>
    <row r="27746" spans="9:9" x14ac:dyDescent="0.3">
      <c r="I27746" s="101"/>
    </row>
    <row r="27747" spans="9:9" x14ac:dyDescent="0.3">
      <c r="I27747" s="101"/>
    </row>
    <row r="27748" spans="9:9" x14ac:dyDescent="0.3">
      <c r="I27748" s="101"/>
    </row>
    <row r="27749" spans="9:9" x14ac:dyDescent="0.3">
      <c r="I27749" s="101"/>
    </row>
    <row r="27750" spans="9:9" x14ac:dyDescent="0.3">
      <c r="I27750" s="101"/>
    </row>
    <row r="27751" spans="9:9" x14ac:dyDescent="0.3">
      <c r="I27751" s="101"/>
    </row>
    <row r="27752" spans="9:9" x14ac:dyDescent="0.3">
      <c r="I27752" s="101"/>
    </row>
    <row r="27753" spans="9:9" x14ac:dyDescent="0.3">
      <c r="I27753" s="101"/>
    </row>
    <row r="27754" spans="9:9" x14ac:dyDescent="0.3">
      <c r="I27754" s="101"/>
    </row>
    <row r="27755" spans="9:9" x14ac:dyDescent="0.3">
      <c r="I27755" s="101"/>
    </row>
    <row r="27756" spans="9:9" x14ac:dyDescent="0.3">
      <c r="I27756" s="101"/>
    </row>
    <row r="27757" spans="9:9" x14ac:dyDescent="0.3">
      <c r="I27757" s="101"/>
    </row>
    <row r="27758" spans="9:9" x14ac:dyDescent="0.3">
      <c r="I27758" s="101"/>
    </row>
    <row r="27759" spans="9:9" x14ac:dyDescent="0.3">
      <c r="I27759" s="101"/>
    </row>
    <row r="27760" spans="9:9" x14ac:dyDescent="0.3">
      <c r="I27760" s="101"/>
    </row>
    <row r="27761" spans="9:9" x14ac:dyDescent="0.3">
      <c r="I27761" s="101"/>
    </row>
    <row r="27762" spans="9:9" x14ac:dyDescent="0.3">
      <c r="I27762" s="101"/>
    </row>
    <row r="27763" spans="9:9" x14ac:dyDescent="0.3">
      <c r="I27763" s="101"/>
    </row>
    <row r="27764" spans="9:9" x14ac:dyDescent="0.3">
      <c r="I27764" s="101"/>
    </row>
    <row r="27765" spans="9:9" x14ac:dyDescent="0.3">
      <c r="I27765" s="101"/>
    </row>
    <row r="27766" spans="9:9" x14ac:dyDescent="0.3">
      <c r="I27766" s="101"/>
    </row>
    <row r="27767" spans="9:9" x14ac:dyDescent="0.3">
      <c r="I27767" s="101"/>
    </row>
    <row r="27768" spans="9:9" x14ac:dyDescent="0.3">
      <c r="I27768" s="101"/>
    </row>
    <row r="27769" spans="9:9" x14ac:dyDescent="0.3">
      <c r="I27769" s="101"/>
    </row>
    <row r="27770" spans="9:9" x14ac:dyDescent="0.3">
      <c r="I27770" s="101"/>
    </row>
    <row r="27771" spans="9:9" x14ac:dyDescent="0.3">
      <c r="I27771" s="101"/>
    </row>
    <row r="27772" spans="9:9" x14ac:dyDescent="0.3">
      <c r="I27772" s="101"/>
    </row>
    <row r="27773" spans="9:9" x14ac:dyDescent="0.3">
      <c r="I27773" s="101"/>
    </row>
    <row r="27774" spans="9:9" x14ac:dyDescent="0.3">
      <c r="I27774" s="101"/>
    </row>
    <row r="27775" spans="9:9" x14ac:dyDescent="0.3">
      <c r="I27775" s="101"/>
    </row>
    <row r="27776" spans="9:9" x14ac:dyDescent="0.3">
      <c r="I27776" s="101"/>
    </row>
    <row r="27777" spans="9:9" x14ac:dyDescent="0.3">
      <c r="I27777" s="101"/>
    </row>
    <row r="27778" spans="9:9" x14ac:dyDescent="0.3">
      <c r="I27778" s="101"/>
    </row>
    <row r="27779" spans="9:9" x14ac:dyDescent="0.3">
      <c r="I27779" s="101"/>
    </row>
    <row r="27780" spans="9:9" x14ac:dyDescent="0.3">
      <c r="I27780" s="101"/>
    </row>
    <row r="27781" spans="9:9" x14ac:dyDescent="0.3">
      <c r="I27781" s="101"/>
    </row>
    <row r="27782" spans="9:9" x14ac:dyDescent="0.3">
      <c r="I27782" s="101"/>
    </row>
    <row r="27783" spans="9:9" x14ac:dyDescent="0.3">
      <c r="I27783" s="101"/>
    </row>
    <row r="27784" spans="9:9" x14ac:dyDescent="0.3">
      <c r="I27784" s="101"/>
    </row>
    <row r="27785" spans="9:9" x14ac:dyDescent="0.3">
      <c r="I27785" s="101"/>
    </row>
    <row r="27786" spans="9:9" x14ac:dyDescent="0.3">
      <c r="I27786" s="101"/>
    </row>
    <row r="27787" spans="9:9" x14ac:dyDescent="0.3">
      <c r="I27787" s="101"/>
    </row>
    <row r="27788" spans="9:9" x14ac:dyDescent="0.3">
      <c r="I27788" s="101"/>
    </row>
    <row r="27789" spans="9:9" x14ac:dyDescent="0.3">
      <c r="I27789" s="101"/>
    </row>
    <row r="27790" spans="9:9" x14ac:dyDescent="0.3">
      <c r="I27790" s="101"/>
    </row>
    <row r="27791" spans="9:9" x14ac:dyDescent="0.3">
      <c r="I27791" s="101"/>
    </row>
    <row r="27792" spans="9:9" x14ac:dyDescent="0.3">
      <c r="I27792" s="101"/>
    </row>
    <row r="27793" spans="9:9" x14ac:dyDescent="0.3">
      <c r="I27793" s="101"/>
    </row>
    <row r="27794" spans="9:9" x14ac:dyDescent="0.3">
      <c r="I27794" s="101"/>
    </row>
    <row r="27795" spans="9:9" x14ac:dyDescent="0.3">
      <c r="I27795" s="101"/>
    </row>
    <row r="27796" spans="9:9" x14ac:dyDescent="0.3">
      <c r="I27796" s="101"/>
    </row>
    <row r="27797" spans="9:9" x14ac:dyDescent="0.3">
      <c r="I27797" s="101"/>
    </row>
    <row r="27798" spans="9:9" x14ac:dyDescent="0.3">
      <c r="I27798" s="101"/>
    </row>
    <row r="27799" spans="9:9" x14ac:dyDescent="0.3">
      <c r="I27799" s="101"/>
    </row>
    <row r="27800" spans="9:9" x14ac:dyDescent="0.3">
      <c r="I27800" s="101"/>
    </row>
    <row r="27801" spans="9:9" x14ac:dyDescent="0.3">
      <c r="I27801" s="101"/>
    </row>
    <row r="27802" spans="9:9" x14ac:dyDescent="0.3">
      <c r="I27802" s="101"/>
    </row>
    <row r="27803" spans="9:9" x14ac:dyDescent="0.3">
      <c r="I27803" s="101"/>
    </row>
    <row r="27804" spans="9:9" x14ac:dyDescent="0.3">
      <c r="I27804" s="101"/>
    </row>
    <row r="27805" spans="9:9" x14ac:dyDescent="0.3">
      <c r="I27805" s="101"/>
    </row>
    <row r="27806" spans="9:9" x14ac:dyDescent="0.3">
      <c r="I27806" s="101"/>
    </row>
    <row r="27807" spans="9:9" x14ac:dyDescent="0.3">
      <c r="I27807" s="101"/>
    </row>
    <row r="27808" spans="9:9" x14ac:dyDescent="0.3">
      <c r="I27808" s="101"/>
    </row>
    <row r="27809" spans="9:9" x14ac:dyDescent="0.3">
      <c r="I27809" s="101"/>
    </row>
    <row r="27810" spans="9:9" x14ac:dyDescent="0.3">
      <c r="I27810" s="101"/>
    </row>
    <row r="27811" spans="9:9" x14ac:dyDescent="0.3">
      <c r="I27811" s="101"/>
    </row>
    <row r="27812" spans="9:9" x14ac:dyDescent="0.3">
      <c r="I27812" s="101"/>
    </row>
    <row r="27813" spans="9:9" x14ac:dyDescent="0.3">
      <c r="I27813" s="101"/>
    </row>
    <row r="27814" spans="9:9" x14ac:dyDescent="0.3">
      <c r="I27814" s="101"/>
    </row>
    <row r="27815" spans="9:9" x14ac:dyDescent="0.3">
      <c r="I27815" s="101"/>
    </row>
    <row r="27816" spans="9:9" x14ac:dyDescent="0.3">
      <c r="I27816" s="101"/>
    </row>
    <row r="27817" spans="9:9" x14ac:dyDescent="0.3">
      <c r="I27817" s="101"/>
    </row>
    <row r="27818" spans="9:9" x14ac:dyDescent="0.3">
      <c r="I27818" s="101"/>
    </row>
    <row r="27819" spans="9:9" x14ac:dyDescent="0.3">
      <c r="I27819" s="101"/>
    </row>
    <row r="27820" spans="9:9" x14ac:dyDescent="0.3">
      <c r="I27820" s="101"/>
    </row>
    <row r="27821" spans="9:9" x14ac:dyDescent="0.3">
      <c r="I27821" s="101"/>
    </row>
    <row r="27822" spans="9:9" x14ac:dyDescent="0.3">
      <c r="I27822" s="101"/>
    </row>
    <row r="27823" spans="9:9" x14ac:dyDescent="0.3">
      <c r="I27823" s="101"/>
    </row>
    <row r="27824" spans="9:9" x14ac:dyDescent="0.3">
      <c r="I27824" s="101"/>
    </row>
    <row r="27825" spans="9:9" x14ac:dyDescent="0.3">
      <c r="I27825" s="101"/>
    </row>
    <row r="27826" spans="9:9" x14ac:dyDescent="0.3">
      <c r="I27826" s="101"/>
    </row>
    <row r="27827" spans="9:9" x14ac:dyDescent="0.3">
      <c r="I27827" s="101"/>
    </row>
    <row r="27828" spans="9:9" x14ac:dyDescent="0.3">
      <c r="I27828" s="101"/>
    </row>
    <row r="27829" spans="9:9" x14ac:dyDescent="0.3">
      <c r="I27829" s="101"/>
    </row>
    <row r="27830" spans="9:9" x14ac:dyDescent="0.3">
      <c r="I27830" s="101"/>
    </row>
    <row r="27831" spans="9:9" x14ac:dyDescent="0.3">
      <c r="I27831" s="101"/>
    </row>
    <row r="27832" spans="9:9" x14ac:dyDescent="0.3">
      <c r="I27832" s="101"/>
    </row>
    <row r="27833" spans="9:9" x14ac:dyDescent="0.3">
      <c r="I27833" s="101"/>
    </row>
    <row r="27834" spans="9:9" x14ac:dyDescent="0.3">
      <c r="I27834" s="101"/>
    </row>
    <row r="27835" spans="9:9" x14ac:dyDescent="0.3">
      <c r="I27835" s="101"/>
    </row>
    <row r="27836" spans="9:9" x14ac:dyDescent="0.3">
      <c r="I27836" s="101"/>
    </row>
    <row r="27837" spans="9:9" x14ac:dyDescent="0.3">
      <c r="I27837" s="101"/>
    </row>
    <row r="27838" spans="9:9" x14ac:dyDescent="0.3">
      <c r="I27838" s="101"/>
    </row>
    <row r="27839" spans="9:9" x14ac:dyDescent="0.3">
      <c r="I27839" s="101"/>
    </row>
    <row r="27840" spans="9:9" x14ac:dyDescent="0.3">
      <c r="I27840" s="101"/>
    </row>
    <row r="27841" spans="9:9" x14ac:dyDescent="0.3">
      <c r="I27841" s="101"/>
    </row>
    <row r="27842" spans="9:9" x14ac:dyDescent="0.3">
      <c r="I27842" s="101"/>
    </row>
    <row r="27843" spans="9:9" x14ac:dyDescent="0.3">
      <c r="I27843" s="101"/>
    </row>
    <row r="27844" spans="9:9" x14ac:dyDescent="0.3">
      <c r="I27844" s="101"/>
    </row>
    <row r="27845" spans="9:9" x14ac:dyDescent="0.3">
      <c r="I27845" s="101"/>
    </row>
    <row r="27846" spans="9:9" x14ac:dyDescent="0.3">
      <c r="I27846" s="101"/>
    </row>
    <row r="27847" spans="9:9" x14ac:dyDescent="0.3">
      <c r="I27847" s="101"/>
    </row>
    <row r="27848" spans="9:9" x14ac:dyDescent="0.3">
      <c r="I27848" s="101"/>
    </row>
    <row r="27849" spans="9:9" x14ac:dyDescent="0.3">
      <c r="I27849" s="101"/>
    </row>
    <row r="27850" spans="9:9" x14ac:dyDescent="0.3">
      <c r="I27850" s="101"/>
    </row>
    <row r="27851" spans="9:9" x14ac:dyDescent="0.3">
      <c r="I27851" s="101"/>
    </row>
    <row r="27852" spans="9:9" x14ac:dyDescent="0.3">
      <c r="I27852" s="101"/>
    </row>
    <row r="27853" spans="9:9" x14ac:dyDescent="0.3">
      <c r="I27853" s="101"/>
    </row>
    <row r="27854" spans="9:9" x14ac:dyDescent="0.3">
      <c r="I27854" s="101"/>
    </row>
    <row r="27855" spans="9:9" x14ac:dyDescent="0.3">
      <c r="I27855" s="101"/>
    </row>
    <row r="27856" spans="9:9" x14ac:dyDescent="0.3">
      <c r="I27856" s="101"/>
    </row>
    <row r="27857" spans="9:9" x14ac:dyDescent="0.3">
      <c r="I27857" s="101"/>
    </row>
    <row r="27858" spans="9:9" x14ac:dyDescent="0.3">
      <c r="I27858" s="101"/>
    </row>
    <row r="27859" spans="9:9" x14ac:dyDescent="0.3">
      <c r="I27859" s="101"/>
    </row>
    <row r="27860" spans="9:9" x14ac:dyDescent="0.3">
      <c r="I27860" s="101"/>
    </row>
    <row r="27861" spans="9:9" x14ac:dyDescent="0.3">
      <c r="I27861" s="101"/>
    </row>
    <row r="27862" spans="9:9" x14ac:dyDescent="0.3">
      <c r="I27862" s="101"/>
    </row>
    <row r="27863" spans="9:9" x14ac:dyDescent="0.3">
      <c r="I27863" s="101"/>
    </row>
    <row r="27864" spans="9:9" x14ac:dyDescent="0.3">
      <c r="I27864" s="101"/>
    </row>
    <row r="27865" spans="9:9" x14ac:dyDescent="0.3">
      <c r="I27865" s="101"/>
    </row>
    <row r="27866" spans="9:9" x14ac:dyDescent="0.3">
      <c r="I27866" s="101"/>
    </row>
    <row r="27867" spans="9:9" x14ac:dyDescent="0.3">
      <c r="I27867" s="101"/>
    </row>
    <row r="27868" spans="9:9" x14ac:dyDescent="0.3">
      <c r="I27868" s="101"/>
    </row>
    <row r="27869" spans="9:9" x14ac:dyDescent="0.3">
      <c r="I27869" s="101"/>
    </row>
    <row r="27870" spans="9:9" x14ac:dyDescent="0.3">
      <c r="I27870" s="101"/>
    </row>
    <row r="27871" spans="9:9" x14ac:dyDescent="0.3">
      <c r="I27871" s="101"/>
    </row>
    <row r="27872" spans="9:9" x14ac:dyDescent="0.3">
      <c r="I27872" s="101"/>
    </row>
    <row r="27873" spans="9:9" x14ac:dyDescent="0.3">
      <c r="I27873" s="101"/>
    </row>
    <row r="27874" spans="9:9" x14ac:dyDescent="0.3">
      <c r="I27874" s="101"/>
    </row>
    <row r="27875" spans="9:9" x14ac:dyDescent="0.3">
      <c r="I27875" s="101"/>
    </row>
    <row r="27876" spans="9:9" x14ac:dyDescent="0.3">
      <c r="I27876" s="101"/>
    </row>
    <row r="27877" spans="9:9" x14ac:dyDescent="0.3">
      <c r="I27877" s="101"/>
    </row>
    <row r="27878" spans="9:9" x14ac:dyDescent="0.3">
      <c r="I27878" s="101"/>
    </row>
    <row r="27879" spans="9:9" x14ac:dyDescent="0.3">
      <c r="I27879" s="101"/>
    </row>
    <row r="27880" spans="9:9" x14ac:dyDescent="0.3">
      <c r="I27880" s="101"/>
    </row>
    <row r="27881" spans="9:9" x14ac:dyDescent="0.3">
      <c r="I27881" s="101"/>
    </row>
    <row r="27882" spans="9:9" x14ac:dyDescent="0.3">
      <c r="I27882" s="101"/>
    </row>
    <row r="27883" spans="9:9" x14ac:dyDescent="0.3">
      <c r="I27883" s="101"/>
    </row>
    <row r="27884" spans="9:9" x14ac:dyDescent="0.3">
      <c r="I27884" s="101"/>
    </row>
    <row r="27885" spans="9:9" x14ac:dyDescent="0.3">
      <c r="I27885" s="101"/>
    </row>
    <row r="27886" spans="9:9" x14ac:dyDescent="0.3">
      <c r="I27886" s="101"/>
    </row>
    <row r="27887" spans="9:9" x14ac:dyDescent="0.3">
      <c r="I27887" s="101"/>
    </row>
    <row r="27888" spans="9:9" x14ac:dyDescent="0.3">
      <c r="I27888" s="101"/>
    </row>
    <row r="27889" spans="9:9" x14ac:dyDescent="0.3">
      <c r="I27889" s="101"/>
    </row>
    <row r="27890" spans="9:9" x14ac:dyDescent="0.3">
      <c r="I27890" s="101"/>
    </row>
    <row r="27891" spans="9:9" x14ac:dyDescent="0.3">
      <c r="I27891" s="101"/>
    </row>
    <row r="27892" spans="9:9" x14ac:dyDescent="0.3">
      <c r="I27892" s="101"/>
    </row>
    <row r="27893" spans="9:9" x14ac:dyDescent="0.3">
      <c r="I27893" s="101"/>
    </row>
    <row r="27894" spans="9:9" x14ac:dyDescent="0.3">
      <c r="I27894" s="101"/>
    </row>
    <row r="27895" spans="9:9" x14ac:dyDescent="0.3">
      <c r="I27895" s="101"/>
    </row>
    <row r="27896" spans="9:9" x14ac:dyDescent="0.3">
      <c r="I27896" s="101"/>
    </row>
    <row r="27897" spans="9:9" x14ac:dyDescent="0.3">
      <c r="I27897" s="101"/>
    </row>
    <row r="27898" spans="9:9" x14ac:dyDescent="0.3">
      <c r="I27898" s="101"/>
    </row>
    <row r="27899" spans="9:9" x14ac:dyDescent="0.3">
      <c r="I27899" s="101"/>
    </row>
    <row r="27900" spans="9:9" x14ac:dyDescent="0.3">
      <c r="I27900" s="101"/>
    </row>
    <row r="27901" spans="9:9" x14ac:dyDescent="0.3">
      <c r="I27901" s="101"/>
    </row>
    <row r="27902" spans="9:9" x14ac:dyDescent="0.3">
      <c r="I27902" s="101"/>
    </row>
    <row r="27903" spans="9:9" x14ac:dyDescent="0.3">
      <c r="I27903" s="101"/>
    </row>
    <row r="27904" spans="9:9" x14ac:dyDescent="0.3">
      <c r="I27904" s="101"/>
    </row>
    <row r="27905" spans="9:9" x14ac:dyDescent="0.3">
      <c r="I27905" s="101"/>
    </row>
    <row r="27906" spans="9:9" x14ac:dyDescent="0.3">
      <c r="I27906" s="101"/>
    </row>
    <row r="27907" spans="9:9" x14ac:dyDescent="0.3">
      <c r="I27907" s="101"/>
    </row>
    <row r="27908" spans="9:9" x14ac:dyDescent="0.3">
      <c r="I27908" s="101"/>
    </row>
    <row r="27909" spans="9:9" x14ac:dyDescent="0.3">
      <c r="I27909" s="101"/>
    </row>
    <row r="27910" spans="9:9" x14ac:dyDescent="0.3">
      <c r="I27910" s="101"/>
    </row>
    <row r="27911" spans="9:9" x14ac:dyDescent="0.3">
      <c r="I27911" s="101"/>
    </row>
    <row r="27912" spans="9:9" x14ac:dyDescent="0.3">
      <c r="I27912" s="101"/>
    </row>
    <row r="27913" spans="9:9" x14ac:dyDescent="0.3">
      <c r="I27913" s="101"/>
    </row>
    <row r="27914" spans="9:9" x14ac:dyDescent="0.3">
      <c r="I27914" s="101"/>
    </row>
    <row r="27915" spans="9:9" x14ac:dyDescent="0.3">
      <c r="I27915" s="101"/>
    </row>
    <row r="27916" spans="9:9" x14ac:dyDescent="0.3">
      <c r="I27916" s="101"/>
    </row>
    <row r="27917" spans="9:9" x14ac:dyDescent="0.3">
      <c r="I27917" s="101"/>
    </row>
    <row r="27918" spans="9:9" x14ac:dyDescent="0.3">
      <c r="I27918" s="101"/>
    </row>
    <row r="27919" spans="9:9" x14ac:dyDescent="0.3">
      <c r="I27919" s="101"/>
    </row>
    <row r="27920" spans="9:9" x14ac:dyDescent="0.3">
      <c r="I27920" s="101"/>
    </row>
    <row r="27921" spans="9:9" x14ac:dyDescent="0.3">
      <c r="I27921" s="101"/>
    </row>
    <row r="27922" spans="9:9" x14ac:dyDescent="0.3">
      <c r="I27922" s="101"/>
    </row>
    <row r="27923" spans="9:9" x14ac:dyDescent="0.3">
      <c r="I27923" s="101"/>
    </row>
    <row r="27924" spans="9:9" x14ac:dyDescent="0.3">
      <c r="I27924" s="101"/>
    </row>
    <row r="27925" spans="9:9" x14ac:dyDescent="0.3">
      <c r="I27925" s="101"/>
    </row>
    <row r="27926" spans="9:9" x14ac:dyDescent="0.3">
      <c r="I27926" s="101"/>
    </row>
    <row r="27927" spans="9:9" x14ac:dyDescent="0.3">
      <c r="I27927" s="101"/>
    </row>
    <row r="27928" spans="9:9" x14ac:dyDescent="0.3">
      <c r="I27928" s="101"/>
    </row>
    <row r="27929" spans="9:9" x14ac:dyDescent="0.3">
      <c r="I27929" s="101"/>
    </row>
    <row r="27930" spans="9:9" x14ac:dyDescent="0.3">
      <c r="I27930" s="101"/>
    </row>
    <row r="27931" spans="9:9" x14ac:dyDescent="0.3">
      <c r="I27931" s="101"/>
    </row>
    <row r="27932" spans="9:9" x14ac:dyDescent="0.3">
      <c r="I27932" s="101"/>
    </row>
    <row r="27933" spans="9:9" x14ac:dyDescent="0.3">
      <c r="I27933" s="101"/>
    </row>
    <row r="27934" spans="9:9" x14ac:dyDescent="0.3">
      <c r="I27934" s="101"/>
    </row>
    <row r="27935" spans="9:9" x14ac:dyDescent="0.3">
      <c r="I27935" s="101"/>
    </row>
    <row r="27936" spans="9:9" x14ac:dyDescent="0.3">
      <c r="I27936" s="101"/>
    </row>
    <row r="27937" spans="9:9" x14ac:dyDescent="0.3">
      <c r="I27937" s="101"/>
    </row>
    <row r="27938" spans="9:9" x14ac:dyDescent="0.3">
      <c r="I27938" s="101"/>
    </row>
    <row r="27939" spans="9:9" x14ac:dyDescent="0.3">
      <c r="I27939" s="101"/>
    </row>
    <row r="27940" spans="9:9" x14ac:dyDescent="0.3">
      <c r="I27940" s="101"/>
    </row>
    <row r="27941" spans="9:9" x14ac:dyDescent="0.3">
      <c r="I27941" s="101"/>
    </row>
    <row r="27942" spans="9:9" x14ac:dyDescent="0.3">
      <c r="I27942" s="101"/>
    </row>
    <row r="27943" spans="9:9" x14ac:dyDescent="0.3">
      <c r="I27943" s="101"/>
    </row>
    <row r="27944" spans="9:9" x14ac:dyDescent="0.3">
      <c r="I27944" s="101"/>
    </row>
    <row r="27945" spans="9:9" x14ac:dyDescent="0.3">
      <c r="I27945" s="101"/>
    </row>
    <row r="27946" spans="9:9" x14ac:dyDescent="0.3">
      <c r="I27946" s="101"/>
    </row>
    <row r="27947" spans="9:9" x14ac:dyDescent="0.3">
      <c r="I27947" s="101"/>
    </row>
    <row r="27948" spans="9:9" x14ac:dyDescent="0.3">
      <c r="I27948" s="101"/>
    </row>
    <row r="27949" spans="9:9" x14ac:dyDescent="0.3">
      <c r="I27949" s="101"/>
    </row>
    <row r="27950" spans="9:9" x14ac:dyDescent="0.3">
      <c r="I27950" s="101"/>
    </row>
    <row r="27951" spans="9:9" x14ac:dyDescent="0.3">
      <c r="I27951" s="101"/>
    </row>
    <row r="27952" spans="9:9" x14ac:dyDescent="0.3">
      <c r="I27952" s="101"/>
    </row>
    <row r="27953" spans="9:9" x14ac:dyDescent="0.3">
      <c r="I27953" s="101"/>
    </row>
    <row r="27954" spans="9:9" x14ac:dyDescent="0.3">
      <c r="I27954" s="101"/>
    </row>
    <row r="27955" spans="9:9" x14ac:dyDescent="0.3">
      <c r="I27955" s="101"/>
    </row>
    <row r="27956" spans="9:9" x14ac:dyDescent="0.3">
      <c r="I27956" s="101"/>
    </row>
    <row r="27957" spans="9:9" x14ac:dyDescent="0.3">
      <c r="I27957" s="101"/>
    </row>
    <row r="27958" spans="9:9" x14ac:dyDescent="0.3">
      <c r="I27958" s="101"/>
    </row>
    <row r="27959" spans="9:9" x14ac:dyDescent="0.3">
      <c r="I27959" s="101"/>
    </row>
    <row r="27960" spans="9:9" x14ac:dyDescent="0.3">
      <c r="I27960" s="101"/>
    </row>
    <row r="27961" spans="9:9" x14ac:dyDescent="0.3">
      <c r="I27961" s="101"/>
    </row>
    <row r="27962" spans="9:9" x14ac:dyDescent="0.3">
      <c r="I27962" s="101"/>
    </row>
    <row r="27963" spans="9:9" x14ac:dyDescent="0.3">
      <c r="I27963" s="101"/>
    </row>
    <row r="27964" spans="9:9" x14ac:dyDescent="0.3">
      <c r="I27964" s="101"/>
    </row>
    <row r="27965" spans="9:9" x14ac:dyDescent="0.3">
      <c r="I27965" s="101"/>
    </row>
    <row r="27966" spans="9:9" x14ac:dyDescent="0.3">
      <c r="I27966" s="101"/>
    </row>
    <row r="27967" spans="9:9" x14ac:dyDescent="0.3">
      <c r="I27967" s="101"/>
    </row>
    <row r="27968" spans="9:9" x14ac:dyDescent="0.3">
      <c r="I27968" s="101"/>
    </row>
    <row r="27969" spans="9:9" x14ac:dyDescent="0.3">
      <c r="I27969" s="101"/>
    </row>
    <row r="27970" spans="9:9" x14ac:dyDescent="0.3">
      <c r="I27970" s="101"/>
    </row>
    <row r="27971" spans="9:9" x14ac:dyDescent="0.3">
      <c r="I27971" s="101"/>
    </row>
    <row r="27972" spans="9:9" x14ac:dyDescent="0.3">
      <c r="I27972" s="101"/>
    </row>
    <row r="27973" spans="9:9" x14ac:dyDescent="0.3">
      <c r="I27973" s="101"/>
    </row>
    <row r="27974" spans="9:9" x14ac:dyDescent="0.3">
      <c r="I27974" s="101"/>
    </row>
    <row r="27975" spans="9:9" x14ac:dyDescent="0.3">
      <c r="I27975" s="101"/>
    </row>
    <row r="27976" spans="9:9" x14ac:dyDescent="0.3">
      <c r="I27976" s="101"/>
    </row>
    <row r="27977" spans="9:9" x14ac:dyDescent="0.3">
      <c r="I27977" s="101"/>
    </row>
    <row r="27978" spans="9:9" x14ac:dyDescent="0.3">
      <c r="I27978" s="101"/>
    </row>
    <row r="27979" spans="9:9" x14ac:dyDescent="0.3">
      <c r="I27979" s="101"/>
    </row>
    <row r="27980" spans="9:9" x14ac:dyDescent="0.3">
      <c r="I27980" s="101"/>
    </row>
    <row r="27981" spans="9:9" x14ac:dyDescent="0.3">
      <c r="I27981" s="101"/>
    </row>
    <row r="27982" spans="9:9" x14ac:dyDescent="0.3">
      <c r="I27982" s="101"/>
    </row>
    <row r="27983" spans="9:9" x14ac:dyDescent="0.3">
      <c r="I27983" s="101"/>
    </row>
    <row r="27984" spans="9:9" x14ac:dyDescent="0.3">
      <c r="I27984" s="101"/>
    </row>
    <row r="27985" spans="9:9" x14ac:dyDescent="0.3">
      <c r="I27985" s="101"/>
    </row>
    <row r="27986" spans="9:9" x14ac:dyDescent="0.3">
      <c r="I27986" s="101"/>
    </row>
    <row r="27987" spans="9:9" x14ac:dyDescent="0.3">
      <c r="I27987" s="101"/>
    </row>
    <row r="27988" spans="9:9" x14ac:dyDescent="0.3">
      <c r="I27988" s="101"/>
    </row>
    <row r="27989" spans="9:9" x14ac:dyDescent="0.3">
      <c r="I27989" s="101"/>
    </row>
    <row r="27990" spans="9:9" x14ac:dyDescent="0.3">
      <c r="I27990" s="101"/>
    </row>
    <row r="27991" spans="9:9" x14ac:dyDescent="0.3">
      <c r="I27991" s="101"/>
    </row>
    <row r="27992" spans="9:9" x14ac:dyDescent="0.3">
      <c r="I27992" s="101"/>
    </row>
    <row r="27993" spans="9:9" x14ac:dyDescent="0.3">
      <c r="I27993" s="101"/>
    </row>
    <row r="27994" spans="9:9" x14ac:dyDescent="0.3">
      <c r="I27994" s="101"/>
    </row>
    <row r="27995" spans="9:9" x14ac:dyDescent="0.3">
      <c r="I27995" s="101"/>
    </row>
    <row r="27996" spans="9:9" x14ac:dyDescent="0.3">
      <c r="I27996" s="101"/>
    </row>
    <row r="27997" spans="9:9" x14ac:dyDescent="0.3">
      <c r="I27997" s="101"/>
    </row>
    <row r="27998" spans="9:9" x14ac:dyDescent="0.3">
      <c r="I27998" s="101"/>
    </row>
    <row r="27999" spans="9:9" x14ac:dyDescent="0.3">
      <c r="I27999" s="101"/>
    </row>
    <row r="28000" spans="9:9" x14ac:dyDescent="0.3">
      <c r="I28000" s="101"/>
    </row>
    <row r="28001" spans="9:9" x14ac:dyDescent="0.3">
      <c r="I28001" s="101"/>
    </row>
    <row r="28002" spans="9:9" x14ac:dyDescent="0.3">
      <c r="I28002" s="101"/>
    </row>
    <row r="28003" spans="9:9" x14ac:dyDescent="0.3">
      <c r="I28003" s="101"/>
    </row>
    <row r="28004" spans="9:9" x14ac:dyDescent="0.3">
      <c r="I28004" s="101"/>
    </row>
    <row r="28005" spans="9:9" x14ac:dyDescent="0.3">
      <c r="I28005" s="101"/>
    </row>
    <row r="28006" spans="9:9" x14ac:dyDescent="0.3">
      <c r="I28006" s="101"/>
    </row>
    <row r="28007" spans="9:9" x14ac:dyDescent="0.3">
      <c r="I28007" s="101"/>
    </row>
    <row r="28008" spans="9:9" x14ac:dyDescent="0.3">
      <c r="I28008" s="101"/>
    </row>
    <row r="28009" spans="9:9" x14ac:dyDescent="0.3">
      <c r="I28009" s="101"/>
    </row>
    <row r="28010" spans="9:9" x14ac:dyDescent="0.3">
      <c r="I28010" s="101"/>
    </row>
    <row r="28011" spans="9:9" x14ac:dyDescent="0.3">
      <c r="I28011" s="101"/>
    </row>
    <row r="28012" spans="9:9" x14ac:dyDescent="0.3">
      <c r="I28012" s="101"/>
    </row>
    <row r="28013" spans="9:9" x14ac:dyDescent="0.3">
      <c r="I28013" s="101"/>
    </row>
    <row r="28014" spans="9:9" x14ac:dyDescent="0.3">
      <c r="I28014" s="101"/>
    </row>
    <row r="28015" spans="9:9" x14ac:dyDescent="0.3">
      <c r="I28015" s="101"/>
    </row>
    <row r="28016" spans="9:9" x14ac:dyDescent="0.3">
      <c r="I28016" s="101"/>
    </row>
    <row r="28017" spans="9:9" x14ac:dyDescent="0.3">
      <c r="I28017" s="101"/>
    </row>
    <row r="28018" spans="9:9" x14ac:dyDescent="0.3">
      <c r="I28018" s="101"/>
    </row>
    <row r="28019" spans="9:9" x14ac:dyDescent="0.3">
      <c r="I28019" s="101"/>
    </row>
    <row r="28020" spans="9:9" x14ac:dyDescent="0.3">
      <c r="I28020" s="101"/>
    </row>
    <row r="28021" spans="9:9" x14ac:dyDescent="0.3">
      <c r="I28021" s="101"/>
    </row>
    <row r="28022" spans="9:9" x14ac:dyDescent="0.3">
      <c r="I28022" s="101"/>
    </row>
    <row r="28023" spans="9:9" x14ac:dyDescent="0.3">
      <c r="I28023" s="101"/>
    </row>
    <row r="28024" spans="9:9" x14ac:dyDescent="0.3">
      <c r="I28024" s="101"/>
    </row>
    <row r="28025" spans="9:9" x14ac:dyDescent="0.3">
      <c r="I28025" s="101"/>
    </row>
    <row r="28026" spans="9:9" x14ac:dyDescent="0.3">
      <c r="I28026" s="101"/>
    </row>
    <row r="28027" spans="9:9" x14ac:dyDescent="0.3">
      <c r="I28027" s="101"/>
    </row>
    <row r="28028" spans="9:9" x14ac:dyDescent="0.3">
      <c r="I28028" s="101"/>
    </row>
    <row r="28029" spans="9:9" x14ac:dyDescent="0.3">
      <c r="I28029" s="101"/>
    </row>
    <row r="28030" spans="9:9" x14ac:dyDescent="0.3">
      <c r="I28030" s="101"/>
    </row>
    <row r="28031" spans="9:9" x14ac:dyDescent="0.3">
      <c r="I28031" s="101"/>
    </row>
    <row r="28032" spans="9:9" x14ac:dyDescent="0.3">
      <c r="I28032" s="101"/>
    </row>
    <row r="28033" spans="9:9" x14ac:dyDescent="0.3">
      <c r="I28033" s="101"/>
    </row>
    <row r="28034" spans="9:9" x14ac:dyDescent="0.3">
      <c r="I28034" s="101"/>
    </row>
    <row r="28035" spans="9:9" x14ac:dyDescent="0.3">
      <c r="I28035" s="101"/>
    </row>
    <row r="28036" spans="9:9" x14ac:dyDescent="0.3">
      <c r="I28036" s="101"/>
    </row>
    <row r="28037" spans="9:9" x14ac:dyDescent="0.3">
      <c r="I28037" s="101"/>
    </row>
    <row r="28038" spans="9:9" x14ac:dyDescent="0.3">
      <c r="I28038" s="101"/>
    </row>
    <row r="28039" spans="9:9" x14ac:dyDescent="0.3">
      <c r="I28039" s="101"/>
    </row>
    <row r="28040" spans="9:9" x14ac:dyDescent="0.3">
      <c r="I28040" s="101"/>
    </row>
    <row r="28041" spans="9:9" x14ac:dyDescent="0.3">
      <c r="I28041" s="101"/>
    </row>
    <row r="28042" spans="9:9" x14ac:dyDescent="0.3">
      <c r="I28042" s="101"/>
    </row>
    <row r="28043" spans="9:9" x14ac:dyDescent="0.3">
      <c r="I28043" s="101"/>
    </row>
    <row r="28044" spans="9:9" x14ac:dyDescent="0.3">
      <c r="I28044" s="101"/>
    </row>
    <row r="28045" spans="9:9" x14ac:dyDescent="0.3">
      <c r="I28045" s="101"/>
    </row>
    <row r="28046" spans="9:9" x14ac:dyDescent="0.3">
      <c r="I28046" s="101"/>
    </row>
    <row r="28047" spans="9:9" x14ac:dyDescent="0.3">
      <c r="I28047" s="101"/>
    </row>
    <row r="28048" spans="9:9" x14ac:dyDescent="0.3">
      <c r="I28048" s="101"/>
    </row>
    <row r="28049" spans="9:9" x14ac:dyDescent="0.3">
      <c r="I28049" s="101"/>
    </row>
    <row r="28050" spans="9:9" x14ac:dyDescent="0.3">
      <c r="I28050" s="101"/>
    </row>
    <row r="28051" spans="9:9" x14ac:dyDescent="0.3">
      <c r="I28051" s="101"/>
    </row>
    <row r="28052" spans="9:9" x14ac:dyDescent="0.3">
      <c r="I28052" s="101"/>
    </row>
    <row r="28053" spans="9:9" x14ac:dyDescent="0.3">
      <c r="I28053" s="101"/>
    </row>
    <row r="28054" spans="9:9" x14ac:dyDescent="0.3">
      <c r="I28054" s="101"/>
    </row>
    <row r="28055" spans="9:9" x14ac:dyDescent="0.3">
      <c r="I28055" s="101"/>
    </row>
    <row r="28056" spans="9:9" x14ac:dyDescent="0.3">
      <c r="I28056" s="101"/>
    </row>
    <row r="28057" spans="9:9" x14ac:dyDescent="0.3">
      <c r="I28057" s="101"/>
    </row>
    <row r="28058" spans="9:9" x14ac:dyDescent="0.3">
      <c r="I28058" s="101"/>
    </row>
    <row r="28059" spans="9:9" x14ac:dyDescent="0.3">
      <c r="I28059" s="101"/>
    </row>
    <row r="28060" spans="9:9" x14ac:dyDescent="0.3">
      <c r="I28060" s="101"/>
    </row>
    <row r="28061" spans="9:9" x14ac:dyDescent="0.3">
      <c r="I28061" s="101"/>
    </row>
    <row r="28062" spans="9:9" x14ac:dyDescent="0.3">
      <c r="I28062" s="101"/>
    </row>
    <row r="28063" spans="9:9" x14ac:dyDescent="0.3">
      <c r="I28063" s="101"/>
    </row>
    <row r="28064" spans="9:9" x14ac:dyDescent="0.3">
      <c r="I28064" s="101"/>
    </row>
    <row r="28065" spans="9:9" x14ac:dyDescent="0.3">
      <c r="I28065" s="101"/>
    </row>
    <row r="28066" spans="9:9" x14ac:dyDescent="0.3">
      <c r="I28066" s="101"/>
    </row>
    <row r="28067" spans="9:9" x14ac:dyDescent="0.3">
      <c r="I28067" s="101"/>
    </row>
    <row r="28068" spans="9:9" x14ac:dyDescent="0.3">
      <c r="I28068" s="101"/>
    </row>
    <row r="28069" spans="9:9" x14ac:dyDescent="0.3">
      <c r="I28069" s="101"/>
    </row>
    <row r="28070" spans="9:9" x14ac:dyDescent="0.3">
      <c r="I28070" s="101"/>
    </row>
    <row r="28071" spans="9:9" x14ac:dyDescent="0.3">
      <c r="I28071" s="101"/>
    </row>
    <row r="28072" spans="9:9" x14ac:dyDescent="0.3">
      <c r="I28072" s="101"/>
    </row>
    <row r="28073" spans="9:9" x14ac:dyDescent="0.3">
      <c r="I28073" s="101"/>
    </row>
    <row r="28074" spans="9:9" x14ac:dyDescent="0.3">
      <c r="I28074" s="101"/>
    </row>
    <row r="28075" spans="9:9" x14ac:dyDescent="0.3">
      <c r="I28075" s="101"/>
    </row>
    <row r="28076" spans="9:9" x14ac:dyDescent="0.3">
      <c r="I28076" s="101"/>
    </row>
    <row r="28077" spans="9:9" x14ac:dyDescent="0.3">
      <c r="I28077" s="101"/>
    </row>
    <row r="28078" spans="9:9" x14ac:dyDescent="0.3">
      <c r="I28078" s="101"/>
    </row>
    <row r="28079" spans="9:9" x14ac:dyDescent="0.3">
      <c r="I28079" s="101"/>
    </row>
    <row r="28080" spans="9:9" x14ac:dyDescent="0.3">
      <c r="I28080" s="101"/>
    </row>
    <row r="28081" spans="9:9" x14ac:dyDescent="0.3">
      <c r="I28081" s="101"/>
    </row>
    <row r="28082" spans="9:9" x14ac:dyDescent="0.3">
      <c r="I28082" s="101"/>
    </row>
    <row r="28083" spans="9:9" x14ac:dyDescent="0.3">
      <c r="I28083" s="101"/>
    </row>
    <row r="28084" spans="9:9" x14ac:dyDescent="0.3">
      <c r="I28084" s="101"/>
    </row>
    <row r="28085" spans="9:9" x14ac:dyDescent="0.3">
      <c r="I28085" s="101"/>
    </row>
    <row r="28086" spans="9:9" x14ac:dyDescent="0.3">
      <c r="I28086" s="101"/>
    </row>
    <row r="28087" spans="9:9" x14ac:dyDescent="0.3">
      <c r="I28087" s="101"/>
    </row>
    <row r="28088" spans="9:9" x14ac:dyDescent="0.3">
      <c r="I28088" s="101"/>
    </row>
    <row r="28089" spans="9:9" x14ac:dyDescent="0.3">
      <c r="I28089" s="101"/>
    </row>
    <row r="28090" spans="9:9" x14ac:dyDescent="0.3">
      <c r="I28090" s="101"/>
    </row>
    <row r="28091" spans="9:9" x14ac:dyDescent="0.3">
      <c r="I28091" s="101"/>
    </row>
    <row r="28092" spans="9:9" x14ac:dyDescent="0.3">
      <c r="I28092" s="101"/>
    </row>
    <row r="28093" spans="9:9" x14ac:dyDescent="0.3">
      <c r="I28093" s="101"/>
    </row>
    <row r="28094" spans="9:9" x14ac:dyDescent="0.3">
      <c r="I28094" s="101"/>
    </row>
    <row r="28095" spans="9:9" x14ac:dyDescent="0.3">
      <c r="I28095" s="101"/>
    </row>
    <row r="28096" spans="9:9" x14ac:dyDescent="0.3">
      <c r="I28096" s="101"/>
    </row>
    <row r="28097" spans="9:9" x14ac:dyDescent="0.3">
      <c r="I28097" s="101"/>
    </row>
    <row r="28098" spans="9:9" x14ac:dyDescent="0.3">
      <c r="I28098" s="101"/>
    </row>
    <row r="28099" spans="9:9" x14ac:dyDescent="0.3">
      <c r="I28099" s="101"/>
    </row>
    <row r="28100" spans="9:9" x14ac:dyDescent="0.3">
      <c r="I28100" s="101"/>
    </row>
    <row r="28101" spans="9:9" x14ac:dyDescent="0.3">
      <c r="I28101" s="101"/>
    </row>
    <row r="28102" spans="9:9" x14ac:dyDescent="0.3">
      <c r="I28102" s="101"/>
    </row>
    <row r="28103" spans="9:9" x14ac:dyDescent="0.3">
      <c r="I28103" s="101"/>
    </row>
    <row r="28104" spans="9:9" x14ac:dyDescent="0.3">
      <c r="I28104" s="101"/>
    </row>
    <row r="28105" spans="9:9" x14ac:dyDescent="0.3">
      <c r="I28105" s="101"/>
    </row>
    <row r="28106" spans="9:9" x14ac:dyDescent="0.3">
      <c r="I28106" s="101"/>
    </row>
    <row r="28107" spans="9:9" x14ac:dyDescent="0.3">
      <c r="I28107" s="101"/>
    </row>
    <row r="28108" spans="9:9" x14ac:dyDescent="0.3">
      <c r="I28108" s="101"/>
    </row>
    <row r="28109" spans="9:9" x14ac:dyDescent="0.3">
      <c r="I28109" s="101"/>
    </row>
    <row r="28110" spans="9:9" x14ac:dyDescent="0.3">
      <c r="I28110" s="101"/>
    </row>
    <row r="28111" spans="9:9" x14ac:dyDescent="0.3">
      <c r="I28111" s="101"/>
    </row>
    <row r="28112" spans="9:9" x14ac:dyDescent="0.3">
      <c r="I28112" s="101"/>
    </row>
    <row r="28113" spans="9:9" x14ac:dyDescent="0.3">
      <c r="I28113" s="101"/>
    </row>
    <row r="28114" spans="9:9" x14ac:dyDescent="0.3">
      <c r="I28114" s="101"/>
    </row>
    <row r="28115" spans="9:9" x14ac:dyDescent="0.3">
      <c r="I28115" s="101"/>
    </row>
    <row r="28116" spans="9:9" x14ac:dyDescent="0.3">
      <c r="I28116" s="101"/>
    </row>
    <row r="28117" spans="9:9" x14ac:dyDescent="0.3">
      <c r="I28117" s="101"/>
    </row>
    <row r="28118" spans="9:9" x14ac:dyDescent="0.3">
      <c r="I28118" s="101"/>
    </row>
    <row r="28119" spans="9:9" x14ac:dyDescent="0.3">
      <c r="I28119" s="101"/>
    </row>
    <row r="28120" spans="9:9" x14ac:dyDescent="0.3">
      <c r="I28120" s="101"/>
    </row>
    <row r="28121" spans="9:9" x14ac:dyDescent="0.3">
      <c r="I28121" s="101"/>
    </row>
    <row r="28122" spans="9:9" x14ac:dyDescent="0.3">
      <c r="I28122" s="101"/>
    </row>
    <row r="28123" spans="9:9" x14ac:dyDescent="0.3">
      <c r="I28123" s="101"/>
    </row>
    <row r="28124" spans="9:9" x14ac:dyDescent="0.3">
      <c r="I28124" s="101"/>
    </row>
    <row r="28125" spans="9:9" x14ac:dyDescent="0.3">
      <c r="I28125" s="101"/>
    </row>
    <row r="28126" spans="9:9" x14ac:dyDescent="0.3">
      <c r="I28126" s="101"/>
    </row>
    <row r="28127" spans="9:9" x14ac:dyDescent="0.3">
      <c r="I28127" s="101"/>
    </row>
    <row r="28128" spans="9:9" x14ac:dyDescent="0.3">
      <c r="I28128" s="101"/>
    </row>
    <row r="28129" spans="9:9" x14ac:dyDescent="0.3">
      <c r="I28129" s="101"/>
    </row>
    <row r="28130" spans="9:9" x14ac:dyDescent="0.3">
      <c r="I28130" s="101"/>
    </row>
    <row r="28131" spans="9:9" x14ac:dyDescent="0.3">
      <c r="I28131" s="101"/>
    </row>
    <row r="28132" spans="9:9" x14ac:dyDescent="0.3">
      <c r="I28132" s="101"/>
    </row>
    <row r="28133" spans="9:9" x14ac:dyDescent="0.3">
      <c r="I28133" s="101"/>
    </row>
    <row r="28134" spans="9:9" x14ac:dyDescent="0.3">
      <c r="I28134" s="101"/>
    </row>
    <row r="28135" spans="9:9" x14ac:dyDescent="0.3">
      <c r="I28135" s="101"/>
    </row>
    <row r="28136" spans="9:9" x14ac:dyDescent="0.3">
      <c r="I28136" s="101"/>
    </row>
    <row r="28137" spans="9:9" x14ac:dyDescent="0.3">
      <c r="I28137" s="101"/>
    </row>
    <row r="28138" spans="9:9" x14ac:dyDescent="0.3">
      <c r="I28138" s="101"/>
    </row>
    <row r="28139" spans="9:9" x14ac:dyDescent="0.3">
      <c r="I28139" s="101"/>
    </row>
    <row r="28140" spans="9:9" x14ac:dyDescent="0.3">
      <c r="I28140" s="101"/>
    </row>
    <row r="28141" spans="9:9" x14ac:dyDescent="0.3">
      <c r="I28141" s="101"/>
    </row>
    <row r="28142" spans="9:9" x14ac:dyDescent="0.3">
      <c r="I28142" s="101"/>
    </row>
    <row r="28143" spans="9:9" x14ac:dyDescent="0.3">
      <c r="I28143" s="101"/>
    </row>
    <row r="28144" spans="9:9" x14ac:dyDescent="0.3">
      <c r="I28144" s="101"/>
    </row>
    <row r="28145" spans="9:9" x14ac:dyDescent="0.3">
      <c r="I28145" s="101"/>
    </row>
    <row r="28146" spans="9:9" x14ac:dyDescent="0.3">
      <c r="I28146" s="101"/>
    </row>
    <row r="28147" spans="9:9" x14ac:dyDescent="0.3">
      <c r="I28147" s="101"/>
    </row>
    <row r="28148" spans="9:9" x14ac:dyDescent="0.3">
      <c r="I28148" s="101"/>
    </row>
    <row r="28149" spans="9:9" x14ac:dyDescent="0.3">
      <c r="I28149" s="101"/>
    </row>
    <row r="28150" spans="9:9" x14ac:dyDescent="0.3">
      <c r="I28150" s="101"/>
    </row>
    <row r="28151" spans="9:9" x14ac:dyDescent="0.3">
      <c r="I28151" s="101"/>
    </row>
    <row r="28152" spans="9:9" x14ac:dyDescent="0.3">
      <c r="I28152" s="101"/>
    </row>
    <row r="28153" spans="9:9" x14ac:dyDescent="0.3">
      <c r="I28153" s="101"/>
    </row>
    <row r="28154" spans="9:9" x14ac:dyDescent="0.3">
      <c r="I28154" s="101"/>
    </row>
    <row r="28155" spans="9:9" x14ac:dyDescent="0.3">
      <c r="I28155" s="101"/>
    </row>
    <row r="28156" spans="9:9" x14ac:dyDescent="0.3">
      <c r="I28156" s="101"/>
    </row>
    <row r="28157" spans="9:9" x14ac:dyDescent="0.3">
      <c r="I28157" s="101"/>
    </row>
    <row r="28158" spans="9:9" x14ac:dyDescent="0.3">
      <c r="I28158" s="101"/>
    </row>
    <row r="28159" spans="9:9" x14ac:dyDescent="0.3">
      <c r="I28159" s="101"/>
    </row>
    <row r="28160" spans="9:9" x14ac:dyDescent="0.3">
      <c r="I28160" s="101"/>
    </row>
    <row r="28161" spans="9:9" x14ac:dyDescent="0.3">
      <c r="I28161" s="101"/>
    </row>
    <row r="28162" spans="9:9" x14ac:dyDescent="0.3">
      <c r="I28162" s="101"/>
    </row>
    <row r="28163" spans="9:9" x14ac:dyDescent="0.3">
      <c r="I28163" s="101"/>
    </row>
    <row r="28164" spans="9:9" x14ac:dyDescent="0.3">
      <c r="I28164" s="101"/>
    </row>
    <row r="28165" spans="9:9" x14ac:dyDescent="0.3">
      <c r="I28165" s="101"/>
    </row>
    <row r="28166" spans="9:9" x14ac:dyDescent="0.3">
      <c r="I28166" s="101"/>
    </row>
    <row r="28167" spans="9:9" x14ac:dyDescent="0.3">
      <c r="I28167" s="101"/>
    </row>
    <row r="28168" spans="9:9" x14ac:dyDescent="0.3">
      <c r="I28168" s="101"/>
    </row>
    <row r="28169" spans="9:9" x14ac:dyDescent="0.3">
      <c r="I28169" s="101"/>
    </row>
    <row r="28170" spans="9:9" x14ac:dyDescent="0.3">
      <c r="I28170" s="101"/>
    </row>
    <row r="28171" spans="9:9" x14ac:dyDescent="0.3">
      <c r="I28171" s="101"/>
    </row>
    <row r="28172" spans="9:9" x14ac:dyDescent="0.3">
      <c r="I28172" s="101"/>
    </row>
    <row r="28173" spans="9:9" x14ac:dyDescent="0.3">
      <c r="I28173" s="101"/>
    </row>
    <row r="28174" spans="9:9" x14ac:dyDescent="0.3">
      <c r="I28174" s="101"/>
    </row>
    <row r="28175" spans="9:9" x14ac:dyDescent="0.3">
      <c r="I28175" s="101"/>
    </row>
    <row r="28176" spans="9:9" x14ac:dyDescent="0.3">
      <c r="I28176" s="101"/>
    </row>
    <row r="28177" spans="9:9" x14ac:dyDescent="0.3">
      <c r="I28177" s="101"/>
    </row>
    <row r="28178" spans="9:9" x14ac:dyDescent="0.3">
      <c r="I28178" s="101"/>
    </row>
    <row r="28179" spans="9:9" x14ac:dyDescent="0.3">
      <c r="I28179" s="101"/>
    </row>
    <row r="28180" spans="9:9" x14ac:dyDescent="0.3">
      <c r="I28180" s="101"/>
    </row>
    <row r="28181" spans="9:9" x14ac:dyDescent="0.3">
      <c r="I28181" s="101"/>
    </row>
    <row r="28182" spans="9:9" x14ac:dyDescent="0.3">
      <c r="I28182" s="101"/>
    </row>
    <row r="28183" spans="9:9" x14ac:dyDescent="0.3">
      <c r="I28183" s="101"/>
    </row>
    <row r="28184" spans="9:9" x14ac:dyDescent="0.3">
      <c r="I28184" s="101"/>
    </row>
    <row r="28185" spans="9:9" x14ac:dyDescent="0.3">
      <c r="I28185" s="101"/>
    </row>
    <row r="28186" spans="9:9" x14ac:dyDescent="0.3">
      <c r="I28186" s="101"/>
    </row>
    <row r="28187" spans="9:9" x14ac:dyDescent="0.3">
      <c r="I28187" s="101"/>
    </row>
    <row r="28188" spans="9:9" x14ac:dyDescent="0.3">
      <c r="I28188" s="101"/>
    </row>
    <row r="28189" spans="9:9" x14ac:dyDescent="0.3">
      <c r="I28189" s="101"/>
    </row>
    <row r="28190" spans="9:9" x14ac:dyDescent="0.3">
      <c r="I28190" s="101"/>
    </row>
    <row r="28191" spans="9:9" x14ac:dyDescent="0.3">
      <c r="I28191" s="101"/>
    </row>
    <row r="28192" spans="9:9" x14ac:dyDescent="0.3">
      <c r="I28192" s="101"/>
    </row>
    <row r="28193" spans="9:9" x14ac:dyDescent="0.3">
      <c r="I28193" s="101"/>
    </row>
    <row r="28194" spans="9:9" x14ac:dyDescent="0.3">
      <c r="I28194" s="101"/>
    </row>
    <row r="28195" spans="9:9" x14ac:dyDescent="0.3">
      <c r="I28195" s="101"/>
    </row>
    <row r="28196" spans="9:9" x14ac:dyDescent="0.3">
      <c r="I28196" s="101"/>
    </row>
    <row r="28197" spans="9:9" x14ac:dyDescent="0.3">
      <c r="I28197" s="101"/>
    </row>
    <row r="28198" spans="9:9" x14ac:dyDescent="0.3">
      <c r="I28198" s="101"/>
    </row>
    <row r="28199" spans="9:9" x14ac:dyDescent="0.3">
      <c r="I28199" s="101"/>
    </row>
    <row r="28200" spans="9:9" x14ac:dyDescent="0.3">
      <c r="I28200" s="101"/>
    </row>
    <row r="28201" spans="9:9" x14ac:dyDescent="0.3">
      <c r="I28201" s="101"/>
    </row>
    <row r="28202" spans="9:9" x14ac:dyDescent="0.3">
      <c r="I28202" s="101"/>
    </row>
    <row r="28203" spans="9:9" x14ac:dyDescent="0.3">
      <c r="I28203" s="101"/>
    </row>
    <row r="28204" spans="9:9" x14ac:dyDescent="0.3">
      <c r="I28204" s="101"/>
    </row>
    <row r="28205" spans="9:9" x14ac:dyDescent="0.3">
      <c r="I28205" s="101"/>
    </row>
    <row r="28206" spans="9:9" x14ac:dyDescent="0.3">
      <c r="I28206" s="101"/>
    </row>
    <row r="28207" spans="9:9" x14ac:dyDescent="0.3">
      <c r="I28207" s="101"/>
    </row>
    <row r="28208" spans="9:9" x14ac:dyDescent="0.3">
      <c r="I28208" s="101"/>
    </row>
    <row r="28209" spans="9:9" x14ac:dyDescent="0.3">
      <c r="I28209" s="101"/>
    </row>
    <row r="28210" spans="9:9" x14ac:dyDescent="0.3">
      <c r="I28210" s="101"/>
    </row>
    <row r="28211" spans="9:9" x14ac:dyDescent="0.3">
      <c r="I28211" s="101"/>
    </row>
    <row r="28212" spans="9:9" x14ac:dyDescent="0.3">
      <c r="I28212" s="101"/>
    </row>
    <row r="28213" spans="9:9" x14ac:dyDescent="0.3">
      <c r="I28213" s="101"/>
    </row>
    <row r="28214" spans="9:9" x14ac:dyDescent="0.3">
      <c r="I28214" s="101"/>
    </row>
    <row r="28215" spans="9:9" x14ac:dyDescent="0.3">
      <c r="I28215" s="101"/>
    </row>
    <row r="28216" spans="9:9" x14ac:dyDescent="0.3">
      <c r="I28216" s="101"/>
    </row>
    <row r="28217" spans="9:9" x14ac:dyDescent="0.3">
      <c r="I28217" s="101"/>
    </row>
    <row r="28218" spans="9:9" x14ac:dyDescent="0.3">
      <c r="I28218" s="101"/>
    </row>
    <row r="28219" spans="9:9" x14ac:dyDescent="0.3">
      <c r="I28219" s="101"/>
    </row>
    <row r="28220" spans="9:9" x14ac:dyDescent="0.3">
      <c r="I28220" s="101"/>
    </row>
    <row r="28221" spans="9:9" x14ac:dyDescent="0.3">
      <c r="I28221" s="101"/>
    </row>
    <row r="28222" spans="9:9" x14ac:dyDescent="0.3">
      <c r="I28222" s="101"/>
    </row>
    <row r="28223" spans="9:9" x14ac:dyDescent="0.3">
      <c r="I28223" s="101"/>
    </row>
    <row r="28224" spans="9:9" x14ac:dyDescent="0.3">
      <c r="I28224" s="101"/>
    </row>
    <row r="28225" spans="9:9" x14ac:dyDescent="0.3">
      <c r="I28225" s="101"/>
    </row>
    <row r="28226" spans="9:9" x14ac:dyDescent="0.3">
      <c r="I28226" s="101"/>
    </row>
    <row r="28227" spans="9:9" x14ac:dyDescent="0.3">
      <c r="I28227" s="101"/>
    </row>
    <row r="28228" spans="9:9" x14ac:dyDescent="0.3">
      <c r="I28228" s="101"/>
    </row>
    <row r="28229" spans="9:9" x14ac:dyDescent="0.3">
      <c r="I28229" s="101"/>
    </row>
    <row r="28230" spans="9:9" x14ac:dyDescent="0.3">
      <c r="I28230" s="101"/>
    </row>
    <row r="28231" spans="9:9" x14ac:dyDescent="0.3">
      <c r="I28231" s="101"/>
    </row>
    <row r="28232" spans="9:9" x14ac:dyDescent="0.3">
      <c r="I28232" s="101"/>
    </row>
    <row r="28233" spans="9:9" x14ac:dyDescent="0.3">
      <c r="I28233" s="101"/>
    </row>
    <row r="28234" spans="9:9" x14ac:dyDescent="0.3">
      <c r="I28234" s="101"/>
    </row>
    <row r="28235" spans="9:9" x14ac:dyDescent="0.3">
      <c r="I28235" s="101"/>
    </row>
    <row r="28236" spans="9:9" x14ac:dyDescent="0.3">
      <c r="I28236" s="101"/>
    </row>
    <row r="28237" spans="9:9" x14ac:dyDescent="0.3">
      <c r="I28237" s="101"/>
    </row>
    <row r="28238" spans="9:9" x14ac:dyDescent="0.3">
      <c r="I28238" s="101"/>
    </row>
    <row r="28239" spans="9:9" x14ac:dyDescent="0.3">
      <c r="I28239" s="101"/>
    </row>
    <row r="28240" spans="9:9" x14ac:dyDescent="0.3">
      <c r="I28240" s="101"/>
    </row>
    <row r="28241" spans="9:9" x14ac:dyDescent="0.3">
      <c r="I28241" s="101"/>
    </row>
    <row r="28242" spans="9:9" x14ac:dyDescent="0.3">
      <c r="I28242" s="101"/>
    </row>
    <row r="28243" spans="9:9" x14ac:dyDescent="0.3">
      <c r="I28243" s="101"/>
    </row>
    <row r="28244" spans="9:9" x14ac:dyDescent="0.3">
      <c r="I28244" s="101"/>
    </row>
    <row r="28245" spans="9:9" x14ac:dyDescent="0.3">
      <c r="I28245" s="101"/>
    </row>
    <row r="28246" spans="9:9" x14ac:dyDescent="0.3">
      <c r="I28246" s="101"/>
    </row>
    <row r="28247" spans="9:9" x14ac:dyDescent="0.3">
      <c r="I28247" s="101"/>
    </row>
    <row r="28248" spans="9:9" x14ac:dyDescent="0.3">
      <c r="I28248" s="101"/>
    </row>
    <row r="28249" spans="9:9" x14ac:dyDescent="0.3">
      <c r="I28249" s="101"/>
    </row>
    <row r="28250" spans="9:9" x14ac:dyDescent="0.3">
      <c r="I28250" s="101"/>
    </row>
    <row r="28251" spans="9:9" x14ac:dyDescent="0.3">
      <c r="I28251" s="101"/>
    </row>
    <row r="28252" spans="9:9" x14ac:dyDescent="0.3">
      <c r="I28252" s="101"/>
    </row>
    <row r="28253" spans="9:9" x14ac:dyDescent="0.3">
      <c r="I28253" s="101"/>
    </row>
    <row r="28254" spans="9:9" x14ac:dyDescent="0.3">
      <c r="I28254" s="101"/>
    </row>
    <row r="28255" spans="9:9" x14ac:dyDescent="0.3">
      <c r="I28255" s="101"/>
    </row>
    <row r="28256" spans="9:9" x14ac:dyDescent="0.3">
      <c r="I28256" s="101"/>
    </row>
    <row r="28257" spans="9:9" x14ac:dyDescent="0.3">
      <c r="I28257" s="101"/>
    </row>
    <row r="28258" spans="9:9" x14ac:dyDescent="0.3">
      <c r="I28258" s="101"/>
    </row>
    <row r="28259" spans="9:9" x14ac:dyDescent="0.3">
      <c r="I28259" s="101"/>
    </row>
    <row r="28260" spans="9:9" x14ac:dyDescent="0.3">
      <c r="I28260" s="101"/>
    </row>
    <row r="28261" spans="9:9" x14ac:dyDescent="0.3">
      <c r="I28261" s="101"/>
    </row>
    <row r="28262" spans="9:9" x14ac:dyDescent="0.3">
      <c r="I28262" s="101"/>
    </row>
    <row r="28263" spans="9:9" x14ac:dyDescent="0.3">
      <c r="I28263" s="101"/>
    </row>
    <row r="28264" spans="9:9" x14ac:dyDescent="0.3">
      <c r="I28264" s="101"/>
    </row>
    <row r="28265" spans="9:9" x14ac:dyDescent="0.3">
      <c r="I28265" s="101"/>
    </row>
    <row r="28266" spans="9:9" x14ac:dyDescent="0.3">
      <c r="I28266" s="101"/>
    </row>
    <row r="28267" spans="9:9" x14ac:dyDescent="0.3">
      <c r="I28267" s="101"/>
    </row>
    <row r="28268" spans="9:9" x14ac:dyDescent="0.3">
      <c r="I28268" s="101"/>
    </row>
    <row r="28269" spans="9:9" x14ac:dyDescent="0.3">
      <c r="I28269" s="101"/>
    </row>
    <row r="28270" spans="9:9" x14ac:dyDescent="0.3">
      <c r="I28270" s="101"/>
    </row>
    <row r="28271" spans="9:9" x14ac:dyDescent="0.3">
      <c r="I28271" s="101"/>
    </row>
    <row r="28272" spans="9:9" x14ac:dyDescent="0.3">
      <c r="I28272" s="101"/>
    </row>
    <row r="28273" spans="9:9" x14ac:dyDescent="0.3">
      <c r="I28273" s="101"/>
    </row>
    <row r="28274" spans="9:9" x14ac:dyDescent="0.3">
      <c r="I28274" s="101"/>
    </row>
    <row r="28275" spans="9:9" x14ac:dyDescent="0.3">
      <c r="I28275" s="101"/>
    </row>
    <row r="28276" spans="9:9" x14ac:dyDescent="0.3">
      <c r="I28276" s="101"/>
    </row>
    <row r="28277" spans="9:9" x14ac:dyDescent="0.3">
      <c r="I28277" s="101"/>
    </row>
    <row r="28278" spans="9:9" x14ac:dyDescent="0.3">
      <c r="I28278" s="101"/>
    </row>
    <row r="28279" spans="9:9" x14ac:dyDescent="0.3">
      <c r="I28279" s="101"/>
    </row>
    <row r="28280" spans="9:9" x14ac:dyDescent="0.3">
      <c r="I28280" s="101"/>
    </row>
    <row r="28281" spans="9:9" x14ac:dyDescent="0.3">
      <c r="I28281" s="101"/>
    </row>
    <row r="28282" spans="9:9" x14ac:dyDescent="0.3">
      <c r="I28282" s="101"/>
    </row>
    <row r="28283" spans="9:9" x14ac:dyDescent="0.3">
      <c r="I28283" s="101"/>
    </row>
    <row r="28284" spans="9:9" x14ac:dyDescent="0.3">
      <c r="I28284" s="101"/>
    </row>
    <row r="28285" spans="9:9" x14ac:dyDescent="0.3">
      <c r="I28285" s="101"/>
    </row>
    <row r="28286" spans="9:9" x14ac:dyDescent="0.3">
      <c r="I28286" s="101"/>
    </row>
    <row r="28287" spans="9:9" x14ac:dyDescent="0.3">
      <c r="I28287" s="101"/>
    </row>
    <row r="28288" spans="9:9" x14ac:dyDescent="0.3">
      <c r="I28288" s="101"/>
    </row>
    <row r="28289" spans="9:9" x14ac:dyDescent="0.3">
      <c r="I28289" s="101"/>
    </row>
    <row r="28290" spans="9:9" x14ac:dyDescent="0.3">
      <c r="I28290" s="101"/>
    </row>
    <row r="28291" spans="9:9" x14ac:dyDescent="0.3">
      <c r="I28291" s="101"/>
    </row>
    <row r="28292" spans="9:9" x14ac:dyDescent="0.3">
      <c r="I28292" s="101"/>
    </row>
    <row r="28293" spans="9:9" x14ac:dyDescent="0.3">
      <c r="I28293" s="101"/>
    </row>
    <row r="28294" spans="9:9" x14ac:dyDescent="0.3">
      <c r="I28294" s="101"/>
    </row>
    <row r="28295" spans="9:9" x14ac:dyDescent="0.3">
      <c r="I28295" s="101"/>
    </row>
    <row r="28296" spans="9:9" x14ac:dyDescent="0.3">
      <c r="I28296" s="101"/>
    </row>
    <row r="28297" spans="9:9" x14ac:dyDescent="0.3">
      <c r="I28297" s="101"/>
    </row>
    <row r="28298" spans="9:9" x14ac:dyDescent="0.3">
      <c r="I28298" s="101"/>
    </row>
    <row r="28299" spans="9:9" x14ac:dyDescent="0.3">
      <c r="I28299" s="101"/>
    </row>
    <row r="28300" spans="9:9" x14ac:dyDescent="0.3">
      <c r="I28300" s="101"/>
    </row>
    <row r="28301" spans="9:9" x14ac:dyDescent="0.3">
      <c r="I28301" s="101"/>
    </row>
    <row r="28302" spans="9:9" x14ac:dyDescent="0.3">
      <c r="I28302" s="101"/>
    </row>
    <row r="28303" spans="9:9" x14ac:dyDescent="0.3">
      <c r="I28303" s="101"/>
    </row>
    <row r="28304" spans="9:9" x14ac:dyDescent="0.3">
      <c r="I28304" s="101"/>
    </row>
    <row r="28305" spans="9:9" x14ac:dyDescent="0.3">
      <c r="I28305" s="101"/>
    </row>
    <row r="28306" spans="9:9" x14ac:dyDescent="0.3">
      <c r="I28306" s="101"/>
    </row>
    <row r="28307" spans="9:9" x14ac:dyDescent="0.3">
      <c r="I28307" s="101"/>
    </row>
    <row r="28308" spans="9:9" x14ac:dyDescent="0.3">
      <c r="I28308" s="101"/>
    </row>
    <row r="28309" spans="9:9" x14ac:dyDescent="0.3">
      <c r="I28309" s="101"/>
    </row>
    <row r="28310" spans="9:9" x14ac:dyDescent="0.3">
      <c r="I28310" s="101"/>
    </row>
    <row r="28311" spans="9:9" x14ac:dyDescent="0.3">
      <c r="I28311" s="101"/>
    </row>
    <row r="28312" spans="9:9" x14ac:dyDescent="0.3">
      <c r="I28312" s="101"/>
    </row>
    <row r="28313" spans="9:9" x14ac:dyDescent="0.3">
      <c r="I28313" s="101"/>
    </row>
    <row r="28314" spans="9:9" x14ac:dyDescent="0.3">
      <c r="I28314" s="101"/>
    </row>
    <row r="28315" spans="9:9" x14ac:dyDescent="0.3">
      <c r="I28315" s="101"/>
    </row>
    <row r="28316" spans="9:9" x14ac:dyDescent="0.3">
      <c r="I28316" s="101"/>
    </row>
    <row r="28317" spans="9:9" x14ac:dyDescent="0.3">
      <c r="I28317" s="101"/>
    </row>
    <row r="28318" spans="9:9" x14ac:dyDescent="0.3">
      <c r="I28318" s="101"/>
    </row>
    <row r="28319" spans="9:9" x14ac:dyDescent="0.3">
      <c r="I28319" s="101"/>
    </row>
    <row r="28320" spans="9:9" x14ac:dyDescent="0.3">
      <c r="I28320" s="101"/>
    </row>
    <row r="28321" spans="9:9" x14ac:dyDescent="0.3">
      <c r="I28321" s="101"/>
    </row>
    <row r="28322" spans="9:9" x14ac:dyDescent="0.3">
      <c r="I28322" s="101"/>
    </row>
    <row r="28323" spans="9:9" x14ac:dyDescent="0.3">
      <c r="I28323" s="101"/>
    </row>
    <row r="28324" spans="9:9" x14ac:dyDescent="0.3">
      <c r="I28324" s="101"/>
    </row>
    <row r="28325" spans="9:9" x14ac:dyDescent="0.3">
      <c r="I28325" s="101"/>
    </row>
    <row r="28326" spans="9:9" x14ac:dyDescent="0.3">
      <c r="I28326" s="101"/>
    </row>
    <row r="28327" spans="9:9" x14ac:dyDescent="0.3">
      <c r="I28327" s="101"/>
    </row>
    <row r="28328" spans="9:9" x14ac:dyDescent="0.3">
      <c r="I28328" s="101"/>
    </row>
    <row r="28329" spans="9:9" x14ac:dyDescent="0.3">
      <c r="I28329" s="101"/>
    </row>
    <row r="28330" spans="9:9" x14ac:dyDescent="0.3">
      <c r="I28330" s="101"/>
    </row>
    <row r="28331" spans="9:9" x14ac:dyDescent="0.3">
      <c r="I28331" s="101"/>
    </row>
    <row r="28332" spans="9:9" x14ac:dyDescent="0.3">
      <c r="I28332" s="101"/>
    </row>
    <row r="28333" spans="9:9" x14ac:dyDescent="0.3">
      <c r="I28333" s="101"/>
    </row>
    <row r="28334" spans="9:9" x14ac:dyDescent="0.3">
      <c r="I28334" s="101"/>
    </row>
    <row r="28335" spans="9:9" x14ac:dyDescent="0.3">
      <c r="I28335" s="101"/>
    </row>
    <row r="28336" spans="9:9" x14ac:dyDescent="0.3">
      <c r="I28336" s="101"/>
    </row>
    <row r="28337" spans="9:9" x14ac:dyDescent="0.3">
      <c r="I28337" s="101"/>
    </row>
    <row r="28338" spans="9:9" x14ac:dyDescent="0.3">
      <c r="I28338" s="101"/>
    </row>
    <row r="28339" spans="9:9" x14ac:dyDescent="0.3">
      <c r="I28339" s="101"/>
    </row>
    <row r="28340" spans="9:9" x14ac:dyDescent="0.3">
      <c r="I28340" s="101"/>
    </row>
    <row r="28341" spans="9:9" x14ac:dyDescent="0.3">
      <c r="I28341" s="101"/>
    </row>
    <row r="28342" spans="9:9" x14ac:dyDescent="0.3">
      <c r="I28342" s="101"/>
    </row>
    <row r="28343" spans="9:9" x14ac:dyDescent="0.3">
      <c r="I28343" s="101"/>
    </row>
    <row r="28344" spans="9:9" x14ac:dyDescent="0.3">
      <c r="I28344" s="101"/>
    </row>
    <row r="28345" spans="9:9" x14ac:dyDescent="0.3">
      <c r="I28345" s="101"/>
    </row>
    <row r="28346" spans="9:9" x14ac:dyDescent="0.3">
      <c r="I28346" s="101"/>
    </row>
    <row r="28347" spans="9:9" x14ac:dyDescent="0.3">
      <c r="I28347" s="101"/>
    </row>
    <row r="28348" spans="9:9" x14ac:dyDescent="0.3">
      <c r="I28348" s="101"/>
    </row>
    <row r="28349" spans="9:9" x14ac:dyDescent="0.3">
      <c r="I28349" s="101"/>
    </row>
    <row r="28350" spans="9:9" x14ac:dyDescent="0.3">
      <c r="I28350" s="101"/>
    </row>
    <row r="28351" spans="9:9" x14ac:dyDescent="0.3">
      <c r="I28351" s="101"/>
    </row>
    <row r="28352" spans="9:9" x14ac:dyDescent="0.3">
      <c r="I28352" s="101"/>
    </row>
    <row r="28353" spans="9:9" x14ac:dyDescent="0.3">
      <c r="I28353" s="101"/>
    </row>
    <row r="28354" spans="9:9" x14ac:dyDescent="0.3">
      <c r="I28354" s="101"/>
    </row>
    <row r="28355" spans="9:9" x14ac:dyDescent="0.3">
      <c r="I28355" s="101"/>
    </row>
    <row r="28356" spans="9:9" x14ac:dyDescent="0.3">
      <c r="I28356" s="101"/>
    </row>
    <row r="28357" spans="9:9" x14ac:dyDescent="0.3">
      <c r="I28357" s="101"/>
    </row>
    <row r="28358" spans="9:9" x14ac:dyDescent="0.3">
      <c r="I28358" s="101"/>
    </row>
    <row r="28359" spans="9:9" x14ac:dyDescent="0.3">
      <c r="I28359" s="101"/>
    </row>
    <row r="28360" spans="9:9" x14ac:dyDescent="0.3">
      <c r="I28360" s="101"/>
    </row>
    <row r="28361" spans="9:9" x14ac:dyDescent="0.3">
      <c r="I28361" s="101"/>
    </row>
    <row r="28362" spans="9:9" x14ac:dyDescent="0.3">
      <c r="I28362" s="101"/>
    </row>
    <row r="28363" spans="9:9" x14ac:dyDescent="0.3">
      <c r="I28363" s="101"/>
    </row>
    <row r="28364" spans="9:9" x14ac:dyDescent="0.3">
      <c r="I28364" s="101"/>
    </row>
    <row r="28365" spans="9:9" x14ac:dyDescent="0.3">
      <c r="I28365" s="101"/>
    </row>
    <row r="28366" spans="9:9" x14ac:dyDescent="0.3">
      <c r="I28366" s="101"/>
    </row>
    <row r="28367" spans="9:9" x14ac:dyDescent="0.3">
      <c r="I28367" s="101"/>
    </row>
    <row r="28368" spans="9:9" x14ac:dyDescent="0.3">
      <c r="I28368" s="101"/>
    </row>
    <row r="28369" spans="9:9" x14ac:dyDescent="0.3">
      <c r="I28369" s="101"/>
    </row>
    <row r="28370" spans="9:9" x14ac:dyDescent="0.3">
      <c r="I28370" s="101"/>
    </row>
    <row r="28371" spans="9:9" x14ac:dyDescent="0.3">
      <c r="I28371" s="101"/>
    </row>
    <row r="28372" spans="9:9" x14ac:dyDescent="0.3">
      <c r="I28372" s="101"/>
    </row>
    <row r="28373" spans="9:9" x14ac:dyDescent="0.3">
      <c r="I28373" s="101"/>
    </row>
    <row r="28374" spans="9:9" x14ac:dyDescent="0.3">
      <c r="I28374" s="101"/>
    </row>
    <row r="28375" spans="9:9" x14ac:dyDescent="0.3">
      <c r="I28375" s="101"/>
    </row>
    <row r="28376" spans="9:9" x14ac:dyDescent="0.3">
      <c r="I28376" s="101"/>
    </row>
    <row r="28377" spans="9:9" x14ac:dyDescent="0.3">
      <c r="I28377" s="101"/>
    </row>
    <row r="28378" spans="9:9" x14ac:dyDescent="0.3">
      <c r="I28378" s="101"/>
    </row>
    <row r="28379" spans="9:9" x14ac:dyDescent="0.3">
      <c r="I28379" s="101"/>
    </row>
    <row r="28380" spans="9:9" x14ac:dyDescent="0.3">
      <c r="I28380" s="101"/>
    </row>
    <row r="28381" spans="9:9" x14ac:dyDescent="0.3">
      <c r="I28381" s="101"/>
    </row>
    <row r="28382" spans="9:9" x14ac:dyDescent="0.3">
      <c r="I28382" s="101"/>
    </row>
    <row r="28383" spans="9:9" x14ac:dyDescent="0.3">
      <c r="I28383" s="101"/>
    </row>
    <row r="28384" spans="9:9" x14ac:dyDescent="0.3">
      <c r="I28384" s="101"/>
    </row>
    <row r="28385" spans="9:9" x14ac:dyDescent="0.3">
      <c r="I28385" s="101"/>
    </row>
    <row r="28386" spans="9:9" x14ac:dyDescent="0.3">
      <c r="I28386" s="101"/>
    </row>
    <row r="28387" spans="9:9" x14ac:dyDescent="0.3">
      <c r="I28387" s="101"/>
    </row>
    <row r="28388" spans="9:9" x14ac:dyDescent="0.3">
      <c r="I28388" s="101"/>
    </row>
    <row r="28389" spans="9:9" x14ac:dyDescent="0.3">
      <c r="I28389" s="101"/>
    </row>
    <row r="28390" spans="9:9" x14ac:dyDescent="0.3">
      <c r="I28390" s="101"/>
    </row>
    <row r="28391" spans="9:9" x14ac:dyDescent="0.3">
      <c r="I28391" s="101"/>
    </row>
    <row r="28392" spans="9:9" x14ac:dyDescent="0.3">
      <c r="I28392" s="101"/>
    </row>
    <row r="28393" spans="9:9" x14ac:dyDescent="0.3">
      <c r="I28393" s="101"/>
    </row>
    <row r="28394" spans="9:9" x14ac:dyDescent="0.3">
      <c r="I28394" s="101"/>
    </row>
    <row r="28395" spans="9:9" x14ac:dyDescent="0.3">
      <c r="I28395" s="101"/>
    </row>
    <row r="28396" spans="9:9" x14ac:dyDescent="0.3">
      <c r="I28396" s="101"/>
    </row>
    <row r="28397" spans="9:9" x14ac:dyDescent="0.3">
      <c r="I28397" s="101"/>
    </row>
    <row r="28398" spans="9:9" x14ac:dyDescent="0.3">
      <c r="I28398" s="101"/>
    </row>
    <row r="28399" spans="9:9" x14ac:dyDescent="0.3">
      <c r="I28399" s="101"/>
    </row>
    <row r="28400" spans="9:9" x14ac:dyDescent="0.3">
      <c r="I28400" s="101"/>
    </row>
    <row r="28401" spans="9:9" x14ac:dyDescent="0.3">
      <c r="I28401" s="101"/>
    </row>
    <row r="28402" spans="9:9" x14ac:dyDescent="0.3">
      <c r="I28402" s="101"/>
    </row>
    <row r="28403" spans="9:9" x14ac:dyDescent="0.3">
      <c r="I28403" s="101"/>
    </row>
    <row r="28404" spans="9:9" x14ac:dyDescent="0.3">
      <c r="I28404" s="101"/>
    </row>
    <row r="28405" spans="9:9" x14ac:dyDescent="0.3">
      <c r="I28405" s="101"/>
    </row>
    <row r="28406" spans="9:9" x14ac:dyDescent="0.3">
      <c r="I28406" s="101"/>
    </row>
    <row r="28407" spans="9:9" x14ac:dyDescent="0.3">
      <c r="I28407" s="101"/>
    </row>
    <row r="28408" spans="9:9" x14ac:dyDescent="0.3">
      <c r="I28408" s="101"/>
    </row>
    <row r="28409" spans="9:9" x14ac:dyDescent="0.3">
      <c r="I28409" s="101"/>
    </row>
    <row r="28410" spans="9:9" x14ac:dyDescent="0.3">
      <c r="I28410" s="101"/>
    </row>
    <row r="28411" spans="9:9" x14ac:dyDescent="0.3">
      <c r="I28411" s="101"/>
    </row>
    <row r="28412" spans="9:9" x14ac:dyDescent="0.3">
      <c r="I28412" s="101"/>
    </row>
    <row r="28413" spans="9:9" x14ac:dyDescent="0.3">
      <c r="I28413" s="101"/>
    </row>
    <row r="28414" spans="9:9" x14ac:dyDescent="0.3">
      <c r="I28414" s="101"/>
    </row>
    <row r="28415" spans="9:9" x14ac:dyDescent="0.3">
      <c r="I28415" s="101"/>
    </row>
    <row r="28416" spans="9:9" x14ac:dyDescent="0.3">
      <c r="I28416" s="101"/>
    </row>
    <row r="28417" spans="9:9" x14ac:dyDescent="0.3">
      <c r="I28417" s="101"/>
    </row>
    <row r="28418" spans="9:9" x14ac:dyDescent="0.3">
      <c r="I28418" s="101"/>
    </row>
    <row r="28419" spans="9:9" x14ac:dyDescent="0.3">
      <c r="I28419" s="101"/>
    </row>
    <row r="28420" spans="9:9" x14ac:dyDescent="0.3">
      <c r="I28420" s="101"/>
    </row>
    <row r="28421" spans="9:9" x14ac:dyDescent="0.3">
      <c r="I28421" s="101"/>
    </row>
    <row r="28422" spans="9:9" x14ac:dyDescent="0.3">
      <c r="I28422" s="101"/>
    </row>
    <row r="28423" spans="9:9" x14ac:dyDescent="0.3">
      <c r="I28423" s="101"/>
    </row>
    <row r="28424" spans="9:9" x14ac:dyDescent="0.3">
      <c r="I28424" s="101"/>
    </row>
    <row r="28425" spans="9:9" x14ac:dyDescent="0.3">
      <c r="I28425" s="101"/>
    </row>
    <row r="28426" spans="9:9" x14ac:dyDescent="0.3">
      <c r="I28426" s="101"/>
    </row>
    <row r="28427" spans="9:9" x14ac:dyDescent="0.3">
      <c r="I28427" s="101"/>
    </row>
    <row r="28428" spans="9:9" x14ac:dyDescent="0.3">
      <c r="I28428" s="101"/>
    </row>
    <row r="28429" spans="9:9" x14ac:dyDescent="0.3">
      <c r="I28429" s="101"/>
    </row>
    <row r="28430" spans="9:9" x14ac:dyDescent="0.3">
      <c r="I28430" s="101"/>
    </row>
    <row r="28431" spans="9:9" x14ac:dyDescent="0.3">
      <c r="I28431" s="101"/>
    </row>
    <row r="28432" spans="9:9" x14ac:dyDescent="0.3">
      <c r="I28432" s="101"/>
    </row>
    <row r="28433" spans="9:9" x14ac:dyDescent="0.3">
      <c r="I28433" s="101"/>
    </row>
    <row r="28434" spans="9:9" x14ac:dyDescent="0.3">
      <c r="I28434" s="101"/>
    </row>
    <row r="28435" spans="9:9" x14ac:dyDescent="0.3">
      <c r="I28435" s="101"/>
    </row>
    <row r="28436" spans="9:9" x14ac:dyDescent="0.3">
      <c r="I28436" s="101"/>
    </row>
    <row r="28437" spans="9:9" x14ac:dyDescent="0.3">
      <c r="I28437" s="101"/>
    </row>
    <row r="28438" spans="9:9" x14ac:dyDescent="0.3">
      <c r="I28438" s="101"/>
    </row>
    <row r="28439" spans="9:9" x14ac:dyDescent="0.3">
      <c r="I28439" s="101"/>
    </row>
    <row r="28440" spans="9:9" x14ac:dyDescent="0.3">
      <c r="I28440" s="101"/>
    </row>
    <row r="28441" spans="9:9" x14ac:dyDescent="0.3">
      <c r="I28441" s="101"/>
    </row>
    <row r="28442" spans="9:9" x14ac:dyDescent="0.3">
      <c r="I28442" s="101"/>
    </row>
    <row r="28443" spans="9:9" x14ac:dyDescent="0.3">
      <c r="I28443" s="101"/>
    </row>
    <row r="28444" spans="9:9" x14ac:dyDescent="0.3">
      <c r="I28444" s="101"/>
    </row>
    <row r="28445" spans="9:9" x14ac:dyDescent="0.3">
      <c r="I28445" s="101"/>
    </row>
    <row r="28446" spans="9:9" x14ac:dyDescent="0.3">
      <c r="I28446" s="101"/>
    </row>
    <row r="28447" spans="9:9" x14ac:dyDescent="0.3">
      <c r="I28447" s="101"/>
    </row>
    <row r="28448" spans="9:9" x14ac:dyDescent="0.3">
      <c r="I28448" s="101"/>
    </row>
    <row r="28449" spans="9:9" x14ac:dyDescent="0.3">
      <c r="I28449" s="101"/>
    </row>
    <row r="28450" spans="9:9" x14ac:dyDescent="0.3">
      <c r="I28450" s="101"/>
    </row>
    <row r="28451" spans="9:9" x14ac:dyDescent="0.3">
      <c r="I28451" s="101"/>
    </row>
    <row r="28452" spans="9:9" x14ac:dyDescent="0.3">
      <c r="I28452" s="101"/>
    </row>
    <row r="28453" spans="9:9" x14ac:dyDescent="0.3">
      <c r="I28453" s="101"/>
    </row>
    <row r="28454" spans="9:9" x14ac:dyDescent="0.3">
      <c r="I28454" s="101"/>
    </row>
    <row r="28455" spans="9:9" x14ac:dyDescent="0.3">
      <c r="I28455" s="101"/>
    </row>
    <row r="28456" spans="9:9" x14ac:dyDescent="0.3">
      <c r="I28456" s="101"/>
    </row>
    <row r="28457" spans="9:9" x14ac:dyDescent="0.3">
      <c r="I28457" s="101"/>
    </row>
    <row r="28458" spans="9:9" x14ac:dyDescent="0.3">
      <c r="I28458" s="101"/>
    </row>
    <row r="28459" spans="9:9" x14ac:dyDescent="0.3">
      <c r="I28459" s="101"/>
    </row>
    <row r="28460" spans="9:9" x14ac:dyDescent="0.3">
      <c r="I28460" s="101"/>
    </row>
    <row r="28461" spans="9:9" x14ac:dyDescent="0.3">
      <c r="I28461" s="101"/>
    </row>
    <row r="28462" spans="9:9" x14ac:dyDescent="0.3">
      <c r="I28462" s="101"/>
    </row>
    <row r="28463" spans="9:9" x14ac:dyDescent="0.3">
      <c r="I28463" s="101"/>
    </row>
    <row r="28464" spans="9:9" x14ac:dyDescent="0.3">
      <c r="I28464" s="101"/>
    </row>
    <row r="28465" spans="9:9" x14ac:dyDescent="0.3">
      <c r="I28465" s="101"/>
    </row>
    <row r="28466" spans="9:9" x14ac:dyDescent="0.3">
      <c r="I28466" s="101"/>
    </row>
    <row r="28467" spans="9:9" x14ac:dyDescent="0.3">
      <c r="I28467" s="101"/>
    </row>
    <row r="28468" spans="9:9" x14ac:dyDescent="0.3">
      <c r="I28468" s="101"/>
    </row>
    <row r="28469" spans="9:9" x14ac:dyDescent="0.3">
      <c r="I28469" s="101"/>
    </row>
    <row r="28470" spans="9:9" x14ac:dyDescent="0.3">
      <c r="I28470" s="101"/>
    </row>
    <row r="28471" spans="9:9" x14ac:dyDescent="0.3">
      <c r="I28471" s="101"/>
    </row>
    <row r="28472" spans="9:9" x14ac:dyDescent="0.3">
      <c r="I28472" s="101"/>
    </row>
    <row r="28473" spans="9:9" x14ac:dyDescent="0.3">
      <c r="I28473" s="101"/>
    </row>
    <row r="28474" spans="9:9" x14ac:dyDescent="0.3">
      <c r="I28474" s="101"/>
    </row>
    <row r="28475" spans="9:9" x14ac:dyDescent="0.3">
      <c r="I28475" s="101"/>
    </row>
    <row r="28476" spans="9:9" x14ac:dyDescent="0.3">
      <c r="I28476" s="101"/>
    </row>
    <row r="28477" spans="9:9" x14ac:dyDescent="0.3">
      <c r="I28477" s="101"/>
    </row>
    <row r="28478" spans="9:9" x14ac:dyDescent="0.3">
      <c r="I28478" s="101"/>
    </row>
    <row r="28479" spans="9:9" x14ac:dyDescent="0.3">
      <c r="I28479" s="101"/>
    </row>
    <row r="28480" spans="9:9" x14ac:dyDescent="0.3">
      <c r="I28480" s="101"/>
    </row>
    <row r="28481" spans="9:9" x14ac:dyDescent="0.3">
      <c r="I28481" s="101"/>
    </row>
    <row r="28482" spans="9:9" x14ac:dyDescent="0.3">
      <c r="I28482" s="101"/>
    </row>
    <row r="28483" spans="9:9" x14ac:dyDescent="0.3">
      <c r="I28483" s="101"/>
    </row>
    <row r="28484" spans="9:9" x14ac:dyDescent="0.3">
      <c r="I28484" s="101"/>
    </row>
    <row r="28485" spans="9:9" x14ac:dyDescent="0.3">
      <c r="I28485" s="101"/>
    </row>
    <row r="28486" spans="9:9" x14ac:dyDescent="0.3">
      <c r="I28486" s="101"/>
    </row>
    <row r="28487" spans="9:9" x14ac:dyDescent="0.3">
      <c r="I28487" s="101"/>
    </row>
    <row r="28488" spans="9:9" x14ac:dyDescent="0.3">
      <c r="I28488" s="101"/>
    </row>
    <row r="28489" spans="9:9" x14ac:dyDescent="0.3">
      <c r="I28489" s="101"/>
    </row>
    <row r="28490" spans="9:9" x14ac:dyDescent="0.3">
      <c r="I28490" s="101"/>
    </row>
    <row r="28491" spans="9:9" x14ac:dyDescent="0.3">
      <c r="I28491" s="101"/>
    </row>
    <row r="28492" spans="9:9" x14ac:dyDescent="0.3">
      <c r="I28492" s="101"/>
    </row>
    <row r="28493" spans="9:9" x14ac:dyDescent="0.3">
      <c r="I28493" s="101"/>
    </row>
    <row r="28494" spans="9:9" x14ac:dyDescent="0.3">
      <c r="I28494" s="101"/>
    </row>
    <row r="28495" spans="9:9" x14ac:dyDescent="0.3">
      <c r="I28495" s="101"/>
    </row>
    <row r="28496" spans="9:9" x14ac:dyDescent="0.3">
      <c r="I28496" s="101"/>
    </row>
    <row r="28497" spans="9:9" x14ac:dyDescent="0.3">
      <c r="I28497" s="101"/>
    </row>
    <row r="28498" spans="9:9" x14ac:dyDescent="0.3">
      <c r="I28498" s="101"/>
    </row>
    <row r="28499" spans="9:9" x14ac:dyDescent="0.3">
      <c r="I28499" s="101"/>
    </row>
    <row r="28500" spans="9:9" x14ac:dyDescent="0.3">
      <c r="I28500" s="101"/>
    </row>
    <row r="28501" spans="9:9" x14ac:dyDescent="0.3">
      <c r="I28501" s="101"/>
    </row>
    <row r="28502" spans="9:9" x14ac:dyDescent="0.3">
      <c r="I28502" s="101"/>
    </row>
    <row r="28503" spans="9:9" x14ac:dyDescent="0.3">
      <c r="I28503" s="101"/>
    </row>
    <row r="28504" spans="9:9" x14ac:dyDescent="0.3">
      <c r="I28504" s="101"/>
    </row>
    <row r="28505" spans="9:9" x14ac:dyDescent="0.3">
      <c r="I28505" s="101"/>
    </row>
    <row r="28506" spans="9:9" x14ac:dyDescent="0.3">
      <c r="I28506" s="101"/>
    </row>
    <row r="28507" spans="9:9" x14ac:dyDescent="0.3">
      <c r="I28507" s="101"/>
    </row>
    <row r="28508" spans="9:9" x14ac:dyDescent="0.3">
      <c r="I28508" s="101"/>
    </row>
    <row r="28509" spans="9:9" x14ac:dyDescent="0.3">
      <c r="I28509" s="101"/>
    </row>
    <row r="28510" spans="9:9" x14ac:dyDescent="0.3">
      <c r="I28510" s="101"/>
    </row>
    <row r="28511" spans="9:9" x14ac:dyDescent="0.3">
      <c r="I28511" s="101"/>
    </row>
    <row r="28512" spans="9:9" x14ac:dyDescent="0.3">
      <c r="I28512" s="101"/>
    </row>
    <row r="28513" spans="9:9" x14ac:dyDescent="0.3">
      <c r="I28513" s="101"/>
    </row>
    <row r="28514" spans="9:9" x14ac:dyDescent="0.3">
      <c r="I28514" s="101"/>
    </row>
    <row r="28515" spans="9:9" x14ac:dyDescent="0.3">
      <c r="I28515" s="101"/>
    </row>
    <row r="28516" spans="9:9" x14ac:dyDescent="0.3">
      <c r="I28516" s="101"/>
    </row>
    <row r="28517" spans="9:9" x14ac:dyDescent="0.3">
      <c r="I28517" s="101"/>
    </row>
    <row r="28518" spans="9:9" x14ac:dyDescent="0.3">
      <c r="I28518" s="101"/>
    </row>
    <row r="28519" spans="9:9" x14ac:dyDescent="0.3">
      <c r="I28519" s="101"/>
    </row>
    <row r="28520" spans="9:9" x14ac:dyDescent="0.3">
      <c r="I28520" s="101"/>
    </row>
    <row r="28521" spans="9:9" x14ac:dyDescent="0.3">
      <c r="I28521" s="101"/>
    </row>
    <row r="28522" spans="9:9" x14ac:dyDescent="0.3">
      <c r="I28522" s="101"/>
    </row>
    <row r="28523" spans="9:9" x14ac:dyDescent="0.3">
      <c r="I28523" s="101"/>
    </row>
    <row r="28524" spans="9:9" x14ac:dyDescent="0.3">
      <c r="I28524" s="101"/>
    </row>
    <row r="28525" spans="9:9" x14ac:dyDescent="0.3">
      <c r="I28525" s="101"/>
    </row>
    <row r="28526" spans="9:9" x14ac:dyDescent="0.3">
      <c r="I28526" s="101"/>
    </row>
    <row r="28527" spans="9:9" x14ac:dyDescent="0.3">
      <c r="I28527" s="101"/>
    </row>
    <row r="28528" spans="9:9" x14ac:dyDescent="0.3">
      <c r="I28528" s="101"/>
    </row>
    <row r="28529" spans="9:9" x14ac:dyDescent="0.3">
      <c r="I28529" s="101"/>
    </row>
    <row r="28530" spans="9:9" x14ac:dyDescent="0.3">
      <c r="I28530" s="101"/>
    </row>
    <row r="28531" spans="9:9" x14ac:dyDescent="0.3">
      <c r="I28531" s="101"/>
    </row>
    <row r="28532" spans="9:9" x14ac:dyDescent="0.3">
      <c r="I28532" s="101"/>
    </row>
    <row r="28533" spans="9:9" x14ac:dyDescent="0.3">
      <c r="I28533" s="101"/>
    </row>
    <row r="28534" spans="9:9" x14ac:dyDescent="0.3">
      <c r="I28534" s="101"/>
    </row>
    <row r="28535" spans="9:9" x14ac:dyDescent="0.3">
      <c r="I28535" s="101"/>
    </row>
    <row r="28536" spans="9:9" x14ac:dyDescent="0.3">
      <c r="I28536" s="101"/>
    </row>
    <row r="28537" spans="9:9" x14ac:dyDescent="0.3">
      <c r="I28537" s="101"/>
    </row>
    <row r="28538" spans="9:9" x14ac:dyDescent="0.3">
      <c r="I28538" s="101"/>
    </row>
    <row r="28539" spans="9:9" x14ac:dyDescent="0.3">
      <c r="I28539" s="101"/>
    </row>
    <row r="28540" spans="9:9" x14ac:dyDescent="0.3">
      <c r="I28540" s="101"/>
    </row>
    <row r="28541" spans="9:9" x14ac:dyDescent="0.3">
      <c r="I28541" s="101"/>
    </row>
    <row r="28542" spans="9:9" x14ac:dyDescent="0.3">
      <c r="I28542" s="101"/>
    </row>
    <row r="28543" spans="9:9" x14ac:dyDescent="0.3">
      <c r="I28543" s="101"/>
    </row>
    <row r="28544" spans="9:9" x14ac:dyDescent="0.3">
      <c r="I28544" s="101"/>
    </row>
    <row r="28545" spans="9:9" x14ac:dyDescent="0.3">
      <c r="I28545" s="101"/>
    </row>
    <row r="28546" spans="9:9" x14ac:dyDescent="0.3">
      <c r="I28546" s="101"/>
    </row>
    <row r="28547" spans="9:9" x14ac:dyDescent="0.3">
      <c r="I28547" s="101"/>
    </row>
    <row r="28548" spans="9:9" x14ac:dyDescent="0.3">
      <c r="I28548" s="101"/>
    </row>
    <row r="28549" spans="9:9" x14ac:dyDescent="0.3">
      <c r="I28549" s="101"/>
    </row>
    <row r="28550" spans="9:9" x14ac:dyDescent="0.3">
      <c r="I28550" s="101"/>
    </row>
    <row r="28551" spans="9:9" x14ac:dyDescent="0.3">
      <c r="I28551" s="101"/>
    </row>
    <row r="28552" spans="9:9" x14ac:dyDescent="0.3">
      <c r="I28552" s="101"/>
    </row>
    <row r="28553" spans="9:9" x14ac:dyDescent="0.3">
      <c r="I28553" s="101"/>
    </row>
    <row r="28554" spans="9:9" x14ac:dyDescent="0.3">
      <c r="I28554" s="101"/>
    </row>
    <row r="28555" spans="9:9" x14ac:dyDescent="0.3">
      <c r="I28555" s="101"/>
    </row>
    <row r="28556" spans="9:9" x14ac:dyDescent="0.3">
      <c r="I28556" s="101"/>
    </row>
    <row r="28557" spans="9:9" x14ac:dyDescent="0.3">
      <c r="I28557" s="101"/>
    </row>
    <row r="28558" spans="9:9" x14ac:dyDescent="0.3">
      <c r="I28558" s="101"/>
    </row>
    <row r="28559" spans="9:9" x14ac:dyDescent="0.3">
      <c r="I28559" s="101"/>
    </row>
    <row r="28560" spans="9:9" x14ac:dyDescent="0.3">
      <c r="I28560" s="101"/>
    </row>
    <row r="28561" spans="9:9" x14ac:dyDescent="0.3">
      <c r="I28561" s="101"/>
    </row>
    <row r="28562" spans="9:9" x14ac:dyDescent="0.3">
      <c r="I28562" s="101"/>
    </row>
    <row r="28563" spans="9:9" x14ac:dyDescent="0.3">
      <c r="I28563" s="101"/>
    </row>
    <row r="28564" spans="9:9" x14ac:dyDescent="0.3">
      <c r="I28564" s="101"/>
    </row>
    <row r="28565" spans="9:9" x14ac:dyDescent="0.3">
      <c r="I28565" s="101"/>
    </row>
    <row r="28566" spans="9:9" x14ac:dyDescent="0.3">
      <c r="I28566" s="101"/>
    </row>
    <row r="28567" spans="9:9" x14ac:dyDescent="0.3">
      <c r="I28567" s="101"/>
    </row>
    <row r="28568" spans="9:9" x14ac:dyDescent="0.3">
      <c r="I28568" s="101"/>
    </row>
    <row r="28569" spans="9:9" x14ac:dyDescent="0.3">
      <c r="I28569" s="101"/>
    </row>
    <row r="28570" spans="9:9" x14ac:dyDescent="0.3">
      <c r="I28570" s="101"/>
    </row>
    <row r="28571" spans="9:9" x14ac:dyDescent="0.3">
      <c r="I28571" s="101"/>
    </row>
    <row r="28572" spans="9:9" x14ac:dyDescent="0.3">
      <c r="I28572" s="101"/>
    </row>
    <row r="28573" spans="9:9" x14ac:dyDescent="0.3">
      <c r="I28573" s="101"/>
    </row>
    <row r="28574" spans="9:9" x14ac:dyDescent="0.3">
      <c r="I28574" s="101"/>
    </row>
    <row r="28575" spans="9:9" x14ac:dyDescent="0.3">
      <c r="I28575" s="101"/>
    </row>
    <row r="28576" spans="9:9" x14ac:dyDescent="0.3">
      <c r="I28576" s="101"/>
    </row>
    <row r="28577" spans="9:9" x14ac:dyDescent="0.3">
      <c r="I28577" s="101"/>
    </row>
    <row r="28578" spans="9:9" x14ac:dyDescent="0.3">
      <c r="I28578" s="101"/>
    </row>
    <row r="28579" spans="9:9" x14ac:dyDescent="0.3">
      <c r="I28579" s="101"/>
    </row>
    <row r="28580" spans="9:9" x14ac:dyDescent="0.3">
      <c r="I28580" s="101"/>
    </row>
    <row r="28581" spans="9:9" x14ac:dyDescent="0.3">
      <c r="I28581" s="101"/>
    </row>
    <row r="28582" spans="9:9" x14ac:dyDescent="0.3">
      <c r="I28582" s="101"/>
    </row>
    <row r="28583" spans="9:9" x14ac:dyDescent="0.3">
      <c r="I28583" s="101"/>
    </row>
    <row r="28584" spans="9:9" x14ac:dyDescent="0.3">
      <c r="I28584" s="101"/>
    </row>
    <row r="28585" spans="9:9" x14ac:dyDescent="0.3">
      <c r="I28585" s="101"/>
    </row>
    <row r="28586" spans="9:9" x14ac:dyDescent="0.3">
      <c r="I28586" s="101"/>
    </row>
    <row r="28587" spans="9:9" x14ac:dyDescent="0.3">
      <c r="I28587" s="101"/>
    </row>
    <row r="28588" spans="9:9" x14ac:dyDescent="0.3">
      <c r="I28588" s="101"/>
    </row>
    <row r="28589" spans="9:9" x14ac:dyDescent="0.3">
      <c r="I28589" s="101"/>
    </row>
    <row r="28590" spans="9:9" x14ac:dyDescent="0.3">
      <c r="I28590" s="101"/>
    </row>
    <row r="28591" spans="9:9" x14ac:dyDescent="0.3">
      <c r="I28591" s="101"/>
    </row>
    <row r="28592" spans="9:9" x14ac:dyDescent="0.3">
      <c r="I28592" s="101"/>
    </row>
    <row r="28593" spans="9:9" x14ac:dyDescent="0.3">
      <c r="I28593" s="101"/>
    </row>
    <row r="28594" spans="9:9" x14ac:dyDescent="0.3">
      <c r="I28594" s="101"/>
    </row>
    <row r="28595" spans="9:9" x14ac:dyDescent="0.3">
      <c r="I28595" s="101"/>
    </row>
    <row r="28596" spans="9:9" x14ac:dyDescent="0.3">
      <c r="I28596" s="101"/>
    </row>
    <row r="28597" spans="9:9" x14ac:dyDescent="0.3">
      <c r="I28597" s="101"/>
    </row>
    <row r="28598" spans="9:9" x14ac:dyDescent="0.3">
      <c r="I28598" s="101"/>
    </row>
    <row r="28599" spans="9:9" x14ac:dyDescent="0.3">
      <c r="I28599" s="101"/>
    </row>
    <row r="28600" spans="9:9" x14ac:dyDescent="0.3">
      <c r="I28600" s="101"/>
    </row>
    <row r="28601" spans="9:9" x14ac:dyDescent="0.3">
      <c r="I28601" s="101"/>
    </row>
    <row r="28602" spans="9:9" x14ac:dyDescent="0.3">
      <c r="I28602" s="101"/>
    </row>
    <row r="28603" spans="9:9" x14ac:dyDescent="0.3">
      <c r="I28603" s="101"/>
    </row>
    <row r="28604" spans="9:9" x14ac:dyDescent="0.3">
      <c r="I28604" s="101"/>
    </row>
    <row r="28605" spans="9:9" x14ac:dyDescent="0.3">
      <c r="I28605" s="101"/>
    </row>
    <row r="28606" spans="9:9" x14ac:dyDescent="0.3">
      <c r="I28606" s="101"/>
    </row>
    <row r="28607" spans="9:9" x14ac:dyDescent="0.3">
      <c r="I28607" s="101"/>
    </row>
    <row r="28608" spans="9:9" x14ac:dyDescent="0.3">
      <c r="I28608" s="101"/>
    </row>
    <row r="28609" spans="9:9" x14ac:dyDescent="0.3">
      <c r="I28609" s="101"/>
    </row>
    <row r="28610" spans="9:9" x14ac:dyDescent="0.3">
      <c r="I28610" s="101"/>
    </row>
    <row r="28611" spans="9:9" x14ac:dyDescent="0.3">
      <c r="I28611" s="101"/>
    </row>
    <row r="28612" spans="9:9" x14ac:dyDescent="0.3">
      <c r="I28612" s="101"/>
    </row>
    <row r="28613" spans="9:9" x14ac:dyDescent="0.3">
      <c r="I28613" s="101"/>
    </row>
    <row r="28614" spans="9:9" x14ac:dyDescent="0.3">
      <c r="I28614" s="101"/>
    </row>
    <row r="28615" spans="9:9" x14ac:dyDescent="0.3">
      <c r="I28615" s="101"/>
    </row>
    <row r="28616" spans="9:9" x14ac:dyDescent="0.3">
      <c r="I28616" s="101"/>
    </row>
    <row r="28617" spans="9:9" x14ac:dyDescent="0.3">
      <c r="I28617" s="101"/>
    </row>
    <row r="28618" spans="9:9" x14ac:dyDescent="0.3">
      <c r="I28618" s="101"/>
    </row>
    <row r="28619" spans="9:9" x14ac:dyDescent="0.3">
      <c r="I28619" s="101"/>
    </row>
    <row r="28620" spans="9:9" x14ac:dyDescent="0.3">
      <c r="I28620" s="101"/>
    </row>
    <row r="28621" spans="9:9" x14ac:dyDescent="0.3">
      <c r="I28621" s="101"/>
    </row>
    <row r="28622" spans="9:9" x14ac:dyDescent="0.3">
      <c r="I28622" s="101"/>
    </row>
    <row r="28623" spans="9:9" x14ac:dyDescent="0.3">
      <c r="I28623" s="101"/>
    </row>
    <row r="28624" spans="9:9" x14ac:dyDescent="0.3">
      <c r="I28624" s="101"/>
    </row>
    <row r="28625" spans="9:9" x14ac:dyDescent="0.3">
      <c r="I28625" s="101"/>
    </row>
    <row r="28626" spans="9:9" x14ac:dyDescent="0.3">
      <c r="I28626" s="101"/>
    </row>
    <row r="28627" spans="9:9" x14ac:dyDescent="0.3">
      <c r="I28627" s="101"/>
    </row>
    <row r="28628" spans="9:9" x14ac:dyDescent="0.3">
      <c r="I28628" s="101"/>
    </row>
    <row r="28629" spans="9:9" x14ac:dyDescent="0.3">
      <c r="I28629" s="101"/>
    </row>
    <row r="28630" spans="9:9" x14ac:dyDescent="0.3">
      <c r="I28630" s="101"/>
    </row>
    <row r="28631" spans="9:9" x14ac:dyDescent="0.3">
      <c r="I28631" s="101"/>
    </row>
    <row r="28632" spans="9:9" x14ac:dyDescent="0.3">
      <c r="I28632" s="101"/>
    </row>
    <row r="28633" spans="9:9" x14ac:dyDescent="0.3">
      <c r="I28633" s="101"/>
    </row>
    <row r="28634" spans="9:9" x14ac:dyDescent="0.3">
      <c r="I28634" s="101"/>
    </row>
    <row r="28635" spans="9:9" x14ac:dyDescent="0.3">
      <c r="I28635" s="101"/>
    </row>
    <row r="28636" spans="9:9" x14ac:dyDescent="0.3">
      <c r="I28636" s="101"/>
    </row>
    <row r="28637" spans="9:9" x14ac:dyDescent="0.3">
      <c r="I28637" s="101"/>
    </row>
    <row r="28638" spans="9:9" x14ac:dyDescent="0.3">
      <c r="I28638" s="101"/>
    </row>
    <row r="28639" spans="9:9" x14ac:dyDescent="0.3">
      <c r="I28639" s="101"/>
    </row>
    <row r="28640" spans="9:9" x14ac:dyDescent="0.3">
      <c r="I28640" s="101"/>
    </row>
    <row r="28641" spans="9:9" x14ac:dyDescent="0.3">
      <c r="I28641" s="101"/>
    </row>
    <row r="28642" spans="9:9" x14ac:dyDescent="0.3">
      <c r="I28642" s="101"/>
    </row>
    <row r="28643" spans="9:9" x14ac:dyDescent="0.3">
      <c r="I28643" s="101"/>
    </row>
    <row r="28644" spans="9:9" x14ac:dyDescent="0.3">
      <c r="I28644" s="101"/>
    </row>
    <row r="28645" spans="9:9" x14ac:dyDescent="0.3">
      <c r="I28645" s="101"/>
    </row>
    <row r="28646" spans="9:9" x14ac:dyDescent="0.3">
      <c r="I28646" s="101"/>
    </row>
    <row r="28647" spans="9:9" x14ac:dyDescent="0.3">
      <c r="I28647" s="101"/>
    </row>
    <row r="28648" spans="9:9" x14ac:dyDescent="0.3">
      <c r="I28648" s="101"/>
    </row>
    <row r="28649" spans="9:9" x14ac:dyDescent="0.3">
      <c r="I28649" s="101"/>
    </row>
    <row r="28650" spans="9:9" x14ac:dyDescent="0.3">
      <c r="I28650" s="101"/>
    </row>
    <row r="28651" spans="9:9" x14ac:dyDescent="0.3">
      <c r="I28651" s="101"/>
    </row>
    <row r="28652" spans="9:9" x14ac:dyDescent="0.3">
      <c r="I28652" s="101"/>
    </row>
    <row r="28653" spans="9:9" x14ac:dyDescent="0.3">
      <c r="I28653" s="101"/>
    </row>
    <row r="28654" spans="9:9" x14ac:dyDescent="0.3">
      <c r="I28654" s="101"/>
    </row>
    <row r="28655" spans="9:9" x14ac:dyDescent="0.3">
      <c r="I28655" s="101"/>
    </row>
    <row r="28656" spans="9:9" x14ac:dyDescent="0.3">
      <c r="I28656" s="101"/>
    </row>
    <row r="28657" spans="9:9" x14ac:dyDescent="0.3">
      <c r="I28657" s="101"/>
    </row>
    <row r="28658" spans="9:9" x14ac:dyDescent="0.3">
      <c r="I28658" s="101"/>
    </row>
    <row r="28659" spans="9:9" x14ac:dyDescent="0.3">
      <c r="I28659" s="101"/>
    </row>
    <row r="28660" spans="9:9" x14ac:dyDescent="0.3">
      <c r="I28660" s="101"/>
    </row>
    <row r="28661" spans="9:9" x14ac:dyDescent="0.3">
      <c r="I28661" s="101"/>
    </row>
    <row r="28662" spans="9:9" x14ac:dyDescent="0.3">
      <c r="I28662" s="101"/>
    </row>
    <row r="28663" spans="9:9" x14ac:dyDescent="0.3">
      <c r="I28663" s="101"/>
    </row>
    <row r="28664" spans="9:9" x14ac:dyDescent="0.3">
      <c r="I28664" s="101"/>
    </row>
    <row r="28665" spans="9:9" x14ac:dyDescent="0.3">
      <c r="I28665" s="101"/>
    </row>
    <row r="28666" spans="9:9" x14ac:dyDescent="0.3">
      <c r="I28666" s="101"/>
    </row>
    <row r="28667" spans="9:9" x14ac:dyDescent="0.3">
      <c r="I28667" s="101"/>
    </row>
    <row r="28668" spans="9:9" x14ac:dyDescent="0.3">
      <c r="I28668" s="101"/>
    </row>
    <row r="28669" spans="9:9" x14ac:dyDescent="0.3">
      <c r="I28669" s="101"/>
    </row>
    <row r="28670" spans="9:9" x14ac:dyDescent="0.3">
      <c r="I28670" s="101"/>
    </row>
    <row r="28671" spans="9:9" x14ac:dyDescent="0.3">
      <c r="I28671" s="101"/>
    </row>
    <row r="28672" spans="9:9" x14ac:dyDescent="0.3">
      <c r="I28672" s="101"/>
    </row>
    <row r="28673" spans="9:9" x14ac:dyDescent="0.3">
      <c r="I28673" s="101"/>
    </row>
    <row r="28674" spans="9:9" x14ac:dyDescent="0.3">
      <c r="I28674" s="101"/>
    </row>
    <row r="28675" spans="9:9" x14ac:dyDescent="0.3">
      <c r="I28675" s="101"/>
    </row>
    <row r="28676" spans="9:9" x14ac:dyDescent="0.3">
      <c r="I28676" s="101"/>
    </row>
    <row r="28677" spans="9:9" x14ac:dyDescent="0.3">
      <c r="I28677" s="101"/>
    </row>
    <row r="28678" spans="9:9" x14ac:dyDescent="0.3">
      <c r="I28678" s="101"/>
    </row>
    <row r="28679" spans="9:9" x14ac:dyDescent="0.3">
      <c r="I28679" s="101"/>
    </row>
    <row r="28680" spans="9:9" x14ac:dyDescent="0.3">
      <c r="I28680" s="101"/>
    </row>
    <row r="28681" spans="9:9" x14ac:dyDescent="0.3">
      <c r="I28681" s="101"/>
    </row>
    <row r="28682" spans="9:9" x14ac:dyDescent="0.3">
      <c r="I28682" s="101"/>
    </row>
    <row r="28683" spans="9:9" x14ac:dyDescent="0.3">
      <c r="I28683" s="101"/>
    </row>
    <row r="28684" spans="9:9" x14ac:dyDescent="0.3">
      <c r="I28684" s="101"/>
    </row>
    <row r="28685" spans="9:9" x14ac:dyDescent="0.3">
      <c r="I28685" s="101"/>
    </row>
    <row r="28686" spans="9:9" x14ac:dyDescent="0.3">
      <c r="I28686" s="101"/>
    </row>
    <row r="28687" spans="9:9" x14ac:dyDescent="0.3">
      <c r="I28687" s="101"/>
    </row>
    <row r="28688" spans="9:9" x14ac:dyDescent="0.3">
      <c r="I28688" s="101"/>
    </row>
    <row r="28689" spans="9:9" x14ac:dyDescent="0.3">
      <c r="I28689" s="101"/>
    </row>
    <row r="28690" spans="9:9" x14ac:dyDescent="0.3">
      <c r="I28690" s="101"/>
    </row>
    <row r="28691" spans="9:9" x14ac:dyDescent="0.3">
      <c r="I28691" s="101"/>
    </row>
    <row r="28692" spans="9:9" x14ac:dyDescent="0.3">
      <c r="I28692" s="101"/>
    </row>
    <row r="28693" spans="9:9" x14ac:dyDescent="0.3">
      <c r="I28693" s="101"/>
    </row>
    <row r="28694" spans="9:9" x14ac:dyDescent="0.3">
      <c r="I28694" s="101"/>
    </row>
    <row r="28695" spans="9:9" x14ac:dyDescent="0.3">
      <c r="I28695" s="101"/>
    </row>
    <row r="28696" spans="9:9" x14ac:dyDescent="0.3">
      <c r="I28696" s="101"/>
    </row>
    <row r="28697" spans="9:9" x14ac:dyDescent="0.3">
      <c r="I28697" s="101"/>
    </row>
    <row r="28698" spans="9:9" x14ac:dyDescent="0.3">
      <c r="I28698" s="101"/>
    </row>
    <row r="28699" spans="9:9" x14ac:dyDescent="0.3">
      <c r="I28699" s="101"/>
    </row>
    <row r="28700" spans="9:9" x14ac:dyDescent="0.3">
      <c r="I28700" s="101"/>
    </row>
    <row r="28701" spans="9:9" x14ac:dyDescent="0.3">
      <c r="I28701" s="101"/>
    </row>
    <row r="28702" spans="9:9" x14ac:dyDescent="0.3">
      <c r="I28702" s="101"/>
    </row>
    <row r="28703" spans="9:9" x14ac:dyDescent="0.3">
      <c r="I28703" s="101"/>
    </row>
    <row r="28704" spans="9:9" x14ac:dyDescent="0.3">
      <c r="I28704" s="101"/>
    </row>
    <row r="28705" spans="9:9" x14ac:dyDescent="0.3">
      <c r="I28705" s="101"/>
    </row>
    <row r="28706" spans="9:9" x14ac:dyDescent="0.3">
      <c r="I28706" s="101"/>
    </row>
    <row r="28707" spans="9:9" x14ac:dyDescent="0.3">
      <c r="I28707" s="101"/>
    </row>
    <row r="28708" spans="9:9" x14ac:dyDescent="0.3">
      <c r="I28708" s="101"/>
    </row>
    <row r="28709" spans="9:9" x14ac:dyDescent="0.3">
      <c r="I28709" s="101"/>
    </row>
    <row r="28710" spans="9:9" x14ac:dyDescent="0.3">
      <c r="I28710" s="101"/>
    </row>
    <row r="28711" spans="9:9" x14ac:dyDescent="0.3">
      <c r="I28711" s="101"/>
    </row>
    <row r="28712" spans="9:9" x14ac:dyDescent="0.3">
      <c r="I28712" s="101"/>
    </row>
    <row r="28713" spans="9:9" x14ac:dyDescent="0.3">
      <c r="I28713" s="101"/>
    </row>
    <row r="28714" spans="9:9" x14ac:dyDescent="0.3">
      <c r="I28714" s="101"/>
    </row>
    <row r="28715" spans="9:9" x14ac:dyDescent="0.3">
      <c r="I28715" s="101"/>
    </row>
    <row r="28716" spans="9:9" x14ac:dyDescent="0.3">
      <c r="I28716" s="101"/>
    </row>
    <row r="28717" spans="9:9" x14ac:dyDescent="0.3">
      <c r="I28717" s="101"/>
    </row>
    <row r="28718" spans="9:9" x14ac:dyDescent="0.3">
      <c r="I28718" s="101"/>
    </row>
    <row r="28719" spans="9:9" x14ac:dyDescent="0.3">
      <c r="I28719" s="101"/>
    </row>
    <row r="28720" spans="9:9" x14ac:dyDescent="0.3">
      <c r="I28720" s="101"/>
    </row>
    <row r="28721" spans="9:9" x14ac:dyDescent="0.3">
      <c r="I28721" s="101"/>
    </row>
    <row r="28722" spans="9:9" x14ac:dyDescent="0.3">
      <c r="I28722" s="101"/>
    </row>
    <row r="28723" spans="9:9" x14ac:dyDescent="0.3">
      <c r="I28723" s="101"/>
    </row>
    <row r="28724" spans="9:9" x14ac:dyDescent="0.3">
      <c r="I28724" s="101"/>
    </row>
    <row r="28725" spans="9:9" x14ac:dyDescent="0.3">
      <c r="I28725" s="101"/>
    </row>
    <row r="28726" spans="9:9" x14ac:dyDescent="0.3">
      <c r="I28726" s="101"/>
    </row>
    <row r="28727" spans="9:9" x14ac:dyDescent="0.3">
      <c r="I28727" s="101"/>
    </row>
    <row r="28728" spans="9:9" x14ac:dyDescent="0.3">
      <c r="I28728" s="101"/>
    </row>
    <row r="28729" spans="9:9" x14ac:dyDescent="0.3">
      <c r="I28729" s="101"/>
    </row>
    <row r="28730" spans="9:9" x14ac:dyDescent="0.3">
      <c r="I28730" s="101"/>
    </row>
    <row r="28731" spans="9:9" x14ac:dyDescent="0.3">
      <c r="I28731" s="101"/>
    </row>
    <row r="28732" spans="9:9" x14ac:dyDescent="0.3">
      <c r="I28732" s="101"/>
    </row>
    <row r="28733" spans="9:9" x14ac:dyDescent="0.3">
      <c r="I28733" s="101"/>
    </row>
    <row r="28734" spans="9:9" x14ac:dyDescent="0.3">
      <c r="I28734" s="101"/>
    </row>
    <row r="28735" spans="9:9" x14ac:dyDescent="0.3">
      <c r="I28735" s="101"/>
    </row>
    <row r="28736" spans="9:9" x14ac:dyDescent="0.3">
      <c r="I28736" s="101"/>
    </row>
    <row r="28737" spans="9:9" x14ac:dyDescent="0.3">
      <c r="I28737" s="101"/>
    </row>
    <row r="28738" spans="9:9" x14ac:dyDescent="0.3">
      <c r="I28738" s="101"/>
    </row>
    <row r="28739" spans="9:9" x14ac:dyDescent="0.3">
      <c r="I28739" s="101"/>
    </row>
    <row r="28740" spans="9:9" x14ac:dyDescent="0.3">
      <c r="I28740" s="101"/>
    </row>
    <row r="28741" spans="9:9" x14ac:dyDescent="0.3">
      <c r="I28741" s="101"/>
    </row>
    <row r="28742" spans="9:9" x14ac:dyDescent="0.3">
      <c r="I28742" s="101"/>
    </row>
    <row r="28743" spans="9:9" x14ac:dyDescent="0.3">
      <c r="I28743" s="101"/>
    </row>
    <row r="28744" spans="9:9" x14ac:dyDescent="0.3">
      <c r="I28744" s="101"/>
    </row>
    <row r="28745" spans="9:9" x14ac:dyDescent="0.3">
      <c r="I28745" s="101"/>
    </row>
    <row r="28746" spans="9:9" x14ac:dyDescent="0.3">
      <c r="I28746" s="101"/>
    </row>
    <row r="28747" spans="9:9" x14ac:dyDescent="0.3">
      <c r="I28747" s="101"/>
    </row>
    <row r="28748" spans="9:9" x14ac:dyDescent="0.3">
      <c r="I28748" s="101"/>
    </row>
    <row r="28749" spans="9:9" x14ac:dyDescent="0.3">
      <c r="I28749" s="101"/>
    </row>
    <row r="28750" spans="9:9" x14ac:dyDescent="0.3">
      <c r="I28750" s="101"/>
    </row>
    <row r="28751" spans="9:9" x14ac:dyDescent="0.3">
      <c r="I28751" s="101"/>
    </row>
    <row r="28752" spans="9:9" x14ac:dyDescent="0.3">
      <c r="I28752" s="101"/>
    </row>
    <row r="28753" spans="9:9" x14ac:dyDescent="0.3">
      <c r="I28753" s="101"/>
    </row>
    <row r="28754" spans="9:9" x14ac:dyDescent="0.3">
      <c r="I28754" s="101"/>
    </row>
    <row r="28755" spans="9:9" x14ac:dyDescent="0.3">
      <c r="I28755" s="101"/>
    </row>
    <row r="28756" spans="9:9" x14ac:dyDescent="0.3">
      <c r="I28756" s="101"/>
    </row>
    <row r="28757" spans="9:9" x14ac:dyDescent="0.3">
      <c r="I28757" s="101"/>
    </row>
    <row r="28758" spans="9:9" x14ac:dyDescent="0.3">
      <c r="I28758" s="101"/>
    </row>
    <row r="28759" spans="9:9" x14ac:dyDescent="0.3">
      <c r="I28759" s="101"/>
    </row>
    <row r="28760" spans="9:9" x14ac:dyDescent="0.3">
      <c r="I28760" s="101"/>
    </row>
    <row r="28761" spans="9:9" x14ac:dyDescent="0.3">
      <c r="I28761" s="101"/>
    </row>
    <row r="28762" spans="9:9" x14ac:dyDescent="0.3">
      <c r="I28762" s="101"/>
    </row>
    <row r="28763" spans="9:9" x14ac:dyDescent="0.3">
      <c r="I28763" s="101"/>
    </row>
    <row r="28764" spans="9:9" x14ac:dyDescent="0.3">
      <c r="I28764" s="101"/>
    </row>
    <row r="28765" spans="9:9" x14ac:dyDescent="0.3">
      <c r="I28765" s="101"/>
    </row>
    <row r="28766" spans="9:9" x14ac:dyDescent="0.3">
      <c r="I28766" s="101"/>
    </row>
    <row r="28767" spans="9:9" x14ac:dyDescent="0.3">
      <c r="I28767" s="101"/>
    </row>
    <row r="28768" spans="9:9" x14ac:dyDescent="0.3">
      <c r="I28768" s="101"/>
    </row>
    <row r="28769" spans="9:9" x14ac:dyDescent="0.3">
      <c r="I28769" s="101"/>
    </row>
    <row r="28770" spans="9:9" x14ac:dyDescent="0.3">
      <c r="I28770" s="101"/>
    </row>
    <row r="28771" spans="9:9" x14ac:dyDescent="0.3">
      <c r="I28771" s="101"/>
    </row>
    <row r="28772" spans="9:9" x14ac:dyDescent="0.3">
      <c r="I28772" s="101"/>
    </row>
    <row r="28773" spans="9:9" x14ac:dyDescent="0.3">
      <c r="I28773" s="101"/>
    </row>
    <row r="28774" spans="9:9" x14ac:dyDescent="0.3">
      <c r="I28774" s="101"/>
    </row>
    <row r="28775" spans="9:9" x14ac:dyDescent="0.3">
      <c r="I28775" s="101"/>
    </row>
    <row r="28776" spans="9:9" x14ac:dyDescent="0.3">
      <c r="I28776" s="101"/>
    </row>
    <row r="28777" spans="9:9" x14ac:dyDescent="0.3">
      <c r="I28777" s="101"/>
    </row>
    <row r="28778" spans="9:9" x14ac:dyDescent="0.3">
      <c r="I28778" s="101"/>
    </row>
    <row r="28779" spans="9:9" x14ac:dyDescent="0.3">
      <c r="I28779" s="101"/>
    </row>
    <row r="28780" spans="9:9" x14ac:dyDescent="0.3">
      <c r="I28780" s="101"/>
    </row>
    <row r="28781" spans="9:9" x14ac:dyDescent="0.3">
      <c r="I28781" s="101"/>
    </row>
    <row r="28782" spans="9:9" x14ac:dyDescent="0.3">
      <c r="I28782" s="101"/>
    </row>
    <row r="28783" spans="9:9" x14ac:dyDescent="0.3">
      <c r="I28783" s="101"/>
    </row>
    <row r="28784" spans="9:9" x14ac:dyDescent="0.3">
      <c r="I28784" s="101"/>
    </row>
    <row r="28785" spans="9:9" x14ac:dyDescent="0.3">
      <c r="I28785" s="101"/>
    </row>
    <row r="28786" spans="9:9" x14ac:dyDescent="0.3">
      <c r="I28786" s="101"/>
    </row>
    <row r="28787" spans="9:9" x14ac:dyDescent="0.3">
      <c r="I28787" s="101"/>
    </row>
    <row r="28788" spans="9:9" x14ac:dyDescent="0.3">
      <c r="I28788" s="101"/>
    </row>
    <row r="28789" spans="9:9" x14ac:dyDescent="0.3">
      <c r="I28789" s="101"/>
    </row>
    <row r="28790" spans="9:9" x14ac:dyDescent="0.3">
      <c r="I28790" s="101"/>
    </row>
    <row r="28791" spans="9:9" x14ac:dyDescent="0.3">
      <c r="I28791" s="101"/>
    </row>
    <row r="28792" spans="9:9" x14ac:dyDescent="0.3">
      <c r="I28792" s="101"/>
    </row>
    <row r="28793" spans="9:9" x14ac:dyDescent="0.3">
      <c r="I28793" s="101"/>
    </row>
    <row r="28794" spans="9:9" x14ac:dyDescent="0.3">
      <c r="I28794" s="101"/>
    </row>
    <row r="28795" spans="9:9" x14ac:dyDescent="0.3">
      <c r="I28795" s="101"/>
    </row>
    <row r="28796" spans="9:9" x14ac:dyDescent="0.3">
      <c r="I28796" s="101"/>
    </row>
    <row r="28797" spans="9:9" x14ac:dyDescent="0.3">
      <c r="I28797" s="101"/>
    </row>
    <row r="28798" spans="9:9" x14ac:dyDescent="0.3">
      <c r="I28798" s="101"/>
    </row>
    <row r="28799" spans="9:9" x14ac:dyDescent="0.3">
      <c r="I28799" s="101"/>
    </row>
    <row r="28800" spans="9:9" x14ac:dyDescent="0.3">
      <c r="I28800" s="101"/>
    </row>
    <row r="28801" spans="9:9" x14ac:dyDescent="0.3">
      <c r="I28801" s="101"/>
    </row>
    <row r="28802" spans="9:9" x14ac:dyDescent="0.3">
      <c r="I28802" s="101"/>
    </row>
    <row r="28803" spans="9:9" x14ac:dyDescent="0.3">
      <c r="I28803" s="101"/>
    </row>
    <row r="28804" spans="9:9" x14ac:dyDescent="0.3">
      <c r="I28804" s="101"/>
    </row>
    <row r="28805" spans="9:9" x14ac:dyDescent="0.3">
      <c r="I28805" s="101"/>
    </row>
    <row r="28806" spans="9:9" x14ac:dyDescent="0.3">
      <c r="I28806" s="101"/>
    </row>
    <row r="28807" spans="9:9" x14ac:dyDescent="0.3">
      <c r="I28807" s="101"/>
    </row>
    <row r="28808" spans="9:9" x14ac:dyDescent="0.3">
      <c r="I28808" s="101"/>
    </row>
    <row r="28809" spans="9:9" x14ac:dyDescent="0.3">
      <c r="I28809" s="101"/>
    </row>
    <row r="28810" spans="9:9" x14ac:dyDescent="0.3">
      <c r="I28810" s="101"/>
    </row>
    <row r="28811" spans="9:9" x14ac:dyDescent="0.3">
      <c r="I28811" s="101"/>
    </row>
    <row r="28812" spans="9:9" x14ac:dyDescent="0.3">
      <c r="I28812" s="101"/>
    </row>
    <row r="28813" spans="9:9" x14ac:dyDescent="0.3">
      <c r="I28813" s="101"/>
    </row>
    <row r="28814" spans="9:9" x14ac:dyDescent="0.3">
      <c r="I28814" s="101"/>
    </row>
    <row r="28815" spans="9:9" x14ac:dyDescent="0.3">
      <c r="I28815" s="101"/>
    </row>
    <row r="28816" spans="9:9" x14ac:dyDescent="0.3">
      <c r="I28816" s="101"/>
    </row>
    <row r="28817" spans="9:9" x14ac:dyDescent="0.3">
      <c r="I28817" s="101"/>
    </row>
    <row r="28818" spans="9:9" x14ac:dyDescent="0.3">
      <c r="I28818" s="101"/>
    </row>
    <row r="28819" spans="9:9" x14ac:dyDescent="0.3">
      <c r="I28819" s="101"/>
    </row>
    <row r="28820" spans="9:9" x14ac:dyDescent="0.3">
      <c r="I28820" s="101"/>
    </row>
    <row r="28821" spans="9:9" x14ac:dyDescent="0.3">
      <c r="I28821" s="101"/>
    </row>
    <row r="28822" spans="9:9" x14ac:dyDescent="0.3">
      <c r="I28822" s="101"/>
    </row>
    <row r="28823" spans="9:9" x14ac:dyDescent="0.3">
      <c r="I28823" s="101"/>
    </row>
    <row r="28824" spans="9:9" x14ac:dyDescent="0.3">
      <c r="I28824" s="101"/>
    </row>
    <row r="28825" spans="9:9" x14ac:dyDescent="0.3">
      <c r="I28825" s="101"/>
    </row>
    <row r="28826" spans="9:9" x14ac:dyDescent="0.3">
      <c r="I28826" s="101"/>
    </row>
    <row r="28827" spans="9:9" x14ac:dyDescent="0.3">
      <c r="I28827" s="101"/>
    </row>
    <row r="28828" spans="9:9" x14ac:dyDescent="0.3">
      <c r="I28828" s="101"/>
    </row>
    <row r="28829" spans="9:9" x14ac:dyDescent="0.3">
      <c r="I28829" s="101"/>
    </row>
    <row r="28830" spans="9:9" x14ac:dyDescent="0.3">
      <c r="I28830" s="101"/>
    </row>
    <row r="28831" spans="9:9" x14ac:dyDescent="0.3">
      <c r="I28831" s="101"/>
    </row>
    <row r="28832" spans="9:9" x14ac:dyDescent="0.3">
      <c r="I28832" s="101"/>
    </row>
    <row r="28833" spans="9:9" x14ac:dyDescent="0.3">
      <c r="I28833" s="101"/>
    </row>
    <row r="28834" spans="9:9" x14ac:dyDescent="0.3">
      <c r="I28834" s="101"/>
    </row>
    <row r="28835" spans="9:9" x14ac:dyDescent="0.3">
      <c r="I28835" s="101"/>
    </row>
    <row r="28836" spans="9:9" x14ac:dyDescent="0.3">
      <c r="I28836" s="101"/>
    </row>
    <row r="28837" spans="9:9" x14ac:dyDescent="0.3">
      <c r="I28837" s="101"/>
    </row>
    <row r="28838" spans="9:9" x14ac:dyDescent="0.3">
      <c r="I28838" s="101"/>
    </row>
    <row r="28839" spans="9:9" x14ac:dyDescent="0.3">
      <c r="I28839" s="101"/>
    </row>
    <row r="28840" spans="9:9" x14ac:dyDescent="0.3">
      <c r="I28840" s="101"/>
    </row>
    <row r="28841" spans="9:9" x14ac:dyDescent="0.3">
      <c r="I28841" s="101"/>
    </row>
    <row r="28842" spans="9:9" x14ac:dyDescent="0.3">
      <c r="I28842" s="101"/>
    </row>
    <row r="28843" spans="9:9" x14ac:dyDescent="0.3">
      <c r="I28843" s="101"/>
    </row>
    <row r="28844" spans="9:9" x14ac:dyDescent="0.3">
      <c r="I28844" s="101"/>
    </row>
    <row r="28845" spans="9:9" x14ac:dyDescent="0.3">
      <c r="I28845" s="101"/>
    </row>
    <row r="28846" spans="9:9" x14ac:dyDescent="0.3">
      <c r="I28846" s="101"/>
    </row>
    <row r="28847" spans="9:9" x14ac:dyDescent="0.3">
      <c r="I28847" s="101"/>
    </row>
    <row r="28848" spans="9:9" x14ac:dyDescent="0.3">
      <c r="I28848" s="101"/>
    </row>
    <row r="28849" spans="9:9" x14ac:dyDescent="0.3">
      <c r="I28849" s="101"/>
    </row>
    <row r="28850" spans="9:9" x14ac:dyDescent="0.3">
      <c r="I28850" s="101"/>
    </row>
    <row r="28851" spans="9:9" x14ac:dyDescent="0.3">
      <c r="I28851" s="101"/>
    </row>
    <row r="28852" spans="9:9" x14ac:dyDescent="0.3">
      <c r="I28852" s="101"/>
    </row>
    <row r="28853" spans="9:9" x14ac:dyDescent="0.3">
      <c r="I28853" s="101"/>
    </row>
    <row r="28854" spans="9:9" x14ac:dyDescent="0.3">
      <c r="I28854" s="101"/>
    </row>
    <row r="28855" spans="9:9" x14ac:dyDescent="0.3">
      <c r="I28855" s="101"/>
    </row>
    <row r="28856" spans="9:9" x14ac:dyDescent="0.3">
      <c r="I28856" s="101"/>
    </row>
    <row r="28857" spans="9:9" x14ac:dyDescent="0.3">
      <c r="I28857" s="101"/>
    </row>
    <row r="28858" spans="9:9" x14ac:dyDescent="0.3">
      <c r="I28858" s="101"/>
    </row>
    <row r="28859" spans="9:9" x14ac:dyDescent="0.3">
      <c r="I28859" s="101"/>
    </row>
    <row r="28860" spans="9:9" x14ac:dyDescent="0.3">
      <c r="I28860" s="101"/>
    </row>
    <row r="28861" spans="9:9" x14ac:dyDescent="0.3">
      <c r="I28861" s="101"/>
    </row>
    <row r="28862" spans="9:9" x14ac:dyDescent="0.3">
      <c r="I28862" s="101"/>
    </row>
    <row r="28863" spans="9:9" x14ac:dyDescent="0.3">
      <c r="I28863" s="101"/>
    </row>
    <row r="28864" spans="9:9" x14ac:dyDescent="0.3">
      <c r="I28864" s="101"/>
    </row>
    <row r="28865" spans="9:9" x14ac:dyDescent="0.3">
      <c r="I28865" s="101"/>
    </row>
    <row r="28866" spans="9:9" x14ac:dyDescent="0.3">
      <c r="I28866" s="101"/>
    </row>
    <row r="28867" spans="9:9" x14ac:dyDescent="0.3">
      <c r="I28867" s="101"/>
    </row>
    <row r="28868" spans="9:9" x14ac:dyDescent="0.3">
      <c r="I28868" s="101"/>
    </row>
    <row r="28869" spans="9:9" x14ac:dyDescent="0.3">
      <c r="I28869" s="101"/>
    </row>
    <row r="28870" spans="9:9" x14ac:dyDescent="0.3">
      <c r="I28870" s="101"/>
    </row>
    <row r="28871" spans="9:9" x14ac:dyDescent="0.3">
      <c r="I28871" s="101"/>
    </row>
    <row r="28872" spans="9:9" x14ac:dyDescent="0.3">
      <c r="I28872" s="101"/>
    </row>
    <row r="28873" spans="9:9" x14ac:dyDescent="0.3">
      <c r="I28873" s="101"/>
    </row>
    <row r="28874" spans="9:9" x14ac:dyDescent="0.3">
      <c r="I28874" s="101"/>
    </row>
    <row r="28875" spans="9:9" x14ac:dyDescent="0.3">
      <c r="I28875" s="101"/>
    </row>
    <row r="28876" spans="9:9" x14ac:dyDescent="0.3">
      <c r="I28876" s="101"/>
    </row>
    <row r="28877" spans="9:9" x14ac:dyDescent="0.3">
      <c r="I28877" s="101"/>
    </row>
    <row r="28878" spans="9:9" x14ac:dyDescent="0.3">
      <c r="I28878" s="101"/>
    </row>
    <row r="28879" spans="9:9" x14ac:dyDescent="0.3">
      <c r="I28879" s="101"/>
    </row>
    <row r="28880" spans="9:9" x14ac:dyDescent="0.3">
      <c r="I28880" s="101"/>
    </row>
    <row r="28881" spans="9:9" x14ac:dyDescent="0.3">
      <c r="I28881" s="101"/>
    </row>
    <row r="28882" spans="9:9" x14ac:dyDescent="0.3">
      <c r="I28882" s="101"/>
    </row>
    <row r="28883" spans="9:9" x14ac:dyDescent="0.3">
      <c r="I28883" s="101"/>
    </row>
    <row r="28884" spans="9:9" x14ac:dyDescent="0.3">
      <c r="I28884" s="101"/>
    </row>
    <row r="28885" spans="9:9" x14ac:dyDescent="0.3">
      <c r="I28885" s="101"/>
    </row>
    <row r="28886" spans="9:9" x14ac:dyDescent="0.3">
      <c r="I28886" s="101"/>
    </row>
    <row r="28887" spans="9:9" x14ac:dyDescent="0.3">
      <c r="I28887" s="101"/>
    </row>
    <row r="28888" spans="9:9" x14ac:dyDescent="0.3">
      <c r="I28888" s="101"/>
    </row>
    <row r="28889" spans="9:9" x14ac:dyDescent="0.3">
      <c r="I28889" s="101"/>
    </row>
    <row r="28890" spans="9:9" x14ac:dyDescent="0.3">
      <c r="I28890" s="101"/>
    </row>
    <row r="28891" spans="9:9" x14ac:dyDescent="0.3">
      <c r="I28891" s="101"/>
    </row>
    <row r="28892" spans="9:9" x14ac:dyDescent="0.3">
      <c r="I28892" s="101"/>
    </row>
    <row r="28893" spans="9:9" x14ac:dyDescent="0.3">
      <c r="I28893" s="101"/>
    </row>
    <row r="28894" spans="9:9" x14ac:dyDescent="0.3">
      <c r="I28894" s="101"/>
    </row>
    <row r="28895" spans="9:9" x14ac:dyDescent="0.3">
      <c r="I28895" s="101"/>
    </row>
    <row r="28896" spans="9:9" x14ac:dyDescent="0.3">
      <c r="I28896" s="101"/>
    </row>
    <row r="28897" spans="9:9" x14ac:dyDescent="0.3">
      <c r="I28897" s="101"/>
    </row>
    <row r="28898" spans="9:9" x14ac:dyDescent="0.3">
      <c r="I28898" s="101"/>
    </row>
    <row r="28899" spans="9:9" x14ac:dyDescent="0.3">
      <c r="I28899" s="101"/>
    </row>
    <row r="28900" spans="9:9" x14ac:dyDescent="0.3">
      <c r="I28900" s="101"/>
    </row>
    <row r="28901" spans="9:9" x14ac:dyDescent="0.3">
      <c r="I28901" s="101"/>
    </row>
    <row r="28902" spans="9:9" x14ac:dyDescent="0.3">
      <c r="I28902" s="101"/>
    </row>
    <row r="28903" spans="9:9" x14ac:dyDescent="0.3">
      <c r="I28903" s="101"/>
    </row>
    <row r="28904" spans="9:9" x14ac:dyDescent="0.3">
      <c r="I28904" s="101"/>
    </row>
    <row r="28905" spans="9:9" x14ac:dyDescent="0.3">
      <c r="I28905" s="101"/>
    </row>
    <row r="28906" spans="9:9" x14ac:dyDescent="0.3">
      <c r="I28906" s="101"/>
    </row>
    <row r="28907" spans="9:9" x14ac:dyDescent="0.3">
      <c r="I28907" s="101"/>
    </row>
    <row r="28908" spans="9:9" x14ac:dyDescent="0.3">
      <c r="I28908" s="101"/>
    </row>
    <row r="28909" spans="9:9" x14ac:dyDescent="0.3">
      <c r="I28909" s="101"/>
    </row>
    <row r="28910" spans="9:9" x14ac:dyDescent="0.3">
      <c r="I28910" s="101"/>
    </row>
    <row r="28911" spans="9:9" x14ac:dyDescent="0.3">
      <c r="I28911" s="101"/>
    </row>
    <row r="28912" spans="9:9" x14ac:dyDescent="0.3">
      <c r="I28912" s="101"/>
    </row>
    <row r="28913" spans="9:9" x14ac:dyDescent="0.3">
      <c r="I28913" s="101"/>
    </row>
    <row r="28914" spans="9:9" x14ac:dyDescent="0.3">
      <c r="I28914" s="101"/>
    </row>
    <row r="28915" spans="9:9" x14ac:dyDescent="0.3">
      <c r="I28915" s="101"/>
    </row>
    <row r="28916" spans="9:9" x14ac:dyDescent="0.3">
      <c r="I28916" s="101"/>
    </row>
    <row r="28917" spans="9:9" x14ac:dyDescent="0.3">
      <c r="I28917" s="101"/>
    </row>
    <row r="28918" spans="9:9" x14ac:dyDescent="0.3">
      <c r="I28918" s="101"/>
    </row>
    <row r="28919" spans="9:9" x14ac:dyDescent="0.3">
      <c r="I28919" s="101"/>
    </row>
    <row r="28920" spans="9:9" x14ac:dyDescent="0.3">
      <c r="I28920" s="101"/>
    </row>
    <row r="28921" spans="9:9" x14ac:dyDescent="0.3">
      <c r="I28921" s="101"/>
    </row>
    <row r="28922" spans="9:9" x14ac:dyDescent="0.3">
      <c r="I28922" s="101"/>
    </row>
    <row r="28923" spans="9:9" x14ac:dyDescent="0.3">
      <c r="I28923" s="101"/>
    </row>
    <row r="28924" spans="9:9" x14ac:dyDescent="0.3">
      <c r="I28924" s="101"/>
    </row>
    <row r="28925" spans="9:9" x14ac:dyDescent="0.3">
      <c r="I28925" s="101"/>
    </row>
    <row r="28926" spans="9:9" x14ac:dyDescent="0.3">
      <c r="I28926" s="101"/>
    </row>
    <row r="28927" spans="9:9" x14ac:dyDescent="0.3">
      <c r="I28927" s="101"/>
    </row>
    <row r="28928" spans="9:9" x14ac:dyDescent="0.3">
      <c r="I28928" s="101"/>
    </row>
    <row r="28929" spans="9:9" x14ac:dyDescent="0.3">
      <c r="I28929" s="101"/>
    </row>
    <row r="28930" spans="9:9" x14ac:dyDescent="0.3">
      <c r="I28930" s="101"/>
    </row>
    <row r="28931" spans="9:9" x14ac:dyDescent="0.3">
      <c r="I28931" s="101"/>
    </row>
    <row r="28932" spans="9:9" x14ac:dyDescent="0.3">
      <c r="I28932" s="101"/>
    </row>
    <row r="28933" spans="9:9" x14ac:dyDescent="0.3">
      <c r="I28933" s="101"/>
    </row>
    <row r="28934" spans="9:9" x14ac:dyDescent="0.3">
      <c r="I28934" s="101"/>
    </row>
    <row r="28935" spans="9:9" x14ac:dyDescent="0.3">
      <c r="I28935" s="101"/>
    </row>
    <row r="28936" spans="9:9" x14ac:dyDescent="0.3">
      <c r="I28936" s="101"/>
    </row>
    <row r="28937" spans="9:9" x14ac:dyDescent="0.3">
      <c r="I28937" s="101"/>
    </row>
    <row r="28938" spans="9:9" x14ac:dyDescent="0.3">
      <c r="I28938" s="101"/>
    </row>
    <row r="28939" spans="9:9" x14ac:dyDescent="0.3">
      <c r="I28939" s="101"/>
    </row>
    <row r="28940" spans="9:9" x14ac:dyDescent="0.3">
      <c r="I28940" s="101"/>
    </row>
    <row r="28941" spans="9:9" x14ac:dyDescent="0.3">
      <c r="I28941" s="101"/>
    </row>
    <row r="28942" spans="9:9" x14ac:dyDescent="0.3">
      <c r="I28942" s="101"/>
    </row>
    <row r="28943" spans="9:9" x14ac:dyDescent="0.3">
      <c r="I28943" s="101"/>
    </row>
    <row r="28944" spans="9:9" x14ac:dyDescent="0.3">
      <c r="I28944" s="101"/>
    </row>
    <row r="28945" spans="9:9" x14ac:dyDescent="0.3">
      <c r="I28945" s="101"/>
    </row>
    <row r="28946" spans="9:9" x14ac:dyDescent="0.3">
      <c r="I28946" s="101"/>
    </row>
    <row r="28947" spans="9:9" x14ac:dyDescent="0.3">
      <c r="I28947" s="101"/>
    </row>
    <row r="28948" spans="9:9" x14ac:dyDescent="0.3">
      <c r="I28948" s="101"/>
    </row>
    <row r="28949" spans="9:9" x14ac:dyDescent="0.3">
      <c r="I28949" s="101"/>
    </row>
    <row r="28950" spans="9:9" x14ac:dyDescent="0.3">
      <c r="I28950" s="101"/>
    </row>
    <row r="28951" spans="9:9" x14ac:dyDescent="0.3">
      <c r="I28951" s="101"/>
    </row>
    <row r="28952" spans="9:9" x14ac:dyDescent="0.3">
      <c r="I28952" s="101"/>
    </row>
    <row r="28953" spans="9:9" x14ac:dyDescent="0.3">
      <c r="I28953" s="101"/>
    </row>
    <row r="28954" spans="9:9" x14ac:dyDescent="0.3">
      <c r="I28954" s="101"/>
    </row>
    <row r="28955" spans="9:9" x14ac:dyDescent="0.3">
      <c r="I28955" s="101"/>
    </row>
    <row r="28956" spans="9:9" x14ac:dyDescent="0.3">
      <c r="I28956" s="101"/>
    </row>
    <row r="28957" spans="9:9" x14ac:dyDescent="0.3">
      <c r="I28957" s="101"/>
    </row>
    <row r="28958" spans="9:9" x14ac:dyDescent="0.3">
      <c r="I28958" s="101"/>
    </row>
    <row r="28959" spans="9:9" x14ac:dyDescent="0.3">
      <c r="I28959" s="101"/>
    </row>
    <row r="28960" spans="9:9" x14ac:dyDescent="0.3">
      <c r="I28960" s="101"/>
    </row>
    <row r="28961" spans="9:9" x14ac:dyDescent="0.3">
      <c r="I28961" s="101"/>
    </row>
    <row r="28962" spans="9:9" x14ac:dyDescent="0.3">
      <c r="I28962" s="101"/>
    </row>
    <row r="28963" spans="9:9" x14ac:dyDescent="0.3">
      <c r="I28963" s="101"/>
    </row>
    <row r="28964" spans="9:9" x14ac:dyDescent="0.3">
      <c r="I28964" s="101"/>
    </row>
    <row r="28965" spans="9:9" x14ac:dyDescent="0.3">
      <c r="I28965" s="101"/>
    </row>
    <row r="28966" spans="9:9" x14ac:dyDescent="0.3">
      <c r="I28966" s="101"/>
    </row>
    <row r="28967" spans="9:9" x14ac:dyDescent="0.3">
      <c r="I28967" s="101"/>
    </row>
    <row r="28968" spans="9:9" x14ac:dyDescent="0.3">
      <c r="I28968" s="101"/>
    </row>
    <row r="28969" spans="9:9" x14ac:dyDescent="0.3">
      <c r="I28969" s="101"/>
    </row>
    <row r="28970" spans="9:9" x14ac:dyDescent="0.3">
      <c r="I28970" s="101"/>
    </row>
    <row r="28971" spans="9:9" x14ac:dyDescent="0.3">
      <c r="I28971" s="101"/>
    </row>
    <row r="28972" spans="9:9" x14ac:dyDescent="0.3">
      <c r="I28972" s="101"/>
    </row>
    <row r="28973" spans="9:9" x14ac:dyDescent="0.3">
      <c r="I28973" s="101"/>
    </row>
    <row r="28974" spans="9:9" x14ac:dyDescent="0.3">
      <c r="I28974" s="101"/>
    </row>
    <row r="28975" spans="9:9" x14ac:dyDescent="0.3">
      <c r="I28975" s="101"/>
    </row>
    <row r="28976" spans="9:9" x14ac:dyDescent="0.3">
      <c r="I28976" s="101"/>
    </row>
    <row r="28977" spans="9:9" x14ac:dyDescent="0.3">
      <c r="I28977" s="101"/>
    </row>
    <row r="28978" spans="9:9" x14ac:dyDescent="0.3">
      <c r="I28978" s="101"/>
    </row>
    <row r="28979" spans="9:9" x14ac:dyDescent="0.3">
      <c r="I28979" s="101"/>
    </row>
    <row r="28980" spans="9:9" x14ac:dyDescent="0.3">
      <c r="I28980" s="101"/>
    </row>
    <row r="28981" spans="9:9" x14ac:dyDescent="0.3">
      <c r="I28981" s="101"/>
    </row>
    <row r="28982" spans="9:9" x14ac:dyDescent="0.3">
      <c r="I28982" s="101"/>
    </row>
    <row r="28983" spans="9:9" x14ac:dyDescent="0.3">
      <c r="I28983" s="101"/>
    </row>
    <row r="28984" spans="9:9" x14ac:dyDescent="0.3">
      <c r="I28984" s="101"/>
    </row>
    <row r="28985" spans="9:9" x14ac:dyDescent="0.3">
      <c r="I28985" s="101"/>
    </row>
    <row r="28986" spans="9:9" x14ac:dyDescent="0.3">
      <c r="I28986" s="101"/>
    </row>
    <row r="28987" spans="9:9" x14ac:dyDescent="0.3">
      <c r="I28987" s="101"/>
    </row>
    <row r="28988" spans="9:9" x14ac:dyDescent="0.3">
      <c r="I28988" s="101"/>
    </row>
    <row r="28989" spans="9:9" x14ac:dyDescent="0.3">
      <c r="I28989" s="101"/>
    </row>
    <row r="28990" spans="9:9" x14ac:dyDescent="0.3">
      <c r="I28990" s="101"/>
    </row>
    <row r="28991" spans="9:9" x14ac:dyDescent="0.3">
      <c r="I28991" s="101"/>
    </row>
    <row r="28992" spans="9:9" x14ac:dyDescent="0.3">
      <c r="I28992" s="101"/>
    </row>
    <row r="28993" spans="9:9" x14ac:dyDescent="0.3">
      <c r="I28993" s="101"/>
    </row>
    <row r="28994" spans="9:9" x14ac:dyDescent="0.3">
      <c r="I28994" s="101"/>
    </row>
    <row r="28995" spans="9:9" x14ac:dyDescent="0.3">
      <c r="I28995" s="101"/>
    </row>
    <row r="28996" spans="9:9" x14ac:dyDescent="0.3">
      <c r="I28996" s="101"/>
    </row>
    <row r="28997" spans="9:9" x14ac:dyDescent="0.3">
      <c r="I28997" s="101"/>
    </row>
    <row r="28998" spans="9:9" x14ac:dyDescent="0.3">
      <c r="I28998" s="101"/>
    </row>
    <row r="28999" spans="9:9" x14ac:dyDescent="0.3">
      <c r="I28999" s="101"/>
    </row>
    <row r="29000" spans="9:9" x14ac:dyDescent="0.3">
      <c r="I29000" s="101"/>
    </row>
    <row r="29001" spans="9:9" x14ac:dyDescent="0.3">
      <c r="I29001" s="101"/>
    </row>
    <row r="29002" spans="9:9" x14ac:dyDescent="0.3">
      <c r="I29002" s="101"/>
    </row>
    <row r="29003" spans="9:9" x14ac:dyDescent="0.3">
      <c r="I29003" s="101"/>
    </row>
    <row r="29004" spans="9:9" x14ac:dyDescent="0.3">
      <c r="I29004" s="101"/>
    </row>
    <row r="29005" spans="9:9" x14ac:dyDescent="0.3">
      <c r="I29005" s="101"/>
    </row>
    <row r="29006" spans="9:9" x14ac:dyDescent="0.3">
      <c r="I29006" s="101"/>
    </row>
    <row r="29007" spans="9:9" x14ac:dyDescent="0.3">
      <c r="I29007" s="101"/>
    </row>
    <row r="29008" spans="9:9" x14ac:dyDescent="0.3">
      <c r="I29008" s="101"/>
    </row>
    <row r="29009" spans="9:9" x14ac:dyDescent="0.3">
      <c r="I29009" s="101"/>
    </row>
    <row r="29010" spans="9:9" x14ac:dyDescent="0.3">
      <c r="I29010" s="101"/>
    </row>
    <row r="29011" spans="9:9" x14ac:dyDescent="0.3">
      <c r="I29011" s="101"/>
    </row>
    <row r="29012" spans="9:9" x14ac:dyDescent="0.3">
      <c r="I29012" s="101"/>
    </row>
    <row r="29013" spans="9:9" x14ac:dyDescent="0.3">
      <c r="I29013" s="101"/>
    </row>
    <row r="29014" spans="9:9" x14ac:dyDescent="0.3">
      <c r="I29014" s="101"/>
    </row>
    <row r="29015" spans="9:9" x14ac:dyDescent="0.3">
      <c r="I29015" s="101"/>
    </row>
    <row r="29016" spans="9:9" x14ac:dyDescent="0.3">
      <c r="I29016" s="101"/>
    </row>
    <row r="29017" spans="9:9" x14ac:dyDescent="0.3">
      <c r="I29017" s="101"/>
    </row>
    <row r="29018" spans="9:9" x14ac:dyDescent="0.3">
      <c r="I29018" s="101"/>
    </row>
    <row r="29019" spans="9:9" x14ac:dyDescent="0.3">
      <c r="I29019" s="101"/>
    </row>
    <row r="29020" spans="9:9" x14ac:dyDescent="0.3">
      <c r="I29020" s="101"/>
    </row>
    <row r="29021" spans="9:9" x14ac:dyDescent="0.3">
      <c r="I29021" s="101"/>
    </row>
    <row r="29022" spans="9:9" x14ac:dyDescent="0.3">
      <c r="I29022" s="101"/>
    </row>
    <row r="29023" spans="9:9" x14ac:dyDescent="0.3">
      <c r="I29023" s="101"/>
    </row>
    <row r="29024" spans="9:9" x14ac:dyDescent="0.3">
      <c r="I29024" s="101"/>
    </row>
    <row r="29025" spans="9:9" x14ac:dyDescent="0.3">
      <c r="I29025" s="101"/>
    </row>
    <row r="29026" spans="9:9" x14ac:dyDescent="0.3">
      <c r="I29026" s="101"/>
    </row>
    <row r="29027" spans="9:9" x14ac:dyDescent="0.3">
      <c r="I29027" s="101"/>
    </row>
    <row r="29028" spans="9:9" x14ac:dyDescent="0.3">
      <c r="I29028" s="101"/>
    </row>
    <row r="29029" spans="9:9" x14ac:dyDescent="0.3">
      <c r="I29029" s="101"/>
    </row>
    <row r="29030" spans="9:9" x14ac:dyDescent="0.3">
      <c r="I29030" s="101"/>
    </row>
    <row r="29031" spans="9:9" x14ac:dyDescent="0.3">
      <c r="I29031" s="101"/>
    </row>
    <row r="29032" spans="9:9" x14ac:dyDescent="0.3">
      <c r="I29032" s="101"/>
    </row>
    <row r="29033" spans="9:9" x14ac:dyDescent="0.3">
      <c r="I29033" s="101"/>
    </row>
    <row r="29034" spans="9:9" x14ac:dyDescent="0.3">
      <c r="I29034" s="101"/>
    </row>
    <row r="29035" spans="9:9" x14ac:dyDescent="0.3">
      <c r="I29035" s="101"/>
    </row>
    <row r="29036" spans="9:9" x14ac:dyDescent="0.3">
      <c r="I29036" s="101"/>
    </row>
    <row r="29037" spans="9:9" x14ac:dyDescent="0.3">
      <c r="I29037" s="101"/>
    </row>
    <row r="29038" spans="9:9" x14ac:dyDescent="0.3">
      <c r="I29038" s="101"/>
    </row>
    <row r="29039" spans="9:9" x14ac:dyDescent="0.3">
      <c r="I29039" s="101"/>
    </row>
    <row r="29040" spans="9:9" x14ac:dyDescent="0.3">
      <c r="I29040" s="101"/>
    </row>
    <row r="29041" spans="9:9" x14ac:dyDescent="0.3">
      <c r="I29041" s="101"/>
    </row>
    <row r="29042" spans="9:9" x14ac:dyDescent="0.3">
      <c r="I29042" s="101"/>
    </row>
    <row r="29043" spans="9:9" x14ac:dyDescent="0.3">
      <c r="I29043" s="101"/>
    </row>
    <row r="29044" spans="9:9" x14ac:dyDescent="0.3">
      <c r="I29044" s="101"/>
    </row>
    <row r="29045" spans="9:9" x14ac:dyDescent="0.3">
      <c r="I29045" s="101"/>
    </row>
    <row r="29046" spans="9:9" x14ac:dyDescent="0.3">
      <c r="I29046" s="101"/>
    </row>
    <row r="29047" spans="9:9" x14ac:dyDescent="0.3">
      <c r="I29047" s="101"/>
    </row>
    <row r="29048" spans="9:9" x14ac:dyDescent="0.3">
      <c r="I29048" s="101"/>
    </row>
    <row r="29049" spans="9:9" x14ac:dyDescent="0.3">
      <c r="I29049" s="101"/>
    </row>
    <row r="29050" spans="9:9" x14ac:dyDescent="0.3">
      <c r="I29050" s="101"/>
    </row>
    <row r="29051" spans="9:9" x14ac:dyDescent="0.3">
      <c r="I29051" s="101"/>
    </row>
    <row r="29052" spans="9:9" x14ac:dyDescent="0.3">
      <c r="I29052" s="101"/>
    </row>
    <row r="29053" spans="9:9" x14ac:dyDescent="0.3">
      <c r="I29053" s="101"/>
    </row>
    <row r="29054" spans="9:9" x14ac:dyDescent="0.3">
      <c r="I29054" s="101"/>
    </row>
    <row r="29055" spans="9:9" x14ac:dyDescent="0.3">
      <c r="I29055" s="101"/>
    </row>
    <row r="29056" spans="9:9" x14ac:dyDescent="0.3">
      <c r="I29056" s="101"/>
    </row>
    <row r="29057" spans="9:9" x14ac:dyDescent="0.3">
      <c r="I29057" s="101"/>
    </row>
    <row r="29058" spans="9:9" x14ac:dyDescent="0.3">
      <c r="I29058" s="101"/>
    </row>
    <row r="29059" spans="9:9" x14ac:dyDescent="0.3">
      <c r="I29059" s="101"/>
    </row>
    <row r="29060" spans="9:9" x14ac:dyDescent="0.3">
      <c r="I29060" s="101"/>
    </row>
    <row r="29061" spans="9:9" x14ac:dyDescent="0.3">
      <c r="I29061" s="101"/>
    </row>
    <row r="29062" spans="9:9" x14ac:dyDescent="0.3">
      <c r="I29062" s="101"/>
    </row>
    <row r="29063" spans="9:9" x14ac:dyDescent="0.3">
      <c r="I29063" s="101"/>
    </row>
    <row r="29064" spans="9:9" x14ac:dyDescent="0.3">
      <c r="I29064" s="101"/>
    </row>
    <row r="29065" spans="9:9" x14ac:dyDescent="0.3">
      <c r="I29065" s="101"/>
    </row>
    <row r="29066" spans="9:9" x14ac:dyDescent="0.3">
      <c r="I29066" s="101"/>
    </row>
    <row r="29067" spans="9:9" x14ac:dyDescent="0.3">
      <c r="I29067" s="101"/>
    </row>
    <row r="29068" spans="9:9" x14ac:dyDescent="0.3">
      <c r="I29068" s="101"/>
    </row>
    <row r="29069" spans="9:9" x14ac:dyDescent="0.3">
      <c r="I29069" s="101"/>
    </row>
    <row r="29070" spans="9:9" x14ac:dyDescent="0.3">
      <c r="I29070" s="101"/>
    </row>
    <row r="29071" spans="9:9" x14ac:dyDescent="0.3">
      <c r="I29071" s="101"/>
    </row>
    <row r="29072" spans="9:9" x14ac:dyDescent="0.3">
      <c r="I29072" s="101"/>
    </row>
    <row r="29073" spans="9:9" x14ac:dyDescent="0.3">
      <c r="I29073" s="101"/>
    </row>
    <row r="29074" spans="9:9" x14ac:dyDescent="0.3">
      <c r="I29074" s="101"/>
    </row>
    <row r="29075" spans="9:9" x14ac:dyDescent="0.3">
      <c r="I29075" s="101"/>
    </row>
    <row r="29076" spans="9:9" x14ac:dyDescent="0.3">
      <c r="I29076" s="101"/>
    </row>
    <row r="29077" spans="9:9" x14ac:dyDescent="0.3">
      <c r="I29077" s="101"/>
    </row>
    <row r="29078" spans="9:9" x14ac:dyDescent="0.3">
      <c r="I29078" s="101"/>
    </row>
    <row r="29079" spans="9:9" x14ac:dyDescent="0.3">
      <c r="I29079" s="101"/>
    </row>
    <row r="29080" spans="9:9" x14ac:dyDescent="0.3">
      <c r="I29080" s="101"/>
    </row>
    <row r="29081" spans="9:9" x14ac:dyDescent="0.3">
      <c r="I29081" s="101"/>
    </row>
    <row r="29082" spans="9:9" x14ac:dyDescent="0.3">
      <c r="I29082" s="101"/>
    </row>
    <row r="29083" spans="9:9" x14ac:dyDescent="0.3">
      <c r="I29083" s="101"/>
    </row>
    <row r="29084" spans="9:9" x14ac:dyDescent="0.3">
      <c r="I29084" s="101"/>
    </row>
    <row r="29085" spans="9:9" x14ac:dyDescent="0.3">
      <c r="I29085" s="101"/>
    </row>
    <row r="29086" spans="9:9" x14ac:dyDescent="0.3">
      <c r="I29086" s="101"/>
    </row>
    <row r="29087" spans="9:9" x14ac:dyDescent="0.3">
      <c r="I29087" s="101"/>
    </row>
    <row r="29088" spans="9:9" x14ac:dyDescent="0.3">
      <c r="I29088" s="101"/>
    </row>
    <row r="29089" spans="9:9" x14ac:dyDescent="0.3">
      <c r="I29089" s="101"/>
    </row>
    <row r="29090" spans="9:9" x14ac:dyDescent="0.3">
      <c r="I29090" s="101"/>
    </row>
    <row r="29091" spans="9:9" x14ac:dyDescent="0.3">
      <c r="I29091" s="101"/>
    </row>
    <row r="29092" spans="9:9" x14ac:dyDescent="0.3">
      <c r="I29092" s="101"/>
    </row>
    <row r="29093" spans="9:9" x14ac:dyDescent="0.3">
      <c r="I29093" s="101"/>
    </row>
    <row r="29094" spans="9:9" x14ac:dyDescent="0.3">
      <c r="I29094" s="101"/>
    </row>
    <row r="29095" spans="9:9" x14ac:dyDescent="0.3">
      <c r="I29095" s="101"/>
    </row>
    <row r="29096" spans="9:9" x14ac:dyDescent="0.3">
      <c r="I29096" s="101"/>
    </row>
    <row r="29097" spans="9:9" x14ac:dyDescent="0.3">
      <c r="I29097" s="101"/>
    </row>
    <row r="29098" spans="9:9" x14ac:dyDescent="0.3">
      <c r="I29098" s="101"/>
    </row>
    <row r="29099" spans="9:9" x14ac:dyDescent="0.3">
      <c r="I29099" s="101"/>
    </row>
    <row r="29100" spans="9:9" x14ac:dyDescent="0.3">
      <c r="I29100" s="101"/>
    </row>
    <row r="29101" spans="9:9" x14ac:dyDescent="0.3">
      <c r="I29101" s="101"/>
    </row>
    <row r="29102" spans="9:9" x14ac:dyDescent="0.3">
      <c r="I29102" s="101"/>
    </row>
    <row r="29103" spans="9:9" x14ac:dyDescent="0.3">
      <c r="I29103" s="101"/>
    </row>
    <row r="29104" spans="9:9" x14ac:dyDescent="0.3">
      <c r="I29104" s="101"/>
    </row>
    <row r="29105" spans="9:9" x14ac:dyDescent="0.3">
      <c r="I29105" s="101"/>
    </row>
    <row r="29106" spans="9:9" x14ac:dyDescent="0.3">
      <c r="I29106" s="101"/>
    </row>
    <row r="29107" spans="9:9" x14ac:dyDescent="0.3">
      <c r="I29107" s="101"/>
    </row>
    <row r="29108" spans="9:9" x14ac:dyDescent="0.3">
      <c r="I29108" s="101"/>
    </row>
    <row r="29109" spans="9:9" x14ac:dyDescent="0.3">
      <c r="I29109" s="101"/>
    </row>
    <row r="29110" spans="9:9" x14ac:dyDescent="0.3">
      <c r="I29110" s="101"/>
    </row>
    <row r="29111" spans="9:9" x14ac:dyDescent="0.3">
      <c r="I29111" s="101"/>
    </row>
    <row r="29112" spans="9:9" x14ac:dyDescent="0.3">
      <c r="I29112" s="101"/>
    </row>
    <row r="29113" spans="9:9" x14ac:dyDescent="0.3">
      <c r="I29113" s="101"/>
    </row>
    <row r="29114" spans="9:9" x14ac:dyDescent="0.3">
      <c r="I29114" s="101"/>
    </row>
    <row r="29115" spans="9:9" x14ac:dyDescent="0.3">
      <c r="I29115" s="101"/>
    </row>
    <row r="29116" spans="9:9" x14ac:dyDescent="0.3">
      <c r="I29116" s="101"/>
    </row>
    <row r="29117" spans="9:9" x14ac:dyDescent="0.3">
      <c r="I29117" s="101"/>
    </row>
    <row r="29118" spans="9:9" x14ac:dyDescent="0.3">
      <c r="I29118" s="101"/>
    </row>
    <row r="29119" spans="9:9" x14ac:dyDescent="0.3">
      <c r="I29119" s="101"/>
    </row>
    <row r="29120" spans="9:9" x14ac:dyDescent="0.3">
      <c r="I29120" s="101"/>
    </row>
    <row r="29121" spans="9:9" x14ac:dyDescent="0.3">
      <c r="I29121" s="101"/>
    </row>
    <row r="29122" spans="9:9" x14ac:dyDescent="0.3">
      <c r="I29122" s="101"/>
    </row>
    <row r="29123" spans="9:9" x14ac:dyDescent="0.3">
      <c r="I29123" s="101"/>
    </row>
    <row r="29124" spans="9:9" x14ac:dyDescent="0.3">
      <c r="I29124" s="101"/>
    </row>
    <row r="29125" spans="9:9" x14ac:dyDescent="0.3">
      <c r="I29125" s="101"/>
    </row>
    <row r="29126" spans="9:9" x14ac:dyDescent="0.3">
      <c r="I29126" s="101"/>
    </row>
    <row r="29127" spans="9:9" x14ac:dyDescent="0.3">
      <c r="I29127" s="101"/>
    </row>
    <row r="29128" spans="9:9" x14ac:dyDescent="0.3">
      <c r="I29128" s="101"/>
    </row>
    <row r="29129" spans="9:9" x14ac:dyDescent="0.3">
      <c r="I29129" s="101"/>
    </row>
    <row r="29130" spans="9:9" x14ac:dyDescent="0.3">
      <c r="I29130" s="101"/>
    </row>
    <row r="29131" spans="9:9" x14ac:dyDescent="0.3">
      <c r="I29131" s="101"/>
    </row>
    <row r="29132" spans="9:9" x14ac:dyDescent="0.3">
      <c r="I29132" s="101"/>
    </row>
    <row r="29133" spans="9:9" x14ac:dyDescent="0.3">
      <c r="I29133" s="101"/>
    </row>
    <row r="29134" spans="9:9" x14ac:dyDescent="0.3">
      <c r="I29134" s="101"/>
    </row>
    <row r="29135" spans="9:9" x14ac:dyDescent="0.3">
      <c r="I29135" s="101"/>
    </row>
    <row r="29136" spans="9:9" x14ac:dyDescent="0.3">
      <c r="I29136" s="101"/>
    </row>
    <row r="29137" spans="9:9" x14ac:dyDescent="0.3">
      <c r="I29137" s="101"/>
    </row>
    <row r="29138" spans="9:9" x14ac:dyDescent="0.3">
      <c r="I29138" s="101"/>
    </row>
    <row r="29139" spans="9:9" x14ac:dyDescent="0.3">
      <c r="I29139" s="101"/>
    </row>
    <row r="29140" spans="9:9" x14ac:dyDescent="0.3">
      <c r="I29140" s="101"/>
    </row>
    <row r="29141" spans="9:9" x14ac:dyDescent="0.3">
      <c r="I29141" s="101"/>
    </row>
    <row r="29142" spans="9:9" x14ac:dyDescent="0.3">
      <c r="I29142" s="101"/>
    </row>
    <row r="29143" spans="9:9" x14ac:dyDescent="0.3">
      <c r="I29143" s="101"/>
    </row>
    <row r="29144" spans="9:9" x14ac:dyDescent="0.3">
      <c r="I29144" s="101"/>
    </row>
    <row r="29145" spans="9:9" x14ac:dyDescent="0.3">
      <c r="I29145" s="101"/>
    </row>
    <row r="29146" spans="9:9" x14ac:dyDescent="0.3">
      <c r="I29146" s="101"/>
    </row>
    <row r="29147" spans="9:9" x14ac:dyDescent="0.3">
      <c r="I29147" s="101"/>
    </row>
    <row r="29148" spans="9:9" x14ac:dyDescent="0.3">
      <c r="I29148" s="101"/>
    </row>
    <row r="29149" spans="9:9" x14ac:dyDescent="0.3">
      <c r="I29149" s="101"/>
    </row>
    <row r="29150" spans="9:9" x14ac:dyDescent="0.3">
      <c r="I29150" s="101"/>
    </row>
    <row r="29151" spans="9:9" x14ac:dyDescent="0.3">
      <c r="I29151" s="101"/>
    </row>
    <row r="29152" spans="9:9" x14ac:dyDescent="0.3">
      <c r="I29152" s="101"/>
    </row>
    <row r="29153" spans="9:9" x14ac:dyDescent="0.3">
      <c r="I29153" s="101"/>
    </row>
    <row r="29154" spans="9:9" x14ac:dyDescent="0.3">
      <c r="I29154" s="101"/>
    </row>
    <row r="29155" spans="9:9" x14ac:dyDescent="0.3">
      <c r="I29155" s="101"/>
    </row>
    <row r="29156" spans="9:9" x14ac:dyDescent="0.3">
      <c r="I29156" s="101"/>
    </row>
    <row r="29157" spans="9:9" x14ac:dyDescent="0.3">
      <c r="I29157" s="101"/>
    </row>
    <row r="29158" spans="9:9" x14ac:dyDescent="0.3">
      <c r="I29158" s="101"/>
    </row>
    <row r="29159" spans="9:9" x14ac:dyDescent="0.3">
      <c r="I29159" s="101"/>
    </row>
    <row r="29160" spans="9:9" x14ac:dyDescent="0.3">
      <c r="I29160" s="101"/>
    </row>
    <row r="29161" spans="9:9" x14ac:dyDescent="0.3">
      <c r="I29161" s="101"/>
    </row>
    <row r="29162" spans="9:9" x14ac:dyDescent="0.3">
      <c r="I29162" s="101"/>
    </row>
    <row r="29163" spans="9:9" x14ac:dyDescent="0.3">
      <c r="I29163" s="101"/>
    </row>
    <row r="29164" spans="9:9" x14ac:dyDescent="0.3">
      <c r="I29164" s="101"/>
    </row>
    <row r="29165" spans="9:9" x14ac:dyDescent="0.3">
      <c r="I29165" s="101"/>
    </row>
    <row r="29166" spans="9:9" x14ac:dyDescent="0.3">
      <c r="I29166" s="101"/>
    </row>
    <row r="29167" spans="9:9" x14ac:dyDescent="0.3">
      <c r="I29167" s="101"/>
    </row>
    <row r="29168" spans="9:9" x14ac:dyDescent="0.3">
      <c r="I29168" s="101"/>
    </row>
    <row r="29169" spans="9:9" x14ac:dyDescent="0.3">
      <c r="I29169" s="101"/>
    </row>
    <row r="29170" spans="9:9" x14ac:dyDescent="0.3">
      <c r="I29170" s="101"/>
    </row>
    <row r="29171" spans="9:9" x14ac:dyDescent="0.3">
      <c r="I29171" s="101"/>
    </row>
    <row r="29172" spans="9:9" x14ac:dyDescent="0.3">
      <c r="I29172" s="101"/>
    </row>
    <row r="29173" spans="9:9" x14ac:dyDescent="0.3">
      <c r="I29173" s="101"/>
    </row>
    <row r="29174" spans="9:9" x14ac:dyDescent="0.3">
      <c r="I29174" s="101"/>
    </row>
    <row r="29175" spans="9:9" x14ac:dyDescent="0.3">
      <c r="I29175" s="101"/>
    </row>
    <row r="29176" spans="9:9" x14ac:dyDescent="0.3">
      <c r="I29176" s="101"/>
    </row>
    <row r="29177" spans="9:9" x14ac:dyDescent="0.3">
      <c r="I29177" s="101"/>
    </row>
    <row r="29178" spans="9:9" x14ac:dyDescent="0.3">
      <c r="I29178" s="101"/>
    </row>
    <row r="29179" spans="9:9" x14ac:dyDescent="0.3">
      <c r="I29179" s="101"/>
    </row>
    <row r="29180" spans="9:9" x14ac:dyDescent="0.3">
      <c r="I29180" s="101"/>
    </row>
    <row r="29181" spans="9:9" x14ac:dyDescent="0.3">
      <c r="I29181" s="101"/>
    </row>
    <row r="29182" spans="9:9" x14ac:dyDescent="0.3">
      <c r="I29182" s="101"/>
    </row>
    <row r="29183" spans="9:9" x14ac:dyDescent="0.3">
      <c r="I29183" s="101"/>
    </row>
    <row r="29184" spans="9:9" x14ac:dyDescent="0.3">
      <c r="I29184" s="101"/>
    </row>
    <row r="29185" spans="9:9" x14ac:dyDescent="0.3">
      <c r="I29185" s="101"/>
    </row>
    <row r="29186" spans="9:9" x14ac:dyDescent="0.3">
      <c r="I29186" s="101"/>
    </row>
    <row r="29187" spans="9:9" x14ac:dyDescent="0.3">
      <c r="I29187" s="101"/>
    </row>
    <row r="29188" spans="9:9" x14ac:dyDescent="0.3">
      <c r="I29188" s="101"/>
    </row>
    <row r="29189" spans="9:9" x14ac:dyDescent="0.3">
      <c r="I29189" s="101"/>
    </row>
    <row r="29190" spans="9:9" x14ac:dyDescent="0.3">
      <c r="I29190" s="101"/>
    </row>
    <row r="29191" spans="9:9" x14ac:dyDescent="0.3">
      <c r="I29191" s="101"/>
    </row>
    <row r="29192" spans="9:9" x14ac:dyDescent="0.3">
      <c r="I29192" s="101"/>
    </row>
    <row r="29193" spans="9:9" x14ac:dyDescent="0.3">
      <c r="I29193" s="101"/>
    </row>
    <row r="29194" spans="9:9" x14ac:dyDescent="0.3">
      <c r="I29194" s="101"/>
    </row>
    <row r="29195" spans="9:9" x14ac:dyDescent="0.3">
      <c r="I29195" s="101"/>
    </row>
    <row r="29196" spans="9:9" x14ac:dyDescent="0.3">
      <c r="I29196" s="101"/>
    </row>
    <row r="29197" spans="9:9" x14ac:dyDescent="0.3">
      <c r="I29197" s="101"/>
    </row>
    <row r="29198" spans="9:9" x14ac:dyDescent="0.3">
      <c r="I29198" s="101"/>
    </row>
    <row r="29199" spans="9:9" x14ac:dyDescent="0.3">
      <c r="I29199" s="101"/>
    </row>
    <row r="29200" spans="9:9" x14ac:dyDescent="0.3">
      <c r="I29200" s="101"/>
    </row>
    <row r="29201" spans="9:9" x14ac:dyDescent="0.3">
      <c r="I29201" s="101"/>
    </row>
    <row r="29202" spans="9:9" x14ac:dyDescent="0.3">
      <c r="I29202" s="101"/>
    </row>
    <row r="29203" spans="9:9" x14ac:dyDescent="0.3">
      <c r="I29203" s="101"/>
    </row>
    <row r="29204" spans="9:9" x14ac:dyDescent="0.3">
      <c r="I29204" s="101"/>
    </row>
    <row r="29205" spans="9:9" x14ac:dyDescent="0.3">
      <c r="I29205" s="101"/>
    </row>
    <row r="29206" spans="9:9" x14ac:dyDescent="0.3">
      <c r="I29206" s="101"/>
    </row>
    <row r="29207" spans="9:9" x14ac:dyDescent="0.3">
      <c r="I29207" s="101"/>
    </row>
    <row r="29208" spans="9:9" x14ac:dyDescent="0.3">
      <c r="I29208" s="101"/>
    </row>
    <row r="29209" spans="9:9" x14ac:dyDescent="0.3">
      <c r="I29209" s="101"/>
    </row>
    <row r="29210" spans="9:9" x14ac:dyDescent="0.3">
      <c r="I29210" s="101"/>
    </row>
    <row r="29211" spans="9:9" x14ac:dyDescent="0.3">
      <c r="I29211" s="101"/>
    </row>
    <row r="29212" spans="9:9" x14ac:dyDescent="0.3">
      <c r="I29212" s="101"/>
    </row>
    <row r="29213" spans="9:9" x14ac:dyDescent="0.3">
      <c r="I29213" s="101"/>
    </row>
    <row r="29214" spans="9:9" x14ac:dyDescent="0.3">
      <c r="I29214" s="101"/>
    </row>
    <row r="29215" spans="9:9" x14ac:dyDescent="0.3">
      <c r="I29215" s="101"/>
    </row>
    <row r="29216" spans="9:9" x14ac:dyDescent="0.3">
      <c r="I29216" s="101"/>
    </row>
    <row r="29217" spans="9:9" x14ac:dyDescent="0.3">
      <c r="I29217" s="101"/>
    </row>
    <row r="29218" spans="9:9" x14ac:dyDescent="0.3">
      <c r="I29218" s="101"/>
    </row>
    <row r="29219" spans="9:9" x14ac:dyDescent="0.3">
      <c r="I29219" s="101"/>
    </row>
    <row r="29220" spans="9:9" x14ac:dyDescent="0.3">
      <c r="I29220" s="101"/>
    </row>
    <row r="29221" spans="9:9" x14ac:dyDescent="0.3">
      <c r="I29221" s="101"/>
    </row>
    <row r="29222" spans="9:9" x14ac:dyDescent="0.3">
      <c r="I29222" s="101"/>
    </row>
    <row r="29223" spans="9:9" x14ac:dyDescent="0.3">
      <c r="I29223" s="101"/>
    </row>
    <row r="29224" spans="9:9" x14ac:dyDescent="0.3">
      <c r="I29224" s="101"/>
    </row>
    <row r="29225" spans="9:9" x14ac:dyDescent="0.3">
      <c r="I29225" s="101"/>
    </row>
    <row r="29226" spans="9:9" x14ac:dyDescent="0.3">
      <c r="I29226" s="101"/>
    </row>
    <row r="29227" spans="9:9" x14ac:dyDescent="0.3">
      <c r="I29227" s="101"/>
    </row>
    <row r="29228" spans="9:9" x14ac:dyDescent="0.3">
      <c r="I29228" s="101"/>
    </row>
    <row r="29229" spans="9:9" x14ac:dyDescent="0.3">
      <c r="I29229" s="101"/>
    </row>
    <row r="29230" spans="9:9" x14ac:dyDescent="0.3">
      <c r="I29230" s="101"/>
    </row>
    <row r="29231" spans="9:9" x14ac:dyDescent="0.3">
      <c r="I29231" s="101"/>
    </row>
    <row r="29232" spans="9:9" x14ac:dyDescent="0.3">
      <c r="I29232" s="101"/>
    </row>
    <row r="29233" spans="9:9" x14ac:dyDescent="0.3">
      <c r="I29233" s="101"/>
    </row>
    <row r="29234" spans="9:9" x14ac:dyDescent="0.3">
      <c r="I29234" s="101"/>
    </row>
    <row r="29235" spans="9:9" x14ac:dyDescent="0.3">
      <c r="I29235" s="101"/>
    </row>
    <row r="29236" spans="9:9" x14ac:dyDescent="0.3">
      <c r="I29236" s="101"/>
    </row>
    <row r="29237" spans="9:9" x14ac:dyDescent="0.3">
      <c r="I29237" s="101"/>
    </row>
    <row r="29238" spans="9:9" x14ac:dyDescent="0.3">
      <c r="I29238" s="101"/>
    </row>
    <row r="29239" spans="9:9" x14ac:dyDescent="0.3">
      <c r="I29239" s="101"/>
    </row>
    <row r="29240" spans="9:9" x14ac:dyDescent="0.3">
      <c r="I29240" s="101"/>
    </row>
    <row r="29241" spans="9:9" x14ac:dyDescent="0.3">
      <c r="I29241" s="101"/>
    </row>
    <row r="29242" spans="9:9" x14ac:dyDescent="0.3">
      <c r="I29242" s="101"/>
    </row>
    <row r="29243" spans="9:9" x14ac:dyDescent="0.3">
      <c r="I29243" s="101"/>
    </row>
    <row r="29244" spans="9:9" x14ac:dyDescent="0.3">
      <c r="I29244" s="101"/>
    </row>
    <row r="29245" spans="9:9" x14ac:dyDescent="0.3">
      <c r="I29245" s="101"/>
    </row>
    <row r="29246" spans="9:9" x14ac:dyDescent="0.3">
      <c r="I29246" s="101"/>
    </row>
    <row r="29247" spans="9:9" x14ac:dyDescent="0.3">
      <c r="I29247" s="101"/>
    </row>
    <row r="29248" spans="9:9" x14ac:dyDescent="0.3">
      <c r="I29248" s="101"/>
    </row>
    <row r="29249" spans="9:9" x14ac:dyDescent="0.3">
      <c r="I29249" s="101"/>
    </row>
    <row r="29250" spans="9:9" x14ac:dyDescent="0.3">
      <c r="I29250" s="101"/>
    </row>
    <row r="29251" spans="9:9" x14ac:dyDescent="0.3">
      <c r="I29251" s="101"/>
    </row>
    <row r="29252" spans="9:9" x14ac:dyDescent="0.3">
      <c r="I29252" s="101"/>
    </row>
    <row r="29253" spans="9:9" x14ac:dyDescent="0.3">
      <c r="I29253" s="101"/>
    </row>
    <row r="29254" spans="9:9" x14ac:dyDescent="0.3">
      <c r="I29254" s="101"/>
    </row>
    <row r="29255" spans="9:9" x14ac:dyDescent="0.3">
      <c r="I29255" s="101"/>
    </row>
    <row r="29256" spans="9:9" x14ac:dyDescent="0.3">
      <c r="I29256" s="101"/>
    </row>
    <row r="29257" spans="9:9" x14ac:dyDescent="0.3">
      <c r="I29257" s="101"/>
    </row>
    <row r="29258" spans="9:9" x14ac:dyDescent="0.3">
      <c r="I29258" s="101"/>
    </row>
    <row r="29259" spans="9:9" x14ac:dyDescent="0.3">
      <c r="I29259" s="101"/>
    </row>
    <row r="29260" spans="9:9" x14ac:dyDescent="0.3">
      <c r="I29260" s="101"/>
    </row>
    <row r="29261" spans="9:9" x14ac:dyDescent="0.3">
      <c r="I29261" s="101"/>
    </row>
    <row r="29262" spans="9:9" x14ac:dyDescent="0.3">
      <c r="I29262" s="101"/>
    </row>
    <row r="29263" spans="9:9" x14ac:dyDescent="0.3">
      <c r="I29263" s="101"/>
    </row>
    <row r="29264" spans="9:9" x14ac:dyDescent="0.3">
      <c r="I29264" s="101"/>
    </row>
    <row r="29265" spans="9:9" x14ac:dyDescent="0.3">
      <c r="I29265" s="101"/>
    </row>
    <row r="29266" spans="9:9" x14ac:dyDescent="0.3">
      <c r="I29266" s="101"/>
    </row>
    <row r="29267" spans="9:9" x14ac:dyDescent="0.3">
      <c r="I29267" s="101"/>
    </row>
    <row r="29268" spans="9:9" x14ac:dyDescent="0.3">
      <c r="I29268" s="101"/>
    </row>
    <row r="29269" spans="9:9" x14ac:dyDescent="0.3">
      <c r="I29269" s="101"/>
    </row>
    <row r="29270" spans="9:9" x14ac:dyDescent="0.3">
      <c r="I29270" s="101"/>
    </row>
    <row r="29271" spans="9:9" x14ac:dyDescent="0.3">
      <c r="I29271" s="101"/>
    </row>
    <row r="29272" spans="9:9" x14ac:dyDescent="0.3">
      <c r="I29272" s="101"/>
    </row>
    <row r="29273" spans="9:9" x14ac:dyDescent="0.3">
      <c r="I29273" s="101"/>
    </row>
    <row r="29274" spans="9:9" x14ac:dyDescent="0.3">
      <c r="I29274" s="101"/>
    </row>
    <row r="29275" spans="9:9" x14ac:dyDescent="0.3">
      <c r="I29275" s="101"/>
    </row>
    <row r="29276" spans="9:9" x14ac:dyDescent="0.3">
      <c r="I29276" s="101"/>
    </row>
    <row r="29277" spans="9:9" x14ac:dyDescent="0.3">
      <c r="I29277" s="101"/>
    </row>
    <row r="29278" spans="9:9" x14ac:dyDescent="0.3">
      <c r="I29278" s="101"/>
    </row>
    <row r="29279" spans="9:9" x14ac:dyDescent="0.3">
      <c r="I29279" s="101"/>
    </row>
    <row r="29280" spans="9:9" x14ac:dyDescent="0.3">
      <c r="I29280" s="101"/>
    </row>
    <row r="29281" spans="9:9" x14ac:dyDescent="0.3">
      <c r="I29281" s="101"/>
    </row>
    <row r="29282" spans="9:9" x14ac:dyDescent="0.3">
      <c r="I29282" s="101"/>
    </row>
    <row r="29283" spans="9:9" x14ac:dyDescent="0.3">
      <c r="I29283" s="101"/>
    </row>
    <row r="29284" spans="9:9" x14ac:dyDescent="0.3">
      <c r="I29284" s="101"/>
    </row>
    <row r="29285" spans="9:9" x14ac:dyDescent="0.3">
      <c r="I29285" s="101"/>
    </row>
    <row r="29286" spans="9:9" x14ac:dyDescent="0.3">
      <c r="I29286" s="101"/>
    </row>
    <row r="29287" spans="9:9" x14ac:dyDescent="0.3">
      <c r="I29287" s="101"/>
    </row>
    <row r="29288" spans="9:9" x14ac:dyDescent="0.3">
      <c r="I29288" s="101"/>
    </row>
    <row r="29289" spans="9:9" x14ac:dyDescent="0.3">
      <c r="I29289" s="101"/>
    </row>
    <row r="29290" spans="9:9" x14ac:dyDescent="0.3">
      <c r="I29290" s="101"/>
    </row>
    <row r="29291" spans="9:9" x14ac:dyDescent="0.3">
      <c r="I29291" s="101"/>
    </row>
    <row r="29292" spans="9:9" x14ac:dyDescent="0.3">
      <c r="I29292" s="101"/>
    </row>
    <row r="29293" spans="9:9" x14ac:dyDescent="0.3">
      <c r="I29293" s="101"/>
    </row>
    <row r="29294" spans="9:9" x14ac:dyDescent="0.3">
      <c r="I29294" s="101"/>
    </row>
    <row r="29295" spans="9:9" x14ac:dyDescent="0.3">
      <c r="I29295" s="101"/>
    </row>
    <row r="29296" spans="9:9" x14ac:dyDescent="0.3">
      <c r="I29296" s="101"/>
    </row>
    <row r="29297" spans="9:9" x14ac:dyDescent="0.3">
      <c r="I29297" s="101"/>
    </row>
    <row r="29298" spans="9:9" x14ac:dyDescent="0.3">
      <c r="I29298" s="101"/>
    </row>
    <row r="29299" spans="9:9" x14ac:dyDescent="0.3">
      <c r="I29299" s="101"/>
    </row>
    <row r="29300" spans="9:9" x14ac:dyDescent="0.3">
      <c r="I29300" s="101"/>
    </row>
    <row r="29301" spans="9:9" x14ac:dyDescent="0.3">
      <c r="I29301" s="101"/>
    </row>
    <row r="29302" spans="9:9" x14ac:dyDescent="0.3">
      <c r="I29302" s="101"/>
    </row>
    <row r="29303" spans="9:9" x14ac:dyDescent="0.3">
      <c r="I29303" s="101"/>
    </row>
    <row r="29304" spans="9:9" x14ac:dyDescent="0.3">
      <c r="I29304" s="101"/>
    </row>
    <row r="29305" spans="9:9" x14ac:dyDescent="0.3">
      <c r="I29305" s="101"/>
    </row>
    <row r="29306" spans="9:9" x14ac:dyDescent="0.3">
      <c r="I29306" s="101"/>
    </row>
    <row r="29307" spans="9:9" x14ac:dyDescent="0.3">
      <c r="I29307" s="101"/>
    </row>
    <row r="29308" spans="9:9" x14ac:dyDescent="0.3">
      <c r="I29308" s="101"/>
    </row>
    <row r="29309" spans="9:9" x14ac:dyDescent="0.3">
      <c r="I29309" s="101"/>
    </row>
    <row r="29310" spans="9:9" x14ac:dyDescent="0.3">
      <c r="I29310" s="101"/>
    </row>
    <row r="29311" spans="9:9" x14ac:dyDescent="0.3">
      <c r="I29311" s="101"/>
    </row>
    <row r="29312" spans="9:9" x14ac:dyDescent="0.3">
      <c r="I29312" s="101"/>
    </row>
    <row r="29313" spans="9:9" x14ac:dyDescent="0.3">
      <c r="I29313" s="101"/>
    </row>
    <row r="29314" spans="9:9" x14ac:dyDescent="0.3">
      <c r="I29314" s="101"/>
    </row>
    <row r="29315" spans="9:9" x14ac:dyDescent="0.3">
      <c r="I29315" s="101"/>
    </row>
    <row r="29316" spans="9:9" x14ac:dyDescent="0.3">
      <c r="I29316" s="101"/>
    </row>
    <row r="29317" spans="9:9" x14ac:dyDescent="0.3">
      <c r="I29317" s="101"/>
    </row>
    <row r="29318" spans="9:9" x14ac:dyDescent="0.3">
      <c r="I29318" s="101"/>
    </row>
    <row r="29319" spans="9:9" x14ac:dyDescent="0.3">
      <c r="I29319" s="101"/>
    </row>
    <row r="29320" spans="9:9" x14ac:dyDescent="0.3">
      <c r="I29320" s="101"/>
    </row>
    <row r="29321" spans="9:9" x14ac:dyDescent="0.3">
      <c r="I29321" s="101"/>
    </row>
    <row r="29322" spans="9:9" x14ac:dyDescent="0.3">
      <c r="I29322" s="101"/>
    </row>
    <row r="29323" spans="9:9" x14ac:dyDescent="0.3">
      <c r="I29323" s="101"/>
    </row>
    <row r="29324" spans="9:9" x14ac:dyDescent="0.3">
      <c r="I29324" s="101"/>
    </row>
    <row r="29325" spans="9:9" x14ac:dyDescent="0.3">
      <c r="I29325" s="101"/>
    </row>
    <row r="29326" spans="9:9" x14ac:dyDescent="0.3">
      <c r="I29326" s="101"/>
    </row>
    <row r="29327" spans="9:9" x14ac:dyDescent="0.3">
      <c r="I29327" s="101"/>
    </row>
    <row r="29328" spans="9:9" x14ac:dyDescent="0.3">
      <c r="I29328" s="101"/>
    </row>
    <row r="29329" spans="9:9" x14ac:dyDescent="0.3">
      <c r="I29329" s="101"/>
    </row>
    <row r="29330" spans="9:9" x14ac:dyDescent="0.3">
      <c r="I29330" s="101"/>
    </row>
    <row r="29331" spans="9:9" x14ac:dyDescent="0.3">
      <c r="I29331" s="101"/>
    </row>
    <row r="29332" spans="9:9" x14ac:dyDescent="0.3">
      <c r="I29332" s="101"/>
    </row>
    <row r="29333" spans="9:9" x14ac:dyDescent="0.3">
      <c r="I29333" s="101"/>
    </row>
    <row r="29334" spans="9:9" x14ac:dyDescent="0.3">
      <c r="I29334" s="101"/>
    </row>
    <row r="29335" spans="9:9" x14ac:dyDescent="0.3">
      <c r="I29335" s="101"/>
    </row>
    <row r="29336" spans="9:9" x14ac:dyDescent="0.3">
      <c r="I29336" s="101"/>
    </row>
    <row r="29337" spans="9:9" x14ac:dyDescent="0.3">
      <c r="I29337" s="101"/>
    </row>
    <row r="29338" spans="9:9" x14ac:dyDescent="0.3">
      <c r="I29338" s="101"/>
    </row>
    <row r="29339" spans="9:9" x14ac:dyDescent="0.3">
      <c r="I29339" s="101"/>
    </row>
    <row r="29340" spans="9:9" x14ac:dyDescent="0.3">
      <c r="I29340" s="101"/>
    </row>
    <row r="29341" spans="9:9" x14ac:dyDescent="0.3">
      <c r="I29341" s="101"/>
    </row>
    <row r="29342" spans="9:9" x14ac:dyDescent="0.3">
      <c r="I29342" s="101"/>
    </row>
    <row r="29343" spans="9:9" x14ac:dyDescent="0.3">
      <c r="I29343" s="101"/>
    </row>
    <row r="29344" spans="9:9" x14ac:dyDescent="0.3">
      <c r="I29344" s="101"/>
    </row>
    <row r="29345" spans="9:9" x14ac:dyDescent="0.3">
      <c r="I29345" s="101"/>
    </row>
    <row r="29346" spans="9:9" x14ac:dyDescent="0.3">
      <c r="I29346" s="101"/>
    </row>
    <row r="29347" spans="9:9" x14ac:dyDescent="0.3">
      <c r="I29347" s="101"/>
    </row>
    <row r="29348" spans="9:9" x14ac:dyDescent="0.3">
      <c r="I29348" s="101"/>
    </row>
    <row r="29349" spans="9:9" x14ac:dyDescent="0.3">
      <c r="I29349" s="101"/>
    </row>
    <row r="29350" spans="9:9" x14ac:dyDescent="0.3">
      <c r="I29350" s="101"/>
    </row>
    <row r="29351" spans="9:9" x14ac:dyDescent="0.3">
      <c r="I29351" s="101"/>
    </row>
    <row r="29352" spans="9:9" x14ac:dyDescent="0.3">
      <c r="I29352" s="101"/>
    </row>
    <row r="29353" spans="9:9" x14ac:dyDescent="0.3">
      <c r="I29353" s="101"/>
    </row>
    <row r="29354" spans="9:9" x14ac:dyDescent="0.3">
      <c r="I29354" s="101"/>
    </row>
    <row r="29355" spans="9:9" x14ac:dyDescent="0.3">
      <c r="I29355" s="101"/>
    </row>
    <row r="29356" spans="9:9" x14ac:dyDescent="0.3">
      <c r="I29356" s="101"/>
    </row>
    <row r="29357" spans="9:9" x14ac:dyDescent="0.3">
      <c r="I29357" s="101"/>
    </row>
    <row r="29358" spans="9:9" x14ac:dyDescent="0.3">
      <c r="I29358" s="101"/>
    </row>
    <row r="29359" spans="9:9" x14ac:dyDescent="0.3">
      <c r="I29359" s="101"/>
    </row>
    <row r="29360" spans="9:9" x14ac:dyDescent="0.3">
      <c r="I29360" s="101"/>
    </row>
    <row r="29361" spans="9:9" x14ac:dyDescent="0.3">
      <c r="I29361" s="101"/>
    </row>
    <row r="29362" spans="9:9" x14ac:dyDescent="0.3">
      <c r="I29362" s="101"/>
    </row>
    <row r="29363" spans="9:9" x14ac:dyDescent="0.3">
      <c r="I29363" s="101"/>
    </row>
    <row r="29364" spans="9:9" x14ac:dyDescent="0.3">
      <c r="I29364" s="101"/>
    </row>
    <row r="29365" spans="9:9" x14ac:dyDescent="0.3">
      <c r="I29365" s="101"/>
    </row>
    <row r="29366" spans="9:9" x14ac:dyDescent="0.3">
      <c r="I29366" s="101"/>
    </row>
    <row r="29367" spans="9:9" x14ac:dyDescent="0.3">
      <c r="I29367" s="101"/>
    </row>
    <row r="29368" spans="9:9" x14ac:dyDescent="0.3">
      <c r="I29368" s="101"/>
    </row>
    <row r="29369" spans="9:9" x14ac:dyDescent="0.3">
      <c r="I29369" s="101"/>
    </row>
    <row r="29370" spans="9:9" x14ac:dyDescent="0.3">
      <c r="I29370" s="101"/>
    </row>
    <row r="29371" spans="9:9" x14ac:dyDescent="0.3">
      <c r="I29371" s="101"/>
    </row>
    <row r="29372" spans="9:9" x14ac:dyDescent="0.3">
      <c r="I29372" s="101"/>
    </row>
    <row r="29373" spans="9:9" x14ac:dyDescent="0.3">
      <c r="I29373" s="101"/>
    </row>
    <row r="29374" spans="9:9" x14ac:dyDescent="0.3">
      <c r="I29374" s="101"/>
    </row>
    <row r="29375" spans="9:9" x14ac:dyDescent="0.3">
      <c r="I29375" s="101"/>
    </row>
    <row r="29376" spans="9:9" x14ac:dyDescent="0.3">
      <c r="I29376" s="101"/>
    </row>
    <row r="29377" spans="9:9" x14ac:dyDescent="0.3">
      <c r="I29377" s="101"/>
    </row>
    <row r="29378" spans="9:9" x14ac:dyDescent="0.3">
      <c r="I29378" s="101"/>
    </row>
    <row r="29379" spans="9:9" x14ac:dyDescent="0.3">
      <c r="I29379" s="101"/>
    </row>
    <row r="29380" spans="9:9" x14ac:dyDescent="0.3">
      <c r="I29380" s="101"/>
    </row>
    <row r="29381" spans="9:9" x14ac:dyDescent="0.3">
      <c r="I29381" s="101"/>
    </row>
    <row r="29382" spans="9:9" x14ac:dyDescent="0.3">
      <c r="I29382" s="101"/>
    </row>
    <row r="29383" spans="9:9" x14ac:dyDescent="0.3">
      <c r="I29383" s="101"/>
    </row>
    <row r="29384" spans="9:9" x14ac:dyDescent="0.3">
      <c r="I29384" s="101"/>
    </row>
    <row r="29385" spans="9:9" x14ac:dyDescent="0.3">
      <c r="I29385" s="101"/>
    </row>
    <row r="29386" spans="9:9" x14ac:dyDescent="0.3">
      <c r="I29386" s="101"/>
    </row>
    <row r="29387" spans="9:9" x14ac:dyDescent="0.3">
      <c r="I29387" s="101"/>
    </row>
    <row r="29388" spans="9:9" x14ac:dyDescent="0.3">
      <c r="I29388" s="101"/>
    </row>
    <row r="29389" spans="9:9" x14ac:dyDescent="0.3">
      <c r="I29389" s="101"/>
    </row>
    <row r="29390" spans="9:9" x14ac:dyDescent="0.3">
      <c r="I29390" s="101"/>
    </row>
    <row r="29391" spans="9:9" x14ac:dyDescent="0.3">
      <c r="I29391" s="101"/>
    </row>
    <row r="29392" spans="9:9" x14ac:dyDescent="0.3">
      <c r="I29392" s="101"/>
    </row>
    <row r="29393" spans="9:9" x14ac:dyDescent="0.3">
      <c r="I29393" s="101"/>
    </row>
    <row r="29394" spans="9:9" x14ac:dyDescent="0.3">
      <c r="I29394" s="101"/>
    </row>
    <row r="29395" spans="9:9" x14ac:dyDescent="0.3">
      <c r="I29395" s="101"/>
    </row>
    <row r="29396" spans="9:9" x14ac:dyDescent="0.3">
      <c r="I29396" s="101"/>
    </row>
    <row r="29397" spans="9:9" x14ac:dyDescent="0.3">
      <c r="I29397" s="101"/>
    </row>
    <row r="29398" spans="9:9" x14ac:dyDescent="0.3">
      <c r="I29398" s="101"/>
    </row>
    <row r="29399" spans="9:9" x14ac:dyDescent="0.3">
      <c r="I29399" s="101"/>
    </row>
    <row r="29400" spans="9:9" x14ac:dyDescent="0.3">
      <c r="I29400" s="101"/>
    </row>
    <row r="29401" spans="9:9" x14ac:dyDescent="0.3">
      <c r="I29401" s="101"/>
    </row>
    <row r="29402" spans="9:9" x14ac:dyDescent="0.3">
      <c r="I29402" s="101"/>
    </row>
    <row r="29403" spans="9:9" x14ac:dyDescent="0.3">
      <c r="I29403" s="101"/>
    </row>
    <row r="29404" spans="9:9" x14ac:dyDescent="0.3">
      <c r="I29404" s="101"/>
    </row>
    <row r="29405" spans="9:9" x14ac:dyDescent="0.3">
      <c r="I29405" s="101"/>
    </row>
    <row r="29406" spans="9:9" x14ac:dyDescent="0.3">
      <c r="I29406" s="101"/>
    </row>
    <row r="29407" spans="9:9" x14ac:dyDescent="0.3">
      <c r="I29407" s="101"/>
    </row>
    <row r="29408" spans="9:9" x14ac:dyDescent="0.3">
      <c r="I29408" s="101"/>
    </row>
    <row r="29409" spans="9:9" x14ac:dyDescent="0.3">
      <c r="I29409" s="101"/>
    </row>
    <row r="29410" spans="9:9" x14ac:dyDescent="0.3">
      <c r="I29410" s="101"/>
    </row>
    <row r="29411" spans="9:9" x14ac:dyDescent="0.3">
      <c r="I29411" s="101"/>
    </row>
    <row r="29412" spans="9:9" x14ac:dyDescent="0.3">
      <c r="I29412" s="101"/>
    </row>
    <row r="29413" spans="9:9" x14ac:dyDescent="0.3">
      <c r="I29413" s="101"/>
    </row>
    <row r="29414" spans="9:9" x14ac:dyDescent="0.3">
      <c r="I29414" s="101"/>
    </row>
    <row r="29415" spans="9:9" x14ac:dyDescent="0.3">
      <c r="I29415" s="101"/>
    </row>
    <row r="29416" spans="9:9" x14ac:dyDescent="0.3">
      <c r="I29416" s="101"/>
    </row>
    <row r="29417" spans="9:9" x14ac:dyDescent="0.3">
      <c r="I29417" s="101"/>
    </row>
    <row r="29418" spans="9:9" x14ac:dyDescent="0.3">
      <c r="I29418" s="101"/>
    </row>
    <row r="29419" spans="9:9" x14ac:dyDescent="0.3">
      <c r="I29419" s="101"/>
    </row>
    <row r="29420" spans="9:9" x14ac:dyDescent="0.3">
      <c r="I29420" s="101"/>
    </row>
    <row r="29421" spans="9:9" x14ac:dyDescent="0.3">
      <c r="I29421" s="101"/>
    </row>
    <row r="29422" spans="9:9" x14ac:dyDescent="0.3">
      <c r="I29422" s="101"/>
    </row>
    <row r="29423" spans="9:9" x14ac:dyDescent="0.3">
      <c r="I29423" s="101"/>
    </row>
    <row r="29424" spans="9:9" x14ac:dyDescent="0.3">
      <c r="I29424" s="101"/>
    </row>
    <row r="29425" spans="9:9" x14ac:dyDescent="0.3">
      <c r="I29425" s="101"/>
    </row>
    <row r="29426" spans="9:9" x14ac:dyDescent="0.3">
      <c r="I29426" s="101"/>
    </row>
    <row r="29427" spans="9:9" x14ac:dyDescent="0.3">
      <c r="I29427" s="101"/>
    </row>
    <row r="29428" spans="9:9" x14ac:dyDescent="0.3">
      <c r="I29428" s="101"/>
    </row>
    <row r="29429" spans="9:9" x14ac:dyDescent="0.3">
      <c r="I29429" s="101"/>
    </row>
    <row r="29430" spans="9:9" x14ac:dyDescent="0.3">
      <c r="I29430" s="101"/>
    </row>
    <row r="29431" spans="9:9" x14ac:dyDescent="0.3">
      <c r="I29431" s="101"/>
    </row>
    <row r="29432" spans="9:9" x14ac:dyDescent="0.3">
      <c r="I29432" s="101"/>
    </row>
    <row r="29433" spans="9:9" x14ac:dyDescent="0.3">
      <c r="I29433" s="101"/>
    </row>
    <row r="29434" spans="9:9" x14ac:dyDescent="0.3">
      <c r="I29434" s="101"/>
    </row>
    <row r="29435" spans="9:9" x14ac:dyDescent="0.3">
      <c r="I29435" s="101"/>
    </row>
    <row r="29436" spans="9:9" x14ac:dyDescent="0.3">
      <c r="I29436" s="101"/>
    </row>
    <row r="29437" spans="9:9" x14ac:dyDescent="0.3">
      <c r="I29437" s="101"/>
    </row>
    <row r="29438" spans="9:9" x14ac:dyDescent="0.3">
      <c r="I29438" s="101"/>
    </row>
    <row r="29439" spans="9:9" x14ac:dyDescent="0.3">
      <c r="I29439" s="101"/>
    </row>
    <row r="29440" spans="9:9" x14ac:dyDescent="0.3">
      <c r="I29440" s="101"/>
    </row>
    <row r="29441" spans="9:9" x14ac:dyDescent="0.3">
      <c r="I29441" s="101"/>
    </row>
    <row r="29442" spans="9:9" x14ac:dyDescent="0.3">
      <c r="I29442" s="101"/>
    </row>
    <row r="29443" spans="9:9" x14ac:dyDescent="0.3">
      <c r="I29443" s="101"/>
    </row>
    <row r="29444" spans="9:9" x14ac:dyDescent="0.3">
      <c r="I29444" s="101"/>
    </row>
    <row r="29445" spans="9:9" x14ac:dyDescent="0.3">
      <c r="I29445" s="101"/>
    </row>
    <row r="29446" spans="9:9" x14ac:dyDescent="0.3">
      <c r="I29446" s="101"/>
    </row>
    <row r="29447" spans="9:9" x14ac:dyDescent="0.3">
      <c r="I29447" s="101"/>
    </row>
    <row r="29448" spans="9:9" x14ac:dyDescent="0.3">
      <c r="I29448" s="101"/>
    </row>
    <row r="29449" spans="9:9" x14ac:dyDescent="0.3">
      <c r="I29449" s="101"/>
    </row>
    <row r="29450" spans="9:9" x14ac:dyDescent="0.3">
      <c r="I29450" s="101"/>
    </row>
    <row r="29451" spans="9:9" x14ac:dyDescent="0.3">
      <c r="I29451" s="101"/>
    </row>
    <row r="29452" spans="9:9" x14ac:dyDescent="0.3">
      <c r="I29452" s="101"/>
    </row>
    <row r="29453" spans="9:9" x14ac:dyDescent="0.3">
      <c r="I29453" s="101"/>
    </row>
    <row r="29454" spans="9:9" x14ac:dyDescent="0.3">
      <c r="I29454" s="101"/>
    </row>
    <row r="29455" spans="9:9" x14ac:dyDescent="0.3">
      <c r="I29455" s="101"/>
    </row>
    <row r="29456" spans="9:9" x14ac:dyDescent="0.3">
      <c r="I29456" s="101"/>
    </row>
    <row r="29457" spans="9:9" x14ac:dyDescent="0.3">
      <c r="I29457" s="101"/>
    </row>
    <row r="29458" spans="9:9" x14ac:dyDescent="0.3">
      <c r="I29458" s="101"/>
    </row>
    <row r="29459" spans="9:9" x14ac:dyDescent="0.3">
      <c r="I29459" s="101"/>
    </row>
    <row r="29460" spans="9:9" x14ac:dyDescent="0.3">
      <c r="I29460" s="101"/>
    </row>
    <row r="29461" spans="9:9" x14ac:dyDescent="0.3">
      <c r="I29461" s="101"/>
    </row>
    <row r="29462" spans="9:9" x14ac:dyDescent="0.3">
      <c r="I29462" s="101"/>
    </row>
    <row r="29463" spans="9:9" x14ac:dyDescent="0.3">
      <c r="I29463" s="101"/>
    </row>
    <row r="29464" spans="9:9" x14ac:dyDescent="0.3">
      <c r="I29464" s="101"/>
    </row>
    <row r="29465" spans="9:9" x14ac:dyDescent="0.3">
      <c r="I29465" s="101"/>
    </row>
    <row r="29466" spans="9:9" x14ac:dyDescent="0.3">
      <c r="I29466" s="101"/>
    </row>
    <row r="29467" spans="9:9" x14ac:dyDescent="0.3">
      <c r="I29467" s="101"/>
    </row>
    <row r="29468" spans="9:9" x14ac:dyDescent="0.3">
      <c r="I29468" s="101"/>
    </row>
    <row r="29469" spans="9:9" x14ac:dyDescent="0.3">
      <c r="I29469" s="101"/>
    </row>
    <row r="29470" spans="9:9" x14ac:dyDescent="0.3">
      <c r="I29470" s="101"/>
    </row>
    <row r="29471" spans="9:9" x14ac:dyDescent="0.3">
      <c r="I29471" s="101"/>
    </row>
    <row r="29472" spans="9:9" x14ac:dyDescent="0.3">
      <c r="I29472" s="101"/>
    </row>
    <row r="29473" spans="9:9" x14ac:dyDescent="0.3">
      <c r="I29473" s="101"/>
    </row>
    <row r="29474" spans="9:9" x14ac:dyDescent="0.3">
      <c r="I29474" s="101"/>
    </row>
    <row r="29475" spans="9:9" x14ac:dyDescent="0.3">
      <c r="I29475" s="101"/>
    </row>
    <row r="29476" spans="9:9" x14ac:dyDescent="0.3">
      <c r="I29476" s="101"/>
    </row>
    <row r="29477" spans="9:9" x14ac:dyDescent="0.3">
      <c r="I29477" s="101"/>
    </row>
    <row r="29478" spans="9:9" x14ac:dyDescent="0.3">
      <c r="I29478" s="101"/>
    </row>
    <row r="29479" spans="9:9" x14ac:dyDescent="0.3">
      <c r="I29479" s="101"/>
    </row>
    <row r="29480" spans="9:9" x14ac:dyDescent="0.3">
      <c r="I29480" s="101"/>
    </row>
    <row r="29481" spans="9:9" x14ac:dyDescent="0.3">
      <c r="I29481" s="101"/>
    </row>
    <row r="29482" spans="9:9" x14ac:dyDescent="0.3">
      <c r="I29482" s="101"/>
    </row>
    <row r="29483" spans="9:9" x14ac:dyDescent="0.3">
      <c r="I29483" s="101"/>
    </row>
    <row r="29484" spans="9:9" x14ac:dyDescent="0.3">
      <c r="I29484" s="101"/>
    </row>
    <row r="29485" spans="9:9" x14ac:dyDescent="0.3">
      <c r="I29485" s="101"/>
    </row>
    <row r="29486" spans="9:9" x14ac:dyDescent="0.3">
      <c r="I29486" s="101"/>
    </row>
    <row r="29487" spans="9:9" x14ac:dyDescent="0.3">
      <c r="I29487" s="101"/>
    </row>
    <row r="29488" spans="9:9" x14ac:dyDescent="0.3">
      <c r="I29488" s="101"/>
    </row>
    <row r="29489" spans="9:9" x14ac:dyDescent="0.3">
      <c r="I29489" s="101"/>
    </row>
    <row r="29490" spans="9:9" x14ac:dyDescent="0.3">
      <c r="I29490" s="101"/>
    </row>
    <row r="29491" spans="9:9" x14ac:dyDescent="0.3">
      <c r="I29491" s="101"/>
    </row>
    <row r="29492" spans="9:9" x14ac:dyDescent="0.3">
      <c r="I29492" s="101"/>
    </row>
    <row r="29493" spans="9:9" x14ac:dyDescent="0.3">
      <c r="I29493" s="101"/>
    </row>
    <row r="29494" spans="9:9" x14ac:dyDescent="0.3">
      <c r="I29494" s="101"/>
    </row>
    <row r="29495" spans="9:9" x14ac:dyDescent="0.3">
      <c r="I29495" s="101"/>
    </row>
    <row r="29496" spans="9:9" x14ac:dyDescent="0.3">
      <c r="I29496" s="101"/>
    </row>
    <row r="29497" spans="9:9" x14ac:dyDescent="0.3">
      <c r="I29497" s="101"/>
    </row>
    <row r="29498" spans="9:9" x14ac:dyDescent="0.3">
      <c r="I29498" s="101"/>
    </row>
    <row r="29499" spans="9:9" x14ac:dyDescent="0.3">
      <c r="I29499" s="101"/>
    </row>
    <row r="29500" spans="9:9" x14ac:dyDescent="0.3">
      <c r="I29500" s="101"/>
    </row>
    <row r="29501" spans="9:9" x14ac:dyDescent="0.3">
      <c r="I29501" s="101"/>
    </row>
    <row r="29502" spans="9:9" x14ac:dyDescent="0.3">
      <c r="I29502" s="101"/>
    </row>
    <row r="29503" spans="9:9" x14ac:dyDescent="0.3">
      <c r="I29503" s="101"/>
    </row>
    <row r="29504" spans="9:9" x14ac:dyDescent="0.3">
      <c r="I29504" s="101"/>
    </row>
    <row r="29505" spans="9:9" x14ac:dyDescent="0.3">
      <c r="I29505" s="101"/>
    </row>
    <row r="29506" spans="9:9" x14ac:dyDescent="0.3">
      <c r="I29506" s="101"/>
    </row>
    <row r="29507" spans="9:9" x14ac:dyDescent="0.3">
      <c r="I29507" s="101"/>
    </row>
    <row r="29508" spans="9:9" x14ac:dyDescent="0.3">
      <c r="I29508" s="101"/>
    </row>
    <row r="29509" spans="9:9" x14ac:dyDescent="0.3">
      <c r="I29509" s="101"/>
    </row>
    <row r="29510" spans="9:9" x14ac:dyDescent="0.3">
      <c r="I29510" s="101"/>
    </row>
    <row r="29511" spans="9:9" x14ac:dyDescent="0.3">
      <c r="I29511" s="101"/>
    </row>
    <row r="29512" spans="9:9" x14ac:dyDescent="0.3">
      <c r="I29512" s="101"/>
    </row>
    <row r="29513" spans="9:9" x14ac:dyDescent="0.3">
      <c r="I29513" s="101"/>
    </row>
    <row r="29514" spans="9:9" x14ac:dyDescent="0.3">
      <c r="I29514" s="101"/>
    </row>
    <row r="29515" spans="9:9" x14ac:dyDescent="0.3">
      <c r="I29515" s="101"/>
    </row>
    <row r="29516" spans="9:9" x14ac:dyDescent="0.3">
      <c r="I29516" s="101"/>
    </row>
    <row r="29517" spans="9:9" x14ac:dyDescent="0.3">
      <c r="I29517" s="101"/>
    </row>
    <row r="29518" spans="9:9" x14ac:dyDescent="0.3">
      <c r="I29518" s="101"/>
    </row>
    <row r="29519" spans="9:9" x14ac:dyDescent="0.3">
      <c r="I29519" s="101"/>
    </row>
    <row r="29520" spans="9:9" x14ac:dyDescent="0.3">
      <c r="I29520" s="101"/>
    </row>
    <row r="29521" spans="9:9" x14ac:dyDescent="0.3">
      <c r="I29521" s="101"/>
    </row>
    <row r="29522" spans="9:9" x14ac:dyDescent="0.3">
      <c r="I29522" s="101"/>
    </row>
    <row r="29523" spans="9:9" x14ac:dyDescent="0.3">
      <c r="I29523" s="101"/>
    </row>
    <row r="29524" spans="9:9" x14ac:dyDescent="0.3">
      <c r="I29524" s="101"/>
    </row>
    <row r="29525" spans="9:9" x14ac:dyDescent="0.3">
      <c r="I29525" s="101"/>
    </row>
    <row r="29526" spans="9:9" x14ac:dyDescent="0.3">
      <c r="I29526" s="101"/>
    </row>
    <row r="29527" spans="9:9" x14ac:dyDescent="0.3">
      <c r="I29527" s="101"/>
    </row>
    <row r="29528" spans="9:9" x14ac:dyDescent="0.3">
      <c r="I29528" s="101"/>
    </row>
    <row r="29529" spans="9:9" x14ac:dyDescent="0.3">
      <c r="I29529" s="101"/>
    </row>
    <row r="29530" spans="9:9" x14ac:dyDescent="0.3">
      <c r="I29530" s="101"/>
    </row>
    <row r="29531" spans="9:9" x14ac:dyDescent="0.3">
      <c r="I29531" s="101"/>
    </row>
    <row r="29532" spans="9:9" x14ac:dyDescent="0.3">
      <c r="I29532" s="101"/>
    </row>
    <row r="29533" spans="9:9" x14ac:dyDescent="0.3">
      <c r="I29533" s="101"/>
    </row>
    <row r="29534" spans="9:9" x14ac:dyDescent="0.3">
      <c r="I29534" s="101"/>
    </row>
    <row r="29535" spans="9:9" x14ac:dyDescent="0.3">
      <c r="I29535" s="101"/>
    </row>
    <row r="29536" spans="9:9" x14ac:dyDescent="0.3">
      <c r="I29536" s="101"/>
    </row>
    <row r="29537" spans="9:9" x14ac:dyDescent="0.3">
      <c r="I29537" s="101"/>
    </row>
    <row r="29538" spans="9:9" x14ac:dyDescent="0.3">
      <c r="I29538" s="101"/>
    </row>
    <row r="29539" spans="9:9" x14ac:dyDescent="0.3">
      <c r="I29539" s="101"/>
    </row>
    <row r="29540" spans="9:9" x14ac:dyDescent="0.3">
      <c r="I29540" s="101"/>
    </row>
    <row r="29541" spans="9:9" x14ac:dyDescent="0.3">
      <c r="I29541" s="101"/>
    </row>
    <row r="29542" spans="9:9" x14ac:dyDescent="0.3">
      <c r="I29542" s="101"/>
    </row>
    <row r="29543" spans="9:9" x14ac:dyDescent="0.3">
      <c r="I29543" s="101"/>
    </row>
    <row r="29544" spans="9:9" x14ac:dyDescent="0.3">
      <c r="I29544" s="101"/>
    </row>
    <row r="29545" spans="9:9" x14ac:dyDescent="0.3">
      <c r="I29545" s="101"/>
    </row>
    <row r="29546" spans="9:9" x14ac:dyDescent="0.3">
      <c r="I29546" s="101"/>
    </row>
    <row r="29547" spans="9:9" x14ac:dyDescent="0.3">
      <c r="I29547" s="101"/>
    </row>
    <row r="29548" spans="9:9" x14ac:dyDescent="0.3">
      <c r="I29548" s="101"/>
    </row>
    <row r="29549" spans="9:9" x14ac:dyDescent="0.3">
      <c r="I29549" s="101"/>
    </row>
    <row r="29550" spans="9:9" x14ac:dyDescent="0.3">
      <c r="I29550" s="101"/>
    </row>
    <row r="29551" spans="9:9" x14ac:dyDescent="0.3">
      <c r="I29551" s="101"/>
    </row>
    <row r="29552" spans="9:9" x14ac:dyDescent="0.3">
      <c r="I29552" s="101"/>
    </row>
    <row r="29553" spans="9:9" x14ac:dyDescent="0.3">
      <c r="I29553" s="101"/>
    </row>
    <row r="29554" spans="9:9" x14ac:dyDescent="0.3">
      <c r="I29554" s="101"/>
    </row>
    <row r="29555" spans="9:9" x14ac:dyDescent="0.3">
      <c r="I29555" s="101"/>
    </row>
    <row r="29556" spans="9:9" x14ac:dyDescent="0.3">
      <c r="I29556" s="101"/>
    </row>
    <row r="29557" spans="9:9" x14ac:dyDescent="0.3">
      <c r="I29557" s="101"/>
    </row>
    <row r="29558" spans="9:9" x14ac:dyDescent="0.3">
      <c r="I29558" s="101"/>
    </row>
    <row r="29559" spans="9:9" x14ac:dyDescent="0.3">
      <c r="I29559" s="101"/>
    </row>
    <row r="29560" spans="9:9" x14ac:dyDescent="0.3">
      <c r="I29560" s="101"/>
    </row>
    <row r="29561" spans="9:9" x14ac:dyDescent="0.3">
      <c r="I29561" s="101"/>
    </row>
    <row r="29562" spans="9:9" x14ac:dyDescent="0.3">
      <c r="I29562" s="101"/>
    </row>
    <row r="29563" spans="9:9" x14ac:dyDescent="0.3">
      <c r="I29563" s="101"/>
    </row>
    <row r="29564" spans="9:9" x14ac:dyDescent="0.3">
      <c r="I29564" s="101"/>
    </row>
    <row r="29565" spans="9:9" x14ac:dyDescent="0.3">
      <c r="I29565" s="101"/>
    </row>
    <row r="29566" spans="9:9" x14ac:dyDescent="0.3">
      <c r="I29566" s="101"/>
    </row>
    <row r="29567" spans="9:9" x14ac:dyDescent="0.3">
      <c r="I29567" s="101"/>
    </row>
    <row r="29568" spans="9:9" x14ac:dyDescent="0.3">
      <c r="I29568" s="101"/>
    </row>
    <row r="29569" spans="9:9" x14ac:dyDescent="0.3">
      <c r="I29569" s="101"/>
    </row>
    <row r="29570" spans="9:9" x14ac:dyDescent="0.3">
      <c r="I29570" s="101"/>
    </row>
    <row r="29571" spans="9:9" x14ac:dyDescent="0.3">
      <c r="I29571" s="101"/>
    </row>
    <row r="29572" spans="9:9" x14ac:dyDescent="0.3">
      <c r="I29572" s="101"/>
    </row>
    <row r="29573" spans="9:9" x14ac:dyDescent="0.3">
      <c r="I29573" s="101"/>
    </row>
    <row r="29574" spans="9:9" x14ac:dyDescent="0.3">
      <c r="I29574" s="101"/>
    </row>
    <row r="29575" spans="9:9" x14ac:dyDescent="0.3">
      <c r="I29575" s="101"/>
    </row>
    <row r="29576" spans="9:9" x14ac:dyDescent="0.3">
      <c r="I29576" s="101"/>
    </row>
    <row r="29577" spans="9:9" x14ac:dyDescent="0.3">
      <c r="I29577" s="101"/>
    </row>
    <row r="29578" spans="9:9" x14ac:dyDescent="0.3">
      <c r="I29578" s="101"/>
    </row>
    <row r="29579" spans="9:9" x14ac:dyDescent="0.3">
      <c r="I29579" s="101"/>
    </row>
    <row r="29580" spans="9:9" x14ac:dyDescent="0.3">
      <c r="I29580" s="101"/>
    </row>
    <row r="29581" spans="9:9" x14ac:dyDescent="0.3">
      <c r="I29581" s="101"/>
    </row>
    <row r="29582" spans="9:9" x14ac:dyDescent="0.3">
      <c r="I29582" s="101"/>
    </row>
    <row r="29583" spans="9:9" x14ac:dyDescent="0.3">
      <c r="I29583" s="101"/>
    </row>
    <row r="29584" spans="9:9" x14ac:dyDescent="0.3">
      <c r="I29584" s="101"/>
    </row>
    <row r="29585" spans="9:9" x14ac:dyDescent="0.3">
      <c r="I29585" s="101"/>
    </row>
    <row r="29586" spans="9:9" x14ac:dyDescent="0.3">
      <c r="I29586" s="101"/>
    </row>
    <row r="29587" spans="9:9" x14ac:dyDescent="0.3">
      <c r="I29587" s="101"/>
    </row>
    <row r="29588" spans="9:9" x14ac:dyDescent="0.3">
      <c r="I29588" s="101"/>
    </row>
    <row r="29589" spans="9:9" x14ac:dyDescent="0.3">
      <c r="I29589" s="101"/>
    </row>
    <row r="29590" spans="9:9" x14ac:dyDescent="0.3">
      <c r="I29590" s="101"/>
    </row>
    <row r="29591" spans="9:9" x14ac:dyDescent="0.3">
      <c r="I29591" s="101"/>
    </row>
    <row r="29592" spans="9:9" x14ac:dyDescent="0.3">
      <c r="I29592" s="101"/>
    </row>
    <row r="29593" spans="9:9" x14ac:dyDescent="0.3">
      <c r="I29593" s="101"/>
    </row>
    <row r="29594" spans="9:9" x14ac:dyDescent="0.3">
      <c r="I29594" s="101"/>
    </row>
    <row r="29595" spans="9:9" x14ac:dyDescent="0.3">
      <c r="I29595" s="101"/>
    </row>
    <row r="29596" spans="9:9" x14ac:dyDescent="0.3">
      <c r="I29596" s="101"/>
    </row>
    <row r="29597" spans="9:9" x14ac:dyDescent="0.3">
      <c r="I29597" s="101"/>
    </row>
    <row r="29598" spans="9:9" x14ac:dyDescent="0.3">
      <c r="I29598" s="101"/>
    </row>
    <row r="29599" spans="9:9" x14ac:dyDescent="0.3">
      <c r="I29599" s="101"/>
    </row>
    <row r="29600" spans="9:9" x14ac:dyDescent="0.3">
      <c r="I29600" s="101"/>
    </row>
    <row r="29601" spans="9:9" x14ac:dyDescent="0.3">
      <c r="I29601" s="101"/>
    </row>
    <row r="29602" spans="9:9" x14ac:dyDescent="0.3">
      <c r="I29602" s="101"/>
    </row>
    <row r="29603" spans="9:9" x14ac:dyDescent="0.3">
      <c r="I29603" s="101"/>
    </row>
    <row r="29604" spans="9:9" x14ac:dyDescent="0.3">
      <c r="I29604" s="101"/>
    </row>
    <row r="29605" spans="9:9" x14ac:dyDescent="0.3">
      <c r="I29605" s="101"/>
    </row>
    <row r="29606" spans="9:9" x14ac:dyDescent="0.3">
      <c r="I29606" s="101"/>
    </row>
    <row r="29607" spans="9:9" x14ac:dyDescent="0.3">
      <c r="I29607" s="101"/>
    </row>
    <row r="29608" spans="9:9" x14ac:dyDescent="0.3">
      <c r="I29608" s="101"/>
    </row>
    <row r="29609" spans="9:9" x14ac:dyDescent="0.3">
      <c r="I29609" s="101"/>
    </row>
    <row r="29610" spans="9:9" x14ac:dyDescent="0.3">
      <c r="I29610" s="101"/>
    </row>
    <row r="29611" spans="9:9" x14ac:dyDescent="0.3">
      <c r="I29611" s="101"/>
    </row>
    <row r="29612" spans="9:9" x14ac:dyDescent="0.3">
      <c r="I29612" s="101"/>
    </row>
    <row r="29613" spans="9:9" x14ac:dyDescent="0.3">
      <c r="I29613" s="101"/>
    </row>
    <row r="29614" spans="9:9" x14ac:dyDescent="0.3">
      <c r="I29614" s="101"/>
    </row>
    <row r="29615" spans="9:9" x14ac:dyDescent="0.3">
      <c r="I29615" s="101"/>
    </row>
    <row r="29616" spans="9:9" x14ac:dyDescent="0.3">
      <c r="I29616" s="101"/>
    </row>
    <row r="29617" spans="9:9" x14ac:dyDescent="0.3">
      <c r="I29617" s="101"/>
    </row>
    <row r="29618" spans="9:9" x14ac:dyDescent="0.3">
      <c r="I29618" s="101"/>
    </row>
    <row r="29619" spans="9:9" x14ac:dyDescent="0.3">
      <c r="I29619" s="101"/>
    </row>
    <row r="29620" spans="9:9" x14ac:dyDescent="0.3">
      <c r="I29620" s="101"/>
    </row>
    <row r="29621" spans="9:9" x14ac:dyDescent="0.3">
      <c r="I29621" s="101"/>
    </row>
    <row r="29622" spans="9:9" x14ac:dyDescent="0.3">
      <c r="I29622" s="101"/>
    </row>
    <row r="29623" spans="9:9" x14ac:dyDescent="0.3">
      <c r="I29623" s="101"/>
    </row>
    <row r="29624" spans="9:9" x14ac:dyDescent="0.3">
      <c r="I29624" s="101"/>
    </row>
    <row r="29625" spans="9:9" x14ac:dyDescent="0.3">
      <c r="I29625" s="101"/>
    </row>
    <row r="29626" spans="9:9" x14ac:dyDescent="0.3">
      <c r="I29626" s="101"/>
    </row>
    <row r="29627" spans="9:9" x14ac:dyDescent="0.3">
      <c r="I29627" s="101"/>
    </row>
    <row r="29628" spans="9:9" x14ac:dyDescent="0.3">
      <c r="I29628" s="101"/>
    </row>
    <row r="29629" spans="9:9" x14ac:dyDescent="0.3">
      <c r="I29629" s="101"/>
    </row>
    <row r="29630" spans="9:9" x14ac:dyDescent="0.3">
      <c r="I29630" s="101"/>
    </row>
    <row r="29631" spans="9:9" x14ac:dyDescent="0.3">
      <c r="I29631" s="101"/>
    </row>
    <row r="29632" spans="9:9" x14ac:dyDescent="0.3">
      <c r="I29632" s="101"/>
    </row>
    <row r="29633" spans="9:9" x14ac:dyDescent="0.3">
      <c r="I29633" s="101"/>
    </row>
    <row r="29634" spans="9:9" x14ac:dyDescent="0.3">
      <c r="I29634" s="101"/>
    </row>
    <row r="29635" spans="9:9" x14ac:dyDescent="0.3">
      <c r="I29635" s="101"/>
    </row>
    <row r="29636" spans="9:9" x14ac:dyDescent="0.3">
      <c r="I29636" s="101"/>
    </row>
    <row r="29637" spans="9:9" x14ac:dyDescent="0.3">
      <c r="I29637" s="101"/>
    </row>
    <row r="29638" spans="9:9" x14ac:dyDescent="0.3">
      <c r="I29638" s="101"/>
    </row>
    <row r="29639" spans="9:9" x14ac:dyDescent="0.3">
      <c r="I29639" s="101"/>
    </row>
    <row r="29640" spans="9:9" x14ac:dyDescent="0.3">
      <c r="I29640" s="101"/>
    </row>
    <row r="29641" spans="9:9" x14ac:dyDescent="0.3">
      <c r="I29641" s="101"/>
    </row>
    <row r="29642" spans="9:9" x14ac:dyDescent="0.3">
      <c r="I29642" s="101"/>
    </row>
    <row r="29643" spans="9:9" x14ac:dyDescent="0.3">
      <c r="I29643" s="101"/>
    </row>
    <row r="29644" spans="9:9" x14ac:dyDescent="0.3">
      <c r="I29644" s="101"/>
    </row>
    <row r="29645" spans="9:9" x14ac:dyDescent="0.3">
      <c r="I29645" s="101"/>
    </row>
    <row r="29646" spans="9:9" x14ac:dyDescent="0.3">
      <c r="I29646" s="101"/>
    </row>
    <row r="29647" spans="9:9" x14ac:dyDescent="0.3">
      <c r="I29647" s="101"/>
    </row>
    <row r="29648" spans="9:9" x14ac:dyDescent="0.3">
      <c r="I29648" s="101"/>
    </row>
    <row r="29649" spans="9:9" x14ac:dyDescent="0.3">
      <c r="I29649" s="101"/>
    </row>
    <row r="29650" spans="9:9" x14ac:dyDescent="0.3">
      <c r="I29650" s="101"/>
    </row>
    <row r="29651" spans="9:9" x14ac:dyDescent="0.3">
      <c r="I29651" s="101"/>
    </row>
    <row r="29652" spans="9:9" x14ac:dyDescent="0.3">
      <c r="I29652" s="101"/>
    </row>
    <row r="29653" spans="9:9" x14ac:dyDescent="0.3">
      <c r="I29653" s="101"/>
    </row>
    <row r="29654" spans="9:9" x14ac:dyDescent="0.3">
      <c r="I29654" s="101"/>
    </row>
    <row r="29655" spans="9:9" x14ac:dyDescent="0.3">
      <c r="I29655" s="101"/>
    </row>
    <row r="29656" spans="9:9" x14ac:dyDescent="0.3">
      <c r="I29656" s="101"/>
    </row>
    <row r="29657" spans="9:9" x14ac:dyDescent="0.3">
      <c r="I29657" s="101"/>
    </row>
    <row r="29658" spans="9:9" x14ac:dyDescent="0.3">
      <c r="I29658" s="101"/>
    </row>
    <row r="29659" spans="9:9" x14ac:dyDescent="0.3">
      <c r="I29659" s="101"/>
    </row>
    <row r="29660" spans="9:9" x14ac:dyDescent="0.3">
      <c r="I29660" s="101"/>
    </row>
    <row r="29661" spans="9:9" x14ac:dyDescent="0.3">
      <c r="I29661" s="101"/>
    </row>
    <row r="29662" spans="9:9" x14ac:dyDescent="0.3">
      <c r="I29662" s="101"/>
    </row>
    <row r="29663" spans="9:9" x14ac:dyDescent="0.3">
      <c r="I29663" s="101"/>
    </row>
    <row r="29664" spans="9:9" x14ac:dyDescent="0.3">
      <c r="I29664" s="101"/>
    </row>
    <row r="29665" spans="9:9" x14ac:dyDescent="0.3">
      <c r="I29665" s="101"/>
    </row>
    <row r="29666" spans="9:9" x14ac:dyDescent="0.3">
      <c r="I29666" s="101"/>
    </row>
    <row r="29667" spans="9:9" x14ac:dyDescent="0.3">
      <c r="I29667" s="101"/>
    </row>
    <row r="29668" spans="9:9" x14ac:dyDescent="0.3">
      <c r="I29668" s="101"/>
    </row>
    <row r="29669" spans="9:9" x14ac:dyDescent="0.3">
      <c r="I29669" s="101"/>
    </row>
    <row r="29670" spans="9:9" x14ac:dyDescent="0.3">
      <c r="I29670" s="101"/>
    </row>
    <row r="29671" spans="9:9" x14ac:dyDescent="0.3">
      <c r="I29671" s="101"/>
    </row>
    <row r="29672" spans="9:9" x14ac:dyDescent="0.3">
      <c r="I29672" s="101"/>
    </row>
    <row r="29673" spans="9:9" x14ac:dyDescent="0.3">
      <c r="I29673" s="101"/>
    </row>
    <row r="29674" spans="9:9" x14ac:dyDescent="0.3">
      <c r="I29674" s="101"/>
    </row>
    <row r="29675" spans="9:9" x14ac:dyDescent="0.3">
      <c r="I29675" s="101"/>
    </row>
    <row r="29676" spans="9:9" x14ac:dyDescent="0.3">
      <c r="I29676" s="101"/>
    </row>
    <row r="29677" spans="9:9" x14ac:dyDescent="0.3">
      <c r="I29677" s="101"/>
    </row>
    <row r="29678" spans="9:9" x14ac:dyDescent="0.3">
      <c r="I29678" s="101"/>
    </row>
    <row r="29679" spans="9:9" x14ac:dyDescent="0.3">
      <c r="I29679" s="101"/>
    </row>
    <row r="29680" spans="9:9" x14ac:dyDescent="0.3">
      <c r="I29680" s="101"/>
    </row>
    <row r="29681" spans="9:9" x14ac:dyDescent="0.3">
      <c r="I29681" s="101"/>
    </row>
    <row r="29682" spans="9:9" x14ac:dyDescent="0.3">
      <c r="I29682" s="101"/>
    </row>
    <row r="29683" spans="9:9" x14ac:dyDescent="0.3">
      <c r="I29683" s="101"/>
    </row>
    <row r="29684" spans="9:9" x14ac:dyDescent="0.3">
      <c r="I29684" s="101"/>
    </row>
    <row r="29685" spans="9:9" x14ac:dyDescent="0.3">
      <c r="I29685" s="101"/>
    </row>
    <row r="29686" spans="9:9" x14ac:dyDescent="0.3">
      <c r="I29686" s="101"/>
    </row>
    <row r="29687" spans="9:9" x14ac:dyDescent="0.3">
      <c r="I29687" s="101"/>
    </row>
    <row r="29688" spans="9:9" x14ac:dyDescent="0.3">
      <c r="I29688" s="101"/>
    </row>
    <row r="29689" spans="9:9" x14ac:dyDescent="0.3">
      <c r="I29689" s="101"/>
    </row>
    <row r="29690" spans="9:9" x14ac:dyDescent="0.3">
      <c r="I29690" s="101"/>
    </row>
    <row r="29691" spans="9:9" x14ac:dyDescent="0.3">
      <c r="I29691" s="101"/>
    </row>
    <row r="29692" spans="9:9" x14ac:dyDescent="0.3">
      <c r="I29692" s="101"/>
    </row>
    <row r="29693" spans="9:9" x14ac:dyDescent="0.3">
      <c r="I29693" s="101"/>
    </row>
    <row r="29694" spans="9:9" x14ac:dyDescent="0.3">
      <c r="I29694" s="101"/>
    </row>
    <row r="29695" spans="9:9" x14ac:dyDescent="0.3">
      <c r="I29695" s="101"/>
    </row>
    <row r="29696" spans="9:9" x14ac:dyDescent="0.3">
      <c r="I29696" s="101"/>
    </row>
    <row r="29697" spans="9:9" x14ac:dyDescent="0.3">
      <c r="I29697" s="101"/>
    </row>
    <row r="29698" spans="9:9" x14ac:dyDescent="0.3">
      <c r="I29698" s="101"/>
    </row>
    <row r="29699" spans="9:9" x14ac:dyDescent="0.3">
      <c r="I29699" s="101"/>
    </row>
    <row r="29700" spans="9:9" x14ac:dyDescent="0.3">
      <c r="I29700" s="101"/>
    </row>
    <row r="29701" spans="9:9" x14ac:dyDescent="0.3">
      <c r="I29701" s="101"/>
    </row>
    <row r="29702" spans="9:9" x14ac:dyDescent="0.3">
      <c r="I29702" s="101"/>
    </row>
    <row r="29703" spans="9:9" x14ac:dyDescent="0.3">
      <c r="I29703" s="101"/>
    </row>
    <row r="29704" spans="9:9" x14ac:dyDescent="0.3">
      <c r="I29704" s="101"/>
    </row>
    <row r="29705" spans="9:9" x14ac:dyDescent="0.3">
      <c r="I29705" s="101"/>
    </row>
    <row r="29706" spans="9:9" x14ac:dyDescent="0.3">
      <c r="I29706" s="101"/>
    </row>
    <row r="29707" spans="9:9" x14ac:dyDescent="0.3">
      <c r="I29707" s="101"/>
    </row>
    <row r="29708" spans="9:9" x14ac:dyDescent="0.3">
      <c r="I29708" s="101"/>
    </row>
    <row r="29709" spans="9:9" x14ac:dyDescent="0.3">
      <c r="I29709" s="101"/>
    </row>
    <row r="29710" spans="9:9" x14ac:dyDescent="0.3">
      <c r="I29710" s="101"/>
    </row>
    <row r="29711" spans="9:9" x14ac:dyDescent="0.3">
      <c r="I29711" s="101"/>
    </row>
    <row r="29712" spans="9:9" x14ac:dyDescent="0.3">
      <c r="I29712" s="101"/>
    </row>
    <row r="29713" spans="9:9" x14ac:dyDescent="0.3">
      <c r="I29713" s="101"/>
    </row>
    <row r="29714" spans="9:9" x14ac:dyDescent="0.3">
      <c r="I29714" s="101"/>
    </row>
    <row r="29715" spans="9:9" x14ac:dyDescent="0.3">
      <c r="I29715" s="101"/>
    </row>
    <row r="29716" spans="9:9" x14ac:dyDescent="0.3">
      <c r="I29716" s="101"/>
    </row>
    <row r="29717" spans="9:9" x14ac:dyDescent="0.3">
      <c r="I29717" s="101"/>
    </row>
    <row r="29718" spans="9:9" x14ac:dyDescent="0.3">
      <c r="I29718" s="101"/>
    </row>
    <row r="29719" spans="9:9" x14ac:dyDescent="0.3">
      <c r="I29719" s="101"/>
    </row>
    <row r="29720" spans="9:9" x14ac:dyDescent="0.3">
      <c r="I29720" s="101"/>
    </row>
    <row r="29721" spans="9:9" x14ac:dyDescent="0.3">
      <c r="I29721" s="101"/>
    </row>
    <row r="29722" spans="9:9" x14ac:dyDescent="0.3">
      <c r="I29722" s="101"/>
    </row>
    <row r="29723" spans="9:9" x14ac:dyDescent="0.3">
      <c r="I29723" s="101"/>
    </row>
    <row r="29724" spans="9:9" x14ac:dyDescent="0.3">
      <c r="I29724" s="101"/>
    </row>
    <row r="29725" spans="9:9" x14ac:dyDescent="0.3">
      <c r="I29725" s="101"/>
    </row>
    <row r="29726" spans="9:9" x14ac:dyDescent="0.3">
      <c r="I29726" s="101"/>
    </row>
    <row r="29727" spans="9:9" x14ac:dyDescent="0.3">
      <c r="I29727" s="101"/>
    </row>
    <row r="29728" spans="9:9" x14ac:dyDescent="0.3">
      <c r="I29728" s="101"/>
    </row>
    <row r="29729" spans="9:9" x14ac:dyDescent="0.3">
      <c r="I29729" s="101"/>
    </row>
    <row r="29730" spans="9:9" x14ac:dyDescent="0.3">
      <c r="I29730" s="101"/>
    </row>
    <row r="29731" spans="9:9" x14ac:dyDescent="0.3">
      <c r="I29731" s="101"/>
    </row>
    <row r="29732" spans="9:9" x14ac:dyDescent="0.3">
      <c r="I29732" s="101"/>
    </row>
    <row r="29733" spans="9:9" x14ac:dyDescent="0.3">
      <c r="I29733" s="101"/>
    </row>
    <row r="29734" spans="9:9" x14ac:dyDescent="0.3">
      <c r="I29734" s="101"/>
    </row>
    <row r="29735" spans="9:9" x14ac:dyDescent="0.3">
      <c r="I29735" s="101"/>
    </row>
    <row r="29736" spans="9:9" x14ac:dyDescent="0.3">
      <c r="I29736" s="101"/>
    </row>
    <row r="29737" spans="9:9" x14ac:dyDescent="0.3">
      <c r="I29737" s="101"/>
    </row>
    <row r="29738" spans="9:9" x14ac:dyDescent="0.3">
      <c r="I29738" s="101"/>
    </row>
    <row r="29739" spans="9:9" x14ac:dyDescent="0.3">
      <c r="I29739" s="101"/>
    </row>
    <row r="29740" spans="9:9" x14ac:dyDescent="0.3">
      <c r="I29740" s="101"/>
    </row>
    <row r="29741" spans="9:9" x14ac:dyDescent="0.3">
      <c r="I29741" s="101"/>
    </row>
    <row r="29742" spans="9:9" x14ac:dyDescent="0.3">
      <c r="I29742" s="101"/>
    </row>
    <row r="29743" spans="9:9" x14ac:dyDescent="0.3">
      <c r="I29743" s="101"/>
    </row>
    <row r="29744" spans="9:9" x14ac:dyDescent="0.3">
      <c r="I29744" s="101"/>
    </row>
    <row r="29745" spans="9:9" x14ac:dyDescent="0.3">
      <c r="I29745" s="101"/>
    </row>
    <row r="29746" spans="9:9" x14ac:dyDescent="0.3">
      <c r="I29746" s="101"/>
    </row>
    <row r="29747" spans="9:9" x14ac:dyDescent="0.3">
      <c r="I29747" s="101"/>
    </row>
    <row r="29748" spans="9:9" x14ac:dyDescent="0.3">
      <c r="I29748" s="101"/>
    </row>
    <row r="29749" spans="9:9" x14ac:dyDescent="0.3">
      <c r="I29749" s="101"/>
    </row>
    <row r="29750" spans="9:9" x14ac:dyDescent="0.3">
      <c r="I29750" s="101"/>
    </row>
    <row r="29751" spans="9:9" x14ac:dyDescent="0.3">
      <c r="I29751" s="101"/>
    </row>
    <row r="29752" spans="9:9" x14ac:dyDescent="0.3">
      <c r="I29752" s="101"/>
    </row>
    <row r="29753" spans="9:9" x14ac:dyDescent="0.3">
      <c r="I29753" s="101"/>
    </row>
    <row r="29754" spans="9:9" x14ac:dyDescent="0.3">
      <c r="I29754" s="101"/>
    </row>
    <row r="29755" spans="9:9" x14ac:dyDescent="0.3">
      <c r="I29755" s="101"/>
    </row>
    <row r="29756" spans="9:9" x14ac:dyDescent="0.3">
      <c r="I29756" s="101"/>
    </row>
    <row r="29757" spans="9:9" x14ac:dyDescent="0.3">
      <c r="I29757" s="101"/>
    </row>
    <row r="29758" spans="9:9" x14ac:dyDescent="0.3">
      <c r="I29758" s="101"/>
    </row>
    <row r="29759" spans="9:9" x14ac:dyDescent="0.3">
      <c r="I29759" s="101"/>
    </row>
    <row r="29760" spans="9:9" x14ac:dyDescent="0.3">
      <c r="I29760" s="101"/>
    </row>
    <row r="29761" spans="9:9" x14ac:dyDescent="0.3">
      <c r="I29761" s="101"/>
    </row>
    <row r="29762" spans="9:9" x14ac:dyDescent="0.3">
      <c r="I29762" s="101"/>
    </row>
    <row r="29763" spans="9:9" x14ac:dyDescent="0.3">
      <c r="I29763" s="101"/>
    </row>
    <row r="29764" spans="9:9" x14ac:dyDescent="0.3">
      <c r="I29764" s="101"/>
    </row>
    <row r="29765" spans="9:9" x14ac:dyDescent="0.3">
      <c r="I29765" s="101"/>
    </row>
    <row r="29766" spans="9:9" x14ac:dyDescent="0.3">
      <c r="I29766" s="101"/>
    </row>
    <row r="29767" spans="9:9" x14ac:dyDescent="0.3">
      <c r="I29767" s="101"/>
    </row>
    <row r="29768" spans="9:9" x14ac:dyDescent="0.3">
      <c r="I29768" s="101"/>
    </row>
    <row r="29769" spans="9:9" x14ac:dyDescent="0.3">
      <c r="I29769" s="101"/>
    </row>
    <row r="29770" spans="9:9" x14ac:dyDescent="0.3">
      <c r="I29770" s="101"/>
    </row>
    <row r="29771" spans="9:9" x14ac:dyDescent="0.3">
      <c r="I29771" s="101"/>
    </row>
    <row r="29772" spans="9:9" x14ac:dyDescent="0.3">
      <c r="I29772" s="101"/>
    </row>
    <row r="29773" spans="9:9" x14ac:dyDescent="0.3">
      <c r="I29773" s="101"/>
    </row>
    <row r="29774" spans="9:9" x14ac:dyDescent="0.3">
      <c r="I29774" s="101"/>
    </row>
    <row r="29775" spans="9:9" x14ac:dyDescent="0.3">
      <c r="I29775" s="101"/>
    </row>
    <row r="29776" spans="9:9" x14ac:dyDescent="0.3">
      <c r="I29776" s="101"/>
    </row>
    <row r="29777" spans="9:9" x14ac:dyDescent="0.3">
      <c r="I29777" s="101"/>
    </row>
    <row r="29778" spans="9:9" x14ac:dyDescent="0.3">
      <c r="I29778" s="101"/>
    </row>
    <row r="29779" spans="9:9" x14ac:dyDescent="0.3">
      <c r="I29779" s="101"/>
    </row>
    <row r="29780" spans="9:9" x14ac:dyDescent="0.3">
      <c r="I29780" s="101"/>
    </row>
    <row r="29781" spans="9:9" x14ac:dyDescent="0.3">
      <c r="I29781" s="101"/>
    </row>
    <row r="29782" spans="9:9" x14ac:dyDescent="0.3">
      <c r="I29782" s="101"/>
    </row>
    <row r="29783" spans="9:9" x14ac:dyDescent="0.3">
      <c r="I29783" s="101"/>
    </row>
    <row r="29784" spans="9:9" x14ac:dyDescent="0.3">
      <c r="I29784" s="101"/>
    </row>
    <row r="29785" spans="9:9" x14ac:dyDescent="0.3">
      <c r="I29785" s="101"/>
    </row>
    <row r="29786" spans="9:9" x14ac:dyDescent="0.3">
      <c r="I29786" s="101"/>
    </row>
    <row r="29787" spans="9:9" x14ac:dyDescent="0.3">
      <c r="I29787" s="101"/>
    </row>
    <row r="29788" spans="9:9" x14ac:dyDescent="0.3">
      <c r="I29788" s="101"/>
    </row>
    <row r="29789" spans="9:9" x14ac:dyDescent="0.3">
      <c r="I29789" s="101"/>
    </row>
    <row r="29790" spans="9:9" x14ac:dyDescent="0.3">
      <c r="I29790" s="101"/>
    </row>
    <row r="29791" spans="9:9" x14ac:dyDescent="0.3">
      <c r="I29791" s="101"/>
    </row>
    <row r="29792" spans="9:9" x14ac:dyDescent="0.3">
      <c r="I29792" s="101"/>
    </row>
    <row r="29793" spans="9:9" x14ac:dyDescent="0.3">
      <c r="I29793" s="101"/>
    </row>
    <row r="29794" spans="9:9" x14ac:dyDescent="0.3">
      <c r="I29794" s="101"/>
    </row>
    <row r="29795" spans="9:9" x14ac:dyDescent="0.3">
      <c r="I29795" s="101"/>
    </row>
    <row r="29796" spans="9:9" x14ac:dyDescent="0.3">
      <c r="I29796" s="101"/>
    </row>
    <row r="29797" spans="9:9" x14ac:dyDescent="0.3">
      <c r="I29797" s="101"/>
    </row>
    <row r="29798" spans="9:9" x14ac:dyDescent="0.3">
      <c r="I29798" s="101"/>
    </row>
    <row r="29799" spans="9:9" x14ac:dyDescent="0.3">
      <c r="I29799" s="101"/>
    </row>
    <row r="29800" spans="9:9" x14ac:dyDescent="0.3">
      <c r="I29800" s="101"/>
    </row>
    <row r="29801" spans="9:9" x14ac:dyDescent="0.3">
      <c r="I29801" s="101"/>
    </row>
    <row r="29802" spans="9:9" x14ac:dyDescent="0.3">
      <c r="I29802" s="101"/>
    </row>
    <row r="29803" spans="9:9" x14ac:dyDescent="0.3">
      <c r="I29803" s="101"/>
    </row>
    <row r="29804" spans="9:9" x14ac:dyDescent="0.3">
      <c r="I29804" s="101"/>
    </row>
    <row r="29805" spans="9:9" x14ac:dyDescent="0.3">
      <c r="I29805" s="101"/>
    </row>
    <row r="29806" spans="9:9" x14ac:dyDescent="0.3">
      <c r="I29806" s="101"/>
    </row>
    <row r="29807" spans="9:9" x14ac:dyDescent="0.3">
      <c r="I29807" s="101"/>
    </row>
    <row r="29808" spans="9:9" x14ac:dyDescent="0.3">
      <c r="I29808" s="101"/>
    </row>
    <row r="29809" spans="9:9" x14ac:dyDescent="0.3">
      <c r="I29809" s="101"/>
    </row>
    <row r="29810" spans="9:9" x14ac:dyDescent="0.3">
      <c r="I29810" s="101"/>
    </row>
    <row r="29811" spans="9:9" x14ac:dyDescent="0.3">
      <c r="I29811" s="101"/>
    </row>
    <row r="29812" spans="9:9" x14ac:dyDescent="0.3">
      <c r="I29812" s="101"/>
    </row>
    <row r="29813" spans="9:9" x14ac:dyDescent="0.3">
      <c r="I29813" s="101"/>
    </row>
    <row r="29814" spans="9:9" x14ac:dyDescent="0.3">
      <c r="I29814" s="101"/>
    </row>
    <row r="29815" spans="9:9" x14ac:dyDescent="0.3">
      <c r="I29815" s="101"/>
    </row>
    <row r="29816" spans="9:9" x14ac:dyDescent="0.3">
      <c r="I29816" s="101"/>
    </row>
    <row r="29817" spans="9:9" x14ac:dyDescent="0.3">
      <c r="I29817" s="101"/>
    </row>
    <row r="29818" spans="9:9" x14ac:dyDescent="0.3">
      <c r="I29818" s="101"/>
    </row>
    <row r="29819" spans="9:9" x14ac:dyDescent="0.3">
      <c r="I29819" s="101"/>
    </row>
    <row r="29820" spans="9:9" x14ac:dyDescent="0.3">
      <c r="I29820" s="101"/>
    </row>
    <row r="29821" spans="9:9" x14ac:dyDescent="0.3">
      <c r="I29821" s="101"/>
    </row>
    <row r="29822" spans="9:9" x14ac:dyDescent="0.3">
      <c r="I29822" s="101"/>
    </row>
    <row r="29823" spans="9:9" x14ac:dyDescent="0.3">
      <c r="I29823" s="101"/>
    </row>
    <row r="29824" spans="9:9" x14ac:dyDescent="0.3">
      <c r="I29824" s="101"/>
    </row>
    <row r="29825" spans="9:9" x14ac:dyDescent="0.3">
      <c r="I29825" s="101"/>
    </row>
    <row r="29826" spans="9:9" x14ac:dyDescent="0.3">
      <c r="I29826" s="101"/>
    </row>
    <row r="29827" spans="9:9" x14ac:dyDescent="0.3">
      <c r="I29827" s="101"/>
    </row>
    <row r="29828" spans="9:9" x14ac:dyDescent="0.3">
      <c r="I29828" s="101"/>
    </row>
    <row r="29829" spans="9:9" x14ac:dyDescent="0.3">
      <c r="I29829" s="101"/>
    </row>
    <row r="29830" spans="9:9" x14ac:dyDescent="0.3">
      <c r="I29830" s="101"/>
    </row>
    <row r="29831" spans="9:9" x14ac:dyDescent="0.3">
      <c r="I29831" s="101"/>
    </row>
    <row r="29832" spans="9:9" x14ac:dyDescent="0.3">
      <c r="I29832" s="101"/>
    </row>
    <row r="29833" spans="9:9" x14ac:dyDescent="0.3">
      <c r="I29833" s="101"/>
    </row>
    <row r="29834" spans="9:9" x14ac:dyDescent="0.3">
      <c r="I29834" s="101"/>
    </row>
    <row r="29835" spans="9:9" x14ac:dyDescent="0.3">
      <c r="I29835" s="101"/>
    </row>
    <row r="29836" spans="9:9" x14ac:dyDescent="0.3">
      <c r="I29836" s="101"/>
    </row>
    <row r="29837" spans="9:9" x14ac:dyDescent="0.3">
      <c r="I29837" s="101"/>
    </row>
    <row r="29838" spans="9:9" x14ac:dyDescent="0.3">
      <c r="I29838" s="101"/>
    </row>
    <row r="29839" spans="9:9" x14ac:dyDescent="0.3">
      <c r="I29839" s="101"/>
    </row>
    <row r="29840" spans="9:9" x14ac:dyDescent="0.3">
      <c r="I29840" s="101"/>
    </row>
    <row r="29841" spans="9:9" x14ac:dyDescent="0.3">
      <c r="I29841" s="101"/>
    </row>
    <row r="29842" spans="9:9" x14ac:dyDescent="0.3">
      <c r="I29842" s="101"/>
    </row>
    <row r="29843" spans="9:9" x14ac:dyDescent="0.3">
      <c r="I29843" s="101"/>
    </row>
    <row r="29844" spans="9:9" x14ac:dyDescent="0.3">
      <c r="I29844" s="101"/>
    </row>
    <row r="29845" spans="9:9" x14ac:dyDescent="0.3">
      <c r="I29845" s="101"/>
    </row>
    <row r="29846" spans="9:9" x14ac:dyDescent="0.3">
      <c r="I29846" s="101"/>
    </row>
    <row r="29847" spans="9:9" x14ac:dyDescent="0.3">
      <c r="I29847" s="101"/>
    </row>
    <row r="29848" spans="9:9" x14ac:dyDescent="0.3">
      <c r="I29848" s="101"/>
    </row>
    <row r="29849" spans="9:9" x14ac:dyDescent="0.3">
      <c r="I29849" s="101"/>
    </row>
    <row r="29850" spans="9:9" x14ac:dyDescent="0.3">
      <c r="I29850" s="101"/>
    </row>
    <row r="29851" spans="9:9" x14ac:dyDescent="0.3">
      <c r="I29851" s="101"/>
    </row>
    <row r="29852" spans="9:9" x14ac:dyDescent="0.3">
      <c r="I29852" s="101"/>
    </row>
    <row r="29853" spans="9:9" x14ac:dyDescent="0.3">
      <c r="I29853" s="101"/>
    </row>
    <row r="29854" spans="9:9" x14ac:dyDescent="0.3">
      <c r="I29854" s="101"/>
    </row>
    <row r="29855" spans="9:9" x14ac:dyDescent="0.3">
      <c r="I29855" s="101"/>
    </row>
    <row r="29856" spans="9:9" x14ac:dyDescent="0.3">
      <c r="I29856" s="101"/>
    </row>
    <row r="29857" spans="9:9" x14ac:dyDescent="0.3">
      <c r="I29857" s="101"/>
    </row>
    <row r="29858" spans="9:9" x14ac:dyDescent="0.3">
      <c r="I29858" s="101"/>
    </row>
    <row r="29859" spans="9:9" x14ac:dyDescent="0.3">
      <c r="I29859" s="101"/>
    </row>
    <row r="29860" spans="9:9" x14ac:dyDescent="0.3">
      <c r="I29860" s="101"/>
    </row>
    <row r="29861" spans="9:9" x14ac:dyDescent="0.3">
      <c r="I29861" s="101"/>
    </row>
    <row r="29862" spans="9:9" x14ac:dyDescent="0.3">
      <c r="I29862" s="101"/>
    </row>
    <row r="29863" spans="9:9" x14ac:dyDescent="0.3">
      <c r="I29863" s="101"/>
    </row>
    <row r="29864" spans="9:9" x14ac:dyDescent="0.3">
      <c r="I29864" s="101"/>
    </row>
    <row r="29865" spans="9:9" x14ac:dyDescent="0.3">
      <c r="I29865" s="101"/>
    </row>
    <row r="29866" spans="9:9" x14ac:dyDescent="0.3">
      <c r="I29866" s="101"/>
    </row>
    <row r="29867" spans="9:9" x14ac:dyDescent="0.3">
      <c r="I29867" s="101"/>
    </row>
    <row r="29868" spans="9:9" x14ac:dyDescent="0.3">
      <c r="I29868" s="101"/>
    </row>
    <row r="29869" spans="9:9" x14ac:dyDescent="0.3">
      <c r="I29869" s="101"/>
    </row>
    <row r="29870" spans="9:9" x14ac:dyDescent="0.3">
      <c r="I29870" s="101"/>
    </row>
    <row r="29871" spans="9:9" x14ac:dyDescent="0.3">
      <c r="I29871" s="101"/>
    </row>
    <row r="29872" spans="9:9" x14ac:dyDescent="0.3">
      <c r="I29872" s="101"/>
    </row>
    <row r="29873" spans="9:9" x14ac:dyDescent="0.3">
      <c r="I29873" s="101"/>
    </row>
    <row r="29874" spans="9:9" x14ac:dyDescent="0.3">
      <c r="I29874" s="101"/>
    </row>
    <row r="29875" spans="9:9" x14ac:dyDescent="0.3">
      <c r="I29875" s="101"/>
    </row>
    <row r="29876" spans="9:9" x14ac:dyDescent="0.3">
      <c r="I29876" s="101"/>
    </row>
    <row r="29877" spans="9:9" x14ac:dyDescent="0.3">
      <c r="I29877" s="101"/>
    </row>
    <row r="29878" spans="9:9" x14ac:dyDescent="0.3">
      <c r="I29878" s="101"/>
    </row>
    <row r="29879" spans="9:9" x14ac:dyDescent="0.3">
      <c r="I29879" s="101"/>
    </row>
    <row r="29880" spans="9:9" x14ac:dyDescent="0.3">
      <c r="I29880" s="101"/>
    </row>
    <row r="29881" spans="9:9" x14ac:dyDescent="0.3">
      <c r="I29881" s="101"/>
    </row>
    <row r="29882" spans="9:9" x14ac:dyDescent="0.3">
      <c r="I29882" s="101"/>
    </row>
    <row r="29883" spans="9:9" x14ac:dyDescent="0.3">
      <c r="I29883" s="101"/>
    </row>
    <row r="29884" spans="9:9" x14ac:dyDescent="0.3">
      <c r="I29884" s="101"/>
    </row>
    <row r="29885" spans="9:9" x14ac:dyDescent="0.3">
      <c r="I29885" s="101"/>
    </row>
    <row r="29886" spans="9:9" x14ac:dyDescent="0.3">
      <c r="I29886" s="101"/>
    </row>
    <row r="29887" spans="9:9" x14ac:dyDescent="0.3">
      <c r="I29887" s="101"/>
    </row>
    <row r="29888" spans="9:9" x14ac:dyDescent="0.3">
      <c r="I29888" s="101"/>
    </row>
    <row r="29889" spans="9:9" x14ac:dyDescent="0.3">
      <c r="I29889" s="101"/>
    </row>
    <row r="29890" spans="9:9" x14ac:dyDescent="0.3">
      <c r="I29890" s="101"/>
    </row>
    <row r="29891" spans="9:9" x14ac:dyDescent="0.3">
      <c r="I29891" s="101"/>
    </row>
    <row r="29892" spans="9:9" x14ac:dyDescent="0.3">
      <c r="I29892" s="101"/>
    </row>
    <row r="29893" spans="9:9" x14ac:dyDescent="0.3">
      <c r="I29893" s="101"/>
    </row>
    <row r="29894" spans="9:9" x14ac:dyDescent="0.3">
      <c r="I29894" s="101"/>
    </row>
    <row r="29895" spans="9:9" x14ac:dyDescent="0.3">
      <c r="I29895" s="101"/>
    </row>
    <row r="29896" spans="9:9" x14ac:dyDescent="0.3">
      <c r="I29896" s="101"/>
    </row>
    <row r="29897" spans="9:9" x14ac:dyDescent="0.3">
      <c r="I29897" s="101"/>
    </row>
    <row r="29898" spans="9:9" x14ac:dyDescent="0.3">
      <c r="I29898" s="101"/>
    </row>
    <row r="29899" spans="9:9" x14ac:dyDescent="0.3">
      <c r="I29899" s="101"/>
    </row>
    <row r="29900" spans="9:9" x14ac:dyDescent="0.3">
      <c r="I29900" s="101"/>
    </row>
    <row r="29901" spans="9:9" x14ac:dyDescent="0.3">
      <c r="I29901" s="101"/>
    </row>
    <row r="29902" spans="9:9" x14ac:dyDescent="0.3">
      <c r="I29902" s="101"/>
    </row>
    <row r="29903" spans="9:9" x14ac:dyDescent="0.3">
      <c r="I29903" s="101"/>
    </row>
    <row r="29904" spans="9:9" x14ac:dyDescent="0.3">
      <c r="I29904" s="101"/>
    </row>
    <row r="29905" spans="9:9" x14ac:dyDescent="0.3">
      <c r="I29905" s="101"/>
    </row>
    <row r="29906" spans="9:9" x14ac:dyDescent="0.3">
      <c r="I29906" s="101"/>
    </row>
    <row r="29907" spans="9:9" x14ac:dyDescent="0.3">
      <c r="I29907" s="101"/>
    </row>
    <row r="29908" spans="9:9" x14ac:dyDescent="0.3">
      <c r="I29908" s="101"/>
    </row>
    <row r="29909" spans="9:9" x14ac:dyDescent="0.3">
      <c r="I29909" s="101"/>
    </row>
    <row r="29910" spans="9:9" x14ac:dyDescent="0.3">
      <c r="I29910" s="101"/>
    </row>
    <row r="29911" spans="9:9" x14ac:dyDescent="0.3">
      <c r="I29911" s="101"/>
    </row>
    <row r="29912" spans="9:9" x14ac:dyDescent="0.3">
      <c r="I29912" s="101"/>
    </row>
    <row r="29913" spans="9:9" x14ac:dyDescent="0.3">
      <c r="I29913" s="101"/>
    </row>
    <row r="29914" spans="9:9" x14ac:dyDescent="0.3">
      <c r="I29914" s="101"/>
    </row>
    <row r="29915" spans="9:9" x14ac:dyDescent="0.3">
      <c r="I29915" s="101"/>
    </row>
    <row r="29916" spans="9:9" x14ac:dyDescent="0.3">
      <c r="I29916" s="101"/>
    </row>
    <row r="29917" spans="9:9" x14ac:dyDescent="0.3">
      <c r="I29917" s="101"/>
    </row>
    <row r="29918" spans="9:9" x14ac:dyDescent="0.3">
      <c r="I29918" s="101"/>
    </row>
    <row r="29919" spans="9:9" x14ac:dyDescent="0.3">
      <c r="I29919" s="101"/>
    </row>
    <row r="29920" spans="9:9" x14ac:dyDescent="0.3">
      <c r="I29920" s="101"/>
    </row>
    <row r="29921" spans="9:9" x14ac:dyDescent="0.3">
      <c r="I29921" s="101"/>
    </row>
    <row r="29922" spans="9:9" x14ac:dyDescent="0.3">
      <c r="I29922" s="101"/>
    </row>
    <row r="29923" spans="9:9" x14ac:dyDescent="0.3">
      <c r="I29923" s="101"/>
    </row>
    <row r="29924" spans="9:9" x14ac:dyDescent="0.3">
      <c r="I29924" s="101"/>
    </row>
    <row r="29925" spans="9:9" x14ac:dyDescent="0.3">
      <c r="I29925" s="101"/>
    </row>
    <row r="29926" spans="9:9" x14ac:dyDescent="0.3">
      <c r="I29926" s="101"/>
    </row>
    <row r="29927" spans="9:9" x14ac:dyDescent="0.3">
      <c r="I29927" s="101"/>
    </row>
    <row r="29928" spans="9:9" x14ac:dyDescent="0.3">
      <c r="I29928" s="101"/>
    </row>
    <row r="29929" spans="9:9" x14ac:dyDescent="0.3">
      <c r="I29929" s="101"/>
    </row>
    <row r="29930" spans="9:9" x14ac:dyDescent="0.3">
      <c r="I29930" s="101"/>
    </row>
    <row r="29931" spans="9:9" x14ac:dyDescent="0.3">
      <c r="I29931" s="101"/>
    </row>
    <row r="29932" spans="9:9" x14ac:dyDescent="0.3">
      <c r="I29932" s="101"/>
    </row>
    <row r="29933" spans="9:9" x14ac:dyDescent="0.3">
      <c r="I29933" s="101"/>
    </row>
    <row r="29934" spans="9:9" x14ac:dyDescent="0.3">
      <c r="I29934" s="101"/>
    </row>
    <row r="29935" spans="9:9" x14ac:dyDescent="0.3">
      <c r="I29935" s="101"/>
    </row>
    <row r="29936" spans="9:9" x14ac:dyDescent="0.3">
      <c r="I29936" s="101"/>
    </row>
    <row r="29937" spans="9:9" x14ac:dyDescent="0.3">
      <c r="I29937" s="101"/>
    </row>
    <row r="29938" spans="9:9" x14ac:dyDescent="0.3">
      <c r="I29938" s="101"/>
    </row>
    <row r="29939" spans="9:9" x14ac:dyDescent="0.3">
      <c r="I29939" s="101"/>
    </row>
    <row r="29940" spans="9:9" x14ac:dyDescent="0.3">
      <c r="I29940" s="101"/>
    </row>
    <row r="29941" spans="9:9" x14ac:dyDescent="0.3">
      <c r="I29941" s="101"/>
    </row>
    <row r="29942" spans="9:9" x14ac:dyDescent="0.3">
      <c r="I29942" s="101"/>
    </row>
    <row r="29943" spans="9:9" x14ac:dyDescent="0.3">
      <c r="I29943" s="101"/>
    </row>
    <row r="29944" spans="9:9" x14ac:dyDescent="0.3">
      <c r="I29944" s="101"/>
    </row>
    <row r="29945" spans="9:9" x14ac:dyDescent="0.3">
      <c r="I29945" s="101"/>
    </row>
    <row r="29946" spans="9:9" x14ac:dyDescent="0.3">
      <c r="I29946" s="101"/>
    </row>
    <row r="29947" spans="9:9" x14ac:dyDescent="0.3">
      <c r="I29947" s="101"/>
    </row>
    <row r="29948" spans="9:9" x14ac:dyDescent="0.3">
      <c r="I29948" s="101"/>
    </row>
    <row r="29949" spans="9:9" x14ac:dyDescent="0.3">
      <c r="I29949" s="101"/>
    </row>
    <row r="29950" spans="9:9" x14ac:dyDescent="0.3">
      <c r="I29950" s="101"/>
    </row>
    <row r="29951" spans="9:9" x14ac:dyDescent="0.3">
      <c r="I29951" s="101"/>
    </row>
    <row r="29952" spans="9:9" x14ac:dyDescent="0.3">
      <c r="I29952" s="101"/>
    </row>
    <row r="29953" spans="9:9" x14ac:dyDescent="0.3">
      <c r="I29953" s="101"/>
    </row>
    <row r="29954" spans="9:9" x14ac:dyDescent="0.3">
      <c r="I29954" s="101"/>
    </row>
    <row r="29955" spans="9:9" x14ac:dyDescent="0.3">
      <c r="I29955" s="101"/>
    </row>
    <row r="29956" spans="9:9" x14ac:dyDescent="0.3">
      <c r="I29956" s="101"/>
    </row>
    <row r="29957" spans="9:9" x14ac:dyDescent="0.3">
      <c r="I29957" s="101"/>
    </row>
    <row r="29958" spans="9:9" x14ac:dyDescent="0.3">
      <c r="I29958" s="101"/>
    </row>
    <row r="29959" spans="9:9" x14ac:dyDescent="0.3">
      <c r="I29959" s="101"/>
    </row>
    <row r="29960" spans="9:9" x14ac:dyDescent="0.3">
      <c r="I29960" s="101"/>
    </row>
    <row r="29961" spans="9:9" x14ac:dyDescent="0.3">
      <c r="I29961" s="101"/>
    </row>
    <row r="29962" spans="9:9" x14ac:dyDescent="0.3">
      <c r="I29962" s="101"/>
    </row>
    <row r="29963" spans="9:9" x14ac:dyDescent="0.3">
      <c r="I29963" s="101"/>
    </row>
    <row r="29964" spans="9:9" x14ac:dyDescent="0.3">
      <c r="I29964" s="101"/>
    </row>
    <row r="29965" spans="9:9" x14ac:dyDescent="0.3">
      <c r="I29965" s="101"/>
    </row>
    <row r="29966" spans="9:9" x14ac:dyDescent="0.3">
      <c r="I29966" s="101"/>
    </row>
    <row r="29967" spans="9:9" x14ac:dyDescent="0.3">
      <c r="I29967" s="101"/>
    </row>
    <row r="29968" spans="9:9" x14ac:dyDescent="0.3">
      <c r="I29968" s="101"/>
    </row>
    <row r="29969" spans="9:9" x14ac:dyDescent="0.3">
      <c r="I29969" s="101"/>
    </row>
    <row r="29970" spans="9:9" x14ac:dyDescent="0.3">
      <c r="I29970" s="101"/>
    </row>
    <row r="29971" spans="9:9" x14ac:dyDescent="0.3">
      <c r="I29971" s="101"/>
    </row>
    <row r="29972" spans="9:9" x14ac:dyDescent="0.3">
      <c r="I29972" s="101"/>
    </row>
    <row r="29973" spans="9:9" x14ac:dyDescent="0.3">
      <c r="I29973" s="101"/>
    </row>
    <row r="29974" spans="9:9" x14ac:dyDescent="0.3">
      <c r="I29974" s="101"/>
    </row>
    <row r="29975" spans="9:9" x14ac:dyDescent="0.3">
      <c r="I29975" s="101"/>
    </row>
    <row r="29976" spans="9:9" x14ac:dyDescent="0.3">
      <c r="I29976" s="101"/>
    </row>
    <row r="29977" spans="9:9" x14ac:dyDescent="0.3">
      <c r="I29977" s="101"/>
    </row>
    <row r="29978" spans="9:9" x14ac:dyDescent="0.3">
      <c r="I29978" s="101"/>
    </row>
    <row r="29979" spans="9:9" x14ac:dyDescent="0.3">
      <c r="I29979" s="101"/>
    </row>
    <row r="29980" spans="9:9" x14ac:dyDescent="0.3">
      <c r="I29980" s="101"/>
    </row>
    <row r="29981" spans="9:9" x14ac:dyDescent="0.3">
      <c r="I29981" s="101"/>
    </row>
    <row r="29982" spans="9:9" x14ac:dyDescent="0.3">
      <c r="I29982" s="101"/>
    </row>
    <row r="29983" spans="9:9" x14ac:dyDescent="0.3">
      <c r="I29983" s="101"/>
    </row>
    <row r="29984" spans="9:9" x14ac:dyDescent="0.3">
      <c r="I29984" s="101"/>
    </row>
    <row r="29985" spans="9:9" x14ac:dyDescent="0.3">
      <c r="I29985" s="101"/>
    </row>
    <row r="29986" spans="9:9" x14ac:dyDescent="0.3">
      <c r="I29986" s="101"/>
    </row>
    <row r="29987" spans="9:9" x14ac:dyDescent="0.3">
      <c r="I29987" s="101"/>
    </row>
    <row r="29988" spans="9:9" x14ac:dyDescent="0.3">
      <c r="I29988" s="101"/>
    </row>
    <row r="29989" spans="9:9" x14ac:dyDescent="0.3">
      <c r="I29989" s="101"/>
    </row>
    <row r="29990" spans="9:9" x14ac:dyDescent="0.3">
      <c r="I29990" s="101"/>
    </row>
    <row r="29991" spans="9:9" x14ac:dyDescent="0.3">
      <c r="I29991" s="101"/>
    </row>
    <row r="29992" spans="9:9" x14ac:dyDescent="0.3">
      <c r="I29992" s="101"/>
    </row>
    <row r="29993" spans="9:9" x14ac:dyDescent="0.3">
      <c r="I29993" s="101"/>
    </row>
    <row r="29994" spans="9:9" x14ac:dyDescent="0.3">
      <c r="I29994" s="101"/>
    </row>
    <row r="29995" spans="9:9" x14ac:dyDescent="0.3">
      <c r="I29995" s="101"/>
    </row>
    <row r="29996" spans="9:9" x14ac:dyDescent="0.3">
      <c r="I29996" s="101"/>
    </row>
    <row r="29997" spans="9:9" x14ac:dyDescent="0.3">
      <c r="I29997" s="101"/>
    </row>
    <row r="29998" spans="9:9" x14ac:dyDescent="0.3">
      <c r="I29998" s="101"/>
    </row>
    <row r="29999" spans="9:9" x14ac:dyDescent="0.3">
      <c r="I29999" s="101"/>
    </row>
    <row r="30000" spans="9:9" x14ac:dyDescent="0.3">
      <c r="I30000" s="101"/>
    </row>
    <row r="30001" spans="9:9" x14ac:dyDescent="0.3">
      <c r="I30001" s="101"/>
    </row>
    <row r="30002" spans="9:9" x14ac:dyDescent="0.3">
      <c r="I30002" s="101"/>
    </row>
    <row r="30003" spans="9:9" x14ac:dyDescent="0.3">
      <c r="I30003" s="101"/>
    </row>
    <row r="30004" spans="9:9" x14ac:dyDescent="0.3">
      <c r="I30004" s="101"/>
    </row>
    <row r="30005" spans="9:9" x14ac:dyDescent="0.3">
      <c r="I30005" s="101"/>
    </row>
    <row r="30006" spans="9:9" x14ac:dyDescent="0.3">
      <c r="I30006" s="101"/>
    </row>
    <row r="30007" spans="9:9" x14ac:dyDescent="0.3">
      <c r="I30007" s="101"/>
    </row>
    <row r="30008" spans="9:9" x14ac:dyDescent="0.3">
      <c r="I30008" s="101"/>
    </row>
    <row r="30009" spans="9:9" x14ac:dyDescent="0.3">
      <c r="I30009" s="101"/>
    </row>
    <row r="30010" spans="9:9" x14ac:dyDescent="0.3">
      <c r="I30010" s="101"/>
    </row>
    <row r="30011" spans="9:9" x14ac:dyDescent="0.3">
      <c r="I30011" s="101"/>
    </row>
    <row r="30012" spans="9:9" x14ac:dyDescent="0.3">
      <c r="I30012" s="101"/>
    </row>
    <row r="30013" spans="9:9" x14ac:dyDescent="0.3">
      <c r="I30013" s="101"/>
    </row>
    <row r="30014" spans="9:9" x14ac:dyDescent="0.3">
      <c r="I30014" s="101"/>
    </row>
    <row r="30015" spans="9:9" x14ac:dyDescent="0.3">
      <c r="I30015" s="101"/>
    </row>
    <row r="30016" spans="9:9" x14ac:dyDescent="0.3">
      <c r="I30016" s="101"/>
    </row>
    <row r="30017" spans="9:9" x14ac:dyDescent="0.3">
      <c r="I30017" s="101"/>
    </row>
    <row r="30018" spans="9:9" x14ac:dyDescent="0.3">
      <c r="I30018" s="101"/>
    </row>
    <row r="30019" spans="9:9" x14ac:dyDescent="0.3">
      <c r="I30019" s="101"/>
    </row>
    <row r="30020" spans="9:9" x14ac:dyDescent="0.3">
      <c r="I30020" s="101"/>
    </row>
    <row r="30021" spans="9:9" x14ac:dyDescent="0.3">
      <c r="I30021" s="101"/>
    </row>
    <row r="30022" spans="9:9" x14ac:dyDescent="0.3">
      <c r="I30022" s="101"/>
    </row>
    <row r="30023" spans="9:9" x14ac:dyDescent="0.3">
      <c r="I30023" s="101"/>
    </row>
    <row r="30024" spans="9:9" x14ac:dyDescent="0.3">
      <c r="I30024" s="101"/>
    </row>
    <row r="30025" spans="9:9" x14ac:dyDescent="0.3">
      <c r="I30025" s="101"/>
    </row>
    <row r="30026" spans="9:9" x14ac:dyDescent="0.3">
      <c r="I30026" s="101"/>
    </row>
    <row r="30027" spans="9:9" x14ac:dyDescent="0.3">
      <c r="I30027" s="101"/>
    </row>
    <row r="30028" spans="9:9" x14ac:dyDescent="0.3">
      <c r="I30028" s="101"/>
    </row>
    <row r="30029" spans="9:9" x14ac:dyDescent="0.3">
      <c r="I30029" s="101"/>
    </row>
    <row r="30030" spans="9:9" x14ac:dyDescent="0.3">
      <c r="I30030" s="101"/>
    </row>
    <row r="30031" spans="9:9" x14ac:dyDescent="0.3">
      <c r="I30031" s="101"/>
    </row>
    <row r="30032" spans="9:9" x14ac:dyDescent="0.3">
      <c r="I30032" s="101"/>
    </row>
    <row r="30033" spans="9:9" x14ac:dyDescent="0.3">
      <c r="I30033" s="101"/>
    </row>
    <row r="30034" spans="9:9" x14ac:dyDescent="0.3">
      <c r="I30034" s="101"/>
    </row>
    <row r="30035" spans="9:9" x14ac:dyDescent="0.3">
      <c r="I30035" s="101"/>
    </row>
    <row r="30036" spans="9:9" x14ac:dyDescent="0.3">
      <c r="I30036" s="101"/>
    </row>
    <row r="30037" spans="9:9" x14ac:dyDescent="0.3">
      <c r="I30037" s="101"/>
    </row>
    <row r="30038" spans="9:9" x14ac:dyDescent="0.3">
      <c r="I30038" s="101"/>
    </row>
    <row r="30039" spans="9:9" x14ac:dyDescent="0.3">
      <c r="I30039" s="101"/>
    </row>
    <row r="30040" spans="9:9" x14ac:dyDescent="0.3">
      <c r="I30040" s="101"/>
    </row>
    <row r="30041" spans="9:9" x14ac:dyDescent="0.3">
      <c r="I30041" s="101"/>
    </row>
    <row r="30042" spans="9:9" x14ac:dyDescent="0.3">
      <c r="I30042" s="101"/>
    </row>
    <row r="30043" spans="9:9" x14ac:dyDescent="0.3">
      <c r="I30043" s="101"/>
    </row>
    <row r="30044" spans="9:9" x14ac:dyDescent="0.3">
      <c r="I30044" s="101"/>
    </row>
    <row r="30045" spans="9:9" x14ac:dyDescent="0.3">
      <c r="I30045" s="101"/>
    </row>
    <row r="30046" spans="9:9" x14ac:dyDescent="0.3">
      <c r="I30046" s="101"/>
    </row>
    <row r="30047" spans="9:9" x14ac:dyDescent="0.3">
      <c r="I30047" s="101"/>
    </row>
    <row r="30048" spans="9:9" x14ac:dyDescent="0.3">
      <c r="I30048" s="101"/>
    </row>
    <row r="30049" spans="9:9" x14ac:dyDescent="0.3">
      <c r="I30049" s="101"/>
    </row>
    <row r="30050" spans="9:9" x14ac:dyDescent="0.3">
      <c r="I30050" s="101"/>
    </row>
    <row r="30051" spans="9:9" x14ac:dyDescent="0.3">
      <c r="I30051" s="101"/>
    </row>
    <row r="30052" spans="9:9" x14ac:dyDescent="0.3">
      <c r="I30052" s="101"/>
    </row>
    <row r="30053" spans="9:9" x14ac:dyDescent="0.3">
      <c r="I30053" s="101"/>
    </row>
    <row r="30054" spans="9:9" x14ac:dyDescent="0.3">
      <c r="I30054" s="101"/>
    </row>
    <row r="30055" spans="9:9" x14ac:dyDescent="0.3">
      <c r="I30055" s="101"/>
    </row>
    <row r="30056" spans="9:9" x14ac:dyDescent="0.3">
      <c r="I30056" s="101"/>
    </row>
    <row r="30057" spans="9:9" x14ac:dyDescent="0.3">
      <c r="I30057" s="101"/>
    </row>
    <row r="30058" spans="9:9" x14ac:dyDescent="0.3">
      <c r="I30058" s="101"/>
    </row>
    <row r="30059" spans="9:9" x14ac:dyDescent="0.3">
      <c r="I30059" s="101"/>
    </row>
    <row r="30060" spans="9:9" x14ac:dyDescent="0.3">
      <c r="I30060" s="101"/>
    </row>
    <row r="30061" spans="9:9" x14ac:dyDescent="0.3">
      <c r="I30061" s="101"/>
    </row>
    <row r="30062" spans="9:9" x14ac:dyDescent="0.3">
      <c r="I30062" s="101"/>
    </row>
    <row r="30063" spans="9:9" x14ac:dyDescent="0.3">
      <c r="I30063" s="101"/>
    </row>
    <row r="30064" spans="9:9" x14ac:dyDescent="0.3">
      <c r="I30064" s="101"/>
    </row>
    <row r="30065" spans="9:9" x14ac:dyDescent="0.3">
      <c r="I30065" s="101"/>
    </row>
    <row r="30066" spans="9:9" x14ac:dyDescent="0.3">
      <c r="I30066" s="101"/>
    </row>
    <row r="30067" spans="9:9" x14ac:dyDescent="0.3">
      <c r="I30067" s="101"/>
    </row>
    <row r="30068" spans="9:9" x14ac:dyDescent="0.3">
      <c r="I30068" s="101"/>
    </row>
    <row r="30069" spans="9:9" x14ac:dyDescent="0.3">
      <c r="I30069" s="101"/>
    </row>
    <row r="30070" spans="9:9" x14ac:dyDescent="0.3">
      <c r="I30070" s="101"/>
    </row>
    <row r="30071" spans="9:9" x14ac:dyDescent="0.3">
      <c r="I30071" s="101"/>
    </row>
    <row r="30072" spans="9:9" x14ac:dyDescent="0.3">
      <c r="I30072" s="101"/>
    </row>
    <row r="30073" spans="9:9" x14ac:dyDescent="0.3">
      <c r="I30073" s="101"/>
    </row>
    <row r="30074" spans="9:9" x14ac:dyDescent="0.3">
      <c r="I30074" s="101"/>
    </row>
    <row r="30075" spans="9:9" x14ac:dyDescent="0.3">
      <c r="I30075" s="101"/>
    </row>
    <row r="30076" spans="9:9" x14ac:dyDescent="0.3">
      <c r="I30076" s="101"/>
    </row>
    <row r="30077" spans="9:9" x14ac:dyDescent="0.3">
      <c r="I30077" s="101"/>
    </row>
    <row r="30078" spans="9:9" x14ac:dyDescent="0.3">
      <c r="I30078" s="101"/>
    </row>
    <row r="30079" spans="9:9" x14ac:dyDescent="0.3">
      <c r="I30079" s="101"/>
    </row>
    <row r="30080" spans="9:9" x14ac:dyDescent="0.3">
      <c r="I30080" s="101"/>
    </row>
    <row r="30081" spans="9:9" x14ac:dyDescent="0.3">
      <c r="I30081" s="101"/>
    </row>
    <row r="30082" spans="9:9" x14ac:dyDescent="0.3">
      <c r="I30082" s="101"/>
    </row>
    <row r="30083" spans="9:9" x14ac:dyDescent="0.3">
      <c r="I30083" s="101"/>
    </row>
    <row r="30084" spans="9:9" x14ac:dyDescent="0.3">
      <c r="I30084" s="101"/>
    </row>
    <row r="30085" spans="9:9" x14ac:dyDescent="0.3">
      <c r="I30085" s="101"/>
    </row>
    <row r="30086" spans="9:9" x14ac:dyDescent="0.3">
      <c r="I30086" s="101"/>
    </row>
    <row r="30087" spans="9:9" x14ac:dyDescent="0.3">
      <c r="I30087" s="101"/>
    </row>
    <row r="30088" spans="9:9" x14ac:dyDescent="0.3">
      <c r="I30088" s="101"/>
    </row>
    <row r="30089" spans="9:9" x14ac:dyDescent="0.3">
      <c r="I30089" s="101"/>
    </row>
    <row r="30090" spans="9:9" x14ac:dyDescent="0.3">
      <c r="I30090" s="101"/>
    </row>
    <row r="30091" spans="9:9" x14ac:dyDescent="0.3">
      <c r="I30091" s="101"/>
    </row>
    <row r="30092" spans="9:9" x14ac:dyDescent="0.3">
      <c r="I30092" s="101"/>
    </row>
    <row r="30093" spans="9:9" x14ac:dyDescent="0.3">
      <c r="I30093" s="101"/>
    </row>
    <row r="30094" spans="9:9" x14ac:dyDescent="0.3">
      <c r="I30094" s="101"/>
    </row>
    <row r="30095" spans="9:9" x14ac:dyDescent="0.3">
      <c r="I30095" s="101"/>
    </row>
    <row r="30096" spans="9:9" x14ac:dyDescent="0.3">
      <c r="I30096" s="101"/>
    </row>
    <row r="30097" spans="9:9" x14ac:dyDescent="0.3">
      <c r="I30097" s="101"/>
    </row>
    <row r="30098" spans="9:9" x14ac:dyDescent="0.3">
      <c r="I30098" s="101"/>
    </row>
    <row r="30099" spans="9:9" x14ac:dyDescent="0.3">
      <c r="I30099" s="101"/>
    </row>
    <row r="30100" spans="9:9" x14ac:dyDescent="0.3">
      <c r="I30100" s="101"/>
    </row>
    <row r="30101" spans="9:9" x14ac:dyDescent="0.3">
      <c r="I30101" s="101"/>
    </row>
    <row r="30102" spans="9:9" x14ac:dyDescent="0.3">
      <c r="I30102" s="101"/>
    </row>
    <row r="30103" spans="9:9" x14ac:dyDescent="0.3">
      <c r="I30103" s="101"/>
    </row>
    <row r="30104" spans="9:9" x14ac:dyDescent="0.3">
      <c r="I30104" s="101"/>
    </row>
    <row r="30105" spans="9:9" x14ac:dyDescent="0.3">
      <c r="I30105" s="101"/>
    </row>
    <row r="30106" spans="9:9" x14ac:dyDescent="0.3">
      <c r="I30106" s="101"/>
    </row>
    <row r="30107" spans="9:9" x14ac:dyDescent="0.3">
      <c r="I30107" s="101"/>
    </row>
    <row r="30108" spans="9:9" x14ac:dyDescent="0.3">
      <c r="I30108" s="101"/>
    </row>
    <row r="30109" spans="9:9" x14ac:dyDescent="0.3">
      <c r="I30109" s="101"/>
    </row>
    <row r="30110" spans="9:9" x14ac:dyDescent="0.3">
      <c r="I30110" s="101"/>
    </row>
    <row r="30111" spans="9:9" x14ac:dyDescent="0.3">
      <c r="I30111" s="101"/>
    </row>
    <row r="30112" spans="9:9" x14ac:dyDescent="0.3">
      <c r="I30112" s="101"/>
    </row>
    <row r="30113" spans="9:9" x14ac:dyDescent="0.3">
      <c r="I30113" s="101"/>
    </row>
    <row r="30114" spans="9:9" x14ac:dyDescent="0.3">
      <c r="I30114" s="101"/>
    </row>
    <row r="30115" spans="9:9" x14ac:dyDescent="0.3">
      <c r="I30115" s="101"/>
    </row>
    <row r="30116" spans="9:9" x14ac:dyDescent="0.3">
      <c r="I30116" s="101"/>
    </row>
    <row r="30117" spans="9:9" x14ac:dyDescent="0.3">
      <c r="I30117" s="101"/>
    </row>
    <row r="30118" spans="9:9" x14ac:dyDescent="0.3">
      <c r="I30118" s="101"/>
    </row>
    <row r="30119" spans="9:9" x14ac:dyDescent="0.3">
      <c r="I30119" s="101"/>
    </row>
    <row r="30120" spans="9:9" x14ac:dyDescent="0.3">
      <c r="I30120" s="101"/>
    </row>
    <row r="30121" spans="9:9" x14ac:dyDescent="0.3">
      <c r="I30121" s="101"/>
    </row>
    <row r="30122" spans="9:9" x14ac:dyDescent="0.3">
      <c r="I30122" s="101"/>
    </row>
    <row r="30123" spans="9:9" x14ac:dyDescent="0.3">
      <c r="I30123" s="101"/>
    </row>
    <row r="30124" spans="9:9" x14ac:dyDescent="0.3">
      <c r="I30124" s="101"/>
    </row>
    <row r="30125" spans="9:9" x14ac:dyDescent="0.3">
      <c r="I30125" s="101"/>
    </row>
    <row r="30126" spans="9:9" x14ac:dyDescent="0.3">
      <c r="I30126" s="101"/>
    </row>
    <row r="30127" spans="9:9" x14ac:dyDescent="0.3">
      <c r="I30127" s="101"/>
    </row>
    <row r="30128" spans="9:9" x14ac:dyDescent="0.3">
      <c r="I30128" s="101"/>
    </row>
    <row r="30129" spans="9:9" x14ac:dyDescent="0.3">
      <c r="I30129" s="101"/>
    </row>
    <row r="30130" spans="9:9" x14ac:dyDescent="0.3">
      <c r="I30130" s="101"/>
    </row>
    <row r="30131" spans="9:9" x14ac:dyDescent="0.3">
      <c r="I30131" s="101"/>
    </row>
    <row r="30132" spans="9:9" x14ac:dyDescent="0.3">
      <c r="I30132" s="101"/>
    </row>
    <row r="30133" spans="9:9" x14ac:dyDescent="0.3">
      <c r="I30133" s="101"/>
    </row>
    <row r="30134" spans="9:9" x14ac:dyDescent="0.3">
      <c r="I30134" s="101"/>
    </row>
    <row r="30135" spans="9:9" x14ac:dyDescent="0.3">
      <c r="I30135" s="101"/>
    </row>
    <row r="30136" spans="9:9" x14ac:dyDescent="0.3">
      <c r="I30136" s="101"/>
    </row>
    <row r="30137" spans="9:9" x14ac:dyDescent="0.3">
      <c r="I30137" s="101"/>
    </row>
    <row r="30138" spans="9:9" x14ac:dyDescent="0.3">
      <c r="I30138" s="101"/>
    </row>
    <row r="30139" spans="9:9" x14ac:dyDescent="0.3">
      <c r="I30139" s="101"/>
    </row>
    <row r="30140" spans="9:9" x14ac:dyDescent="0.3">
      <c r="I30140" s="101"/>
    </row>
    <row r="30141" spans="9:9" x14ac:dyDescent="0.3">
      <c r="I30141" s="101"/>
    </row>
    <row r="30142" spans="9:9" x14ac:dyDescent="0.3">
      <c r="I30142" s="101"/>
    </row>
    <row r="30143" spans="9:9" x14ac:dyDescent="0.3">
      <c r="I30143" s="101"/>
    </row>
    <row r="30144" spans="9:9" x14ac:dyDescent="0.3">
      <c r="I30144" s="101"/>
    </row>
    <row r="30145" spans="9:9" x14ac:dyDescent="0.3">
      <c r="I30145" s="101"/>
    </row>
    <row r="30146" spans="9:9" x14ac:dyDescent="0.3">
      <c r="I30146" s="101"/>
    </row>
    <row r="30147" spans="9:9" x14ac:dyDescent="0.3">
      <c r="I30147" s="101"/>
    </row>
    <row r="30148" spans="9:9" x14ac:dyDescent="0.3">
      <c r="I30148" s="101"/>
    </row>
    <row r="30149" spans="9:9" x14ac:dyDescent="0.3">
      <c r="I30149" s="101"/>
    </row>
    <row r="30150" spans="9:9" x14ac:dyDescent="0.3">
      <c r="I30150" s="101"/>
    </row>
    <row r="30151" spans="9:9" x14ac:dyDescent="0.3">
      <c r="I30151" s="101"/>
    </row>
    <row r="30152" spans="9:9" x14ac:dyDescent="0.3">
      <c r="I30152" s="101"/>
    </row>
    <row r="30153" spans="9:9" x14ac:dyDescent="0.3">
      <c r="I30153" s="101"/>
    </row>
    <row r="30154" spans="9:9" x14ac:dyDescent="0.3">
      <c r="I30154" s="101"/>
    </row>
    <row r="30155" spans="9:9" x14ac:dyDescent="0.3">
      <c r="I30155" s="101"/>
    </row>
    <row r="30156" spans="9:9" x14ac:dyDescent="0.3">
      <c r="I30156" s="101"/>
    </row>
    <row r="30157" spans="9:9" x14ac:dyDescent="0.3">
      <c r="I30157" s="101"/>
    </row>
    <row r="30158" spans="9:9" x14ac:dyDescent="0.3">
      <c r="I30158" s="101"/>
    </row>
    <row r="30159" spans="9:9" x14ac:dyDescent="0.3">
      <c r="I30159" s="101"/>
    </row>
    <row r="30160" spans="9:9" x14ac:dyDescent="0.3">
      <c r="I30160" s="101"/>
    </row>
    <row r="30161" spans="9:9" x14ac:dyDescent="0.3">
      <c r="I30161" s="101"/>
    </row>
    <row r="30162" spans="9:9" x14ac:dyDescent="0.3">
      <c r="I30162" s="101"/>
    </row>
    <row r="30163" spans="9:9" x14ac:dyDescent="0.3">
      <c r="I30163" s="101"/>
    </row>
    <row r="30164" spans="9:9" x14ac:dyDescent="0.3">
      <c r="I30164" s="101"/>
    </row>
    <row r="30165" spans="9:9" x14ac:dyDescent="0.3">
      <c r="I30165" s="101"/>
    </row>
    <row r="30166" spans="9:9" x14ac:dyDescent="0.3">
      <c r="I30166" s="101"/>
    </row>
    <row r="30167" spans="9:9" x14ac:dyDescent="0.3">
      <c r="I30167" s="101"/>
    </row>
    <row r="30168" spans="9:9" x14ac:dyDescent="0.3">
      <c r="I30168" s="101"/>
    </row>
    <row r="30169" spans="9:9" x14ac:dyDescent="0.3">
      <c r="I30169" s="101"/>
    </row>
    <row r="30170" spans="9:9" x14ac:dyDescent="0.3">
      <c r="I30170" s="101"/>
    </row>
    <row r="30171" spans="9:9" x14ac:dyDescent="0.3">
      <c r="I30171" s="101"/>
    </row>
    <row r="30172" spans="9:9" x14ac:dyDescent="0.3">
      <c r="I30172" s="101"/>
    </row>
    <row r="30173" spans="9:9" x14ac:dyDescent="0.3">
      <c r="I30173" s="101"/>
    </row>
    <row r="30174" spans="9:9" x14ac:dyDescent="0.3">
      <c r="I30174" s="101"/>
    </row>
    <row r="30175" spans="9:9" x14ac:dyDescent="0.3">
      <c r="I30175" s="101"/>
    </row>
    <row r="30176" spans="9:9" x14ac:dyDescent="0.3">
      <c r="I30176" s="101"/>
    </row>
    <row r="30177" spans="9:9" x14ac:dyDescent="0.3">
      <c r="I30177" s="101"/>
    </row>
    <row r="30178" spans="9:9" x14ac:dyDescent="0.3">
      <c r="I30178" s="101"/>
    </row>
    <row r="30179" spans="9:9" x14ac:dyDescent="0.3">
      <c r="I30179" s="101"/>
    </row>
    <row r="30180" spans="9:9" x14ac:dyDescent="0.3">
      <c r="I30180" s="101"/>
    </row>
    <row r="30181" spans="9:9" x14ac:dyDescent="0.3">
      <c r="I30181" s="101"/>
    </row>
    <row r="30182" spans="9:9" x14ac:dyDescent="0.3">
      <c r="I30182" s="101"/>
    </row>
    <row r="30183" spans="9:9" x14ac:dyDescent="0.3">
      <c r="I30183" s="101"/>
    </row>
    <row r="30184" spans="9:9" x14ac:dyDescent="0.3">
      <c r="I30184" s="101"/>
    </row>
    <row r="30185" spans="9:9" x14ac:dyDescent="0.3">
      <c r="I30185" s="101"/>
    </row>
    <row r="30186" spans="9:9" x14ac:dyDescent="0.3">
      <c r="I30186" s="101"/>
    </row>
    <row r="30187" spans="9:9" x14ac:dyDescent="0.3">
      <c r="I30187" s="101"/>
    </row>
    <row r="30188" spans="9:9" x14ac:dyDescent="0.3">
      <c r="I30188" s="101"/>
    </row>
    <row r="30189" spans="9:9" x14ac:dyDescent="0.3">
      <c r="I30189" s="101"/>
    </row>
    <row r="30190" spans="9:9" x14ac:dyDescent="0.3">
      <c r="I30190" s="101"/>
    </row>
    <row r="30191" spans="9:9" x14ac:dyDescent="0.3">
      <c r="I30191" s="101"/>
    </row>
    <row r="30192" spans="9:9" x14ac:dyDescent="0.3">
      <c r="I30192" s="101"/>
    </row>
    <row r="30193" spans="9:9" x14ac:dyDescent="0.3">
      <c r="I30193" s="101"/>
    </row>
    <row r="30194" spans="9:9" x14ac:dyDescent="0.3">
      <c r="I30194" s="101"/>
    </row>
    <row r="30195" spans="9:9" x14ac:dyDescent="0.3">
      <c r="I30195" s="101"/>
    </row>
    <row r="30196" spans="9:9" x14ac:dyDescent="0.3">
      <c r="I30196" s="101"/>
    </row>
    <row r="30197" spans="9:9" x14ac:dyDescent="0.3">
      <c r="I30197" s="101"/>
    </row>
    <row r="30198" spans="9:9" x14ac:dyDescent="0.3">
      <c r="I30198" s="101"/>
    </row>
    <row r="30199" spans="9:9" x14ac:dyDescent="0.3">
      <c r="I30199" s="101"/>
    </row>
    <row r="30200" spans="9:9" x14ac:dyDescent="0.3">
      <c r="I30200" s="101"/>
    </row>
    <row r="30201" spans="9:9" x14ac:dyDescent="0.3">
      <c r="I30201" s="101"/>
    </row>
    <row r="30202" spans="9:9" x14ac:dyDescent="0.3">
      <c r="I30202" s="101"/>
    </row>
    <row r="30203" spans="9:9" x14ac:dyDescent="0.3">
      <c r="I30203" s="101"/>
    </row>
    <row r="30204" spans="9:9" x14ac:dyDescent="0.3">
      <c r="I30204" s="101"/>
    </row>
    <row r="30205" spans="9:9" x14ac:dyDescent="0.3">
      <c r="I30205" s="101"/>
    </row>
    <row r="30206" spans="9:9" x14ac:dyDescent="0.3">
      <c r="I30206" s="101"/>
    </row>
    <row r="30207" spans="9:9" x14ac:dyDescent="0.3">
      <c r="I30207" s="101"/>
    </row>
    <row r="30208" spans="9:9" x14ac:dyDescent="0.3">
      <c r="I30208" s="101"/>
    </row>
    <row r="30209" spans="9:9" x14ac:dyDescent="0.3">
      <c r="I30209" s="101"/>
    </row>
    <row r="30210" spans="9:9" x14ac:dyDescent="0.3">
      <c r="I30210" s="101"/>
    </row>
    <row r="30211" spans="9:9" x14ac:dyDescent="0.3">
      <c r="I30211" s="101"/>
    </row>
    <row r="30212" spans="9:9" x14ac:dyDescent="0.3">
      <c r="I30212" s="101"/>
    </row>
    <row r="30213" spans="9:9" x14ac:dyDescent="0.3">
      <c r="I30213" s="101"/>
    </row>
    <row r="30214" spans="9:9" x14ac:dyDescent="0.3">
      <c r="I30214" s="101"/>
    </row>
    <row r="30215" spans="9:9" x14ac:dyDescent="0.3">
      <c r="I30215" s="101"/>
    </row>
    <row r="30216" spans="9:9" x14ac:dyDescent="0.3">
      <c r="I30216" s="101"/>
    </row>
    <row r="30217" spans="9:9" x14ac:dyDescent="0.3">
      <c r="I30217" s="101"/>
    </row>
    <row r="30218" spans="9:9" x14ac:dyDescent="0.3">
      <c r="I30218" s="101"/>
    </row>
    <row r="30219" spans="9:9" x14ac:dyDescent="0.3">
      <c r="I30219" s="101"/>
    </row>
    <row r="30220" spans="9:9" x14ac:dyDescent="0.3">
      <c r="I30220" s="101"/>
    </row>
    <row r="30221" spans="9:9" x14ac:dyDescent="0.3">
      <c r="I30221" s="101"/>
    </row>
    <row r="30222" spans="9:9" x14ac:dyDescent="0.3">
      <c r="I30222" s="101"/>
    </row>
    <row r="30223" spans="9:9" x14ac:dyDescent="0.3">
      <c r="I30223" s="101"/>
    </row>
    <row r="30224" spans="9:9" x14ac:dyDescent="0.3">
      <c r="I30224" s="101"/>
    </row>
    <row r="30225" spans="9:9" x14ac:dyDescent="0.3">
      <c r="I30225" s="101"/>
    </row>
    <row r="30226" spans="9:9" x14ac:dyDescent="0.3">
      <c r="I30226" s="101"/>
    </row>
    <row r="30227" spans="9:9" x14ac:dyDescent="0.3">
      <c r="I30227" s="101"/>
    </row>
    <row r="30228" spans="9:9" x14ac:dyDescent="0.3">
      <c r="I30228" s="101"/>
    </row>
    <row r="30229" spans="9:9" x14ac:dyDescent="0.3">
      <c r="I30229" s="101"/>
    </row>
    <row r="30230" spans="9:9" x14ac:dyDescent="0.3">
      <c r="I30230" s="101"/>
    </row>
    <row r="30231" spans="9:9" x14ac:dyDescent="0.3">
      <c r="I30231" s="101"/>
    </row>
    <row r="30232" spans="9:9" x14ac:dyDescent="0.3">
      <c r="I30232" s="101"/>
    </row>
    <row r="30233" spans="9:9" x14ac:dyDescent="0.3">
      <c r="I30233" s="101"/>
    </row>
    <row r="30234" spans="9:9" x14ac:dyDescent="0.3">
      <c r="I30234" s="101"/>
    </row>
    <row r="30235" spans="9:9" x14ac:dyDescent="0.3">
      <c r="I30235" s="101"/>
    </row>
    <row r="30236" spans="9:9" x14ac:dyDescent="0.3">
      <c r="I30236" s="101"/>
    </row>
    <row r="30237" spans="9:9" x14ac:dyDescent="0.3">
      <c r="I30237" s="101"/>
    </row>
    <row r="30238" spans="9:9" x14ac:dyDescent="0.3">
      <c r="I30238" s="101"/>
    </row>
    <row r="30239" spans="9:9" x14ac:dyDescent="0.3">
      <c r="I30239" s="101"/>
    </row>
    <row r="30240" spans="9:9" x14ac:dyDescent="0.3">
      <c r="I30240" s="101"/>
    </row>
    <row r="30241" spans="9:9" x14ac:dyDescent="0.3">
      <c r="I30241" s="101"/>
    </row>
    <row r="30242" spans="9:9" x14ac:dyDescent="0.3">
      <c r="I30242" s="101"/>
    </row>
    <row r="30243" spans="9:9" x14ac:dyDescent="0.3">
      <c r="I30243" s="101"/>
    </row>
    <row r="30244" spans="9:9" x14ac:dyDescent="0.3">
      <c r="I30244" s="101"/>
    </row>
    <row r="30245" spans="9:9" x14ac:dyDescent="0.3">
      <c r="I30245" s="101"/>
    </row>
    <row r="30246" spans="9:9" x14ac:dyDescent="0.3">
      <c r="I30246" s="101"/>
    </row>
    <row r="30247" spans="9:9" x14ac:dyDescent="0.3">
      <c r="I30247" s="101"/>
    </row>
    <row r="30248" spans="9:9" x14ac:dyDescent="0.3">
      <c r="I30248" s="101"/>
    </row>
    <row r="30249" spans="9:9" x14ac:dyDescent="0.3">
      <c r="I30249" s="101"/>
    </row>
    <row r="30250" spans="9:9" x14ac:dyDescent="0.3">
      <c r="I30250" s="101"/>
    </row>
    <row r="30251" spans="9:9" x14ac:dyDescent="0.3">
      <c r="I30251" s="101"/>
    </row>
    <row r="30252" spans="9:9" x14ac:dyDescent="0.3">
      <c r="I30252" s="101"/>
    </row>
    <row r="30253" spans="9:9" x14ac:dyDescent="0.3">
      <c r="I30253" s="101"/>
    </row>
    <row r="30254" spans="9:9" x14ac:dyDescent="0.3">
      <c r="I30254" s="101"/>
    </row>
    <row r="30255" spans="9:9" x14ac:dyDescent="0.3">
      <c r="I30255" s="101"/>
    </row>
    <row r="30256" spans="9:9" x14ac:dyDescent="0.3">
      <c r="I30256" s="101"/>
    </row>
    <row r="30257" spans="9:9" x14ac:dyDescent="0.3">
      <c r="I30257" s="101"/>
    </row>
    <row r="30258" spans="9:9" x14ac:dyDescent="0.3">
      <c r="I30258" s="101"/>
    </row>
    <row r="30259" spans="9:9" x14ac:dyDescent="0.3">
      <c r="I30259" s="101"/>
    </row>
    <row r="30260" spans="9:9" x14ac:dyDescent="0.3">
      <c r="I30260" s="101"/>
    </row>
    <row r="30261" spans="9:9" x14ac:dyDescent="0.3">
      <c r="I30261" s="101"/>
    </row>
    <row r="30262" spans="9:9" x14ac:dyDescent="0.3">
      <c r="I30262" s="101"/>
    </row>
    <row r="30263" spans="9:9" x14ac:dyDescent="0.3">
      <c r="I30263" s="101"/>
    </row>
    <row r="30264" spans="9:9" x14ac:dyDescent="0.3">
      <c r="I30264" s="101"/>
    </row>
    <row r="30265" spans="9:9" x14ac:dyDescent="0.3">
      <c r="I30265" s="101"/>
    </row>
    <row r="30266" spans="9:9" x14ac:dyDescent="0.3">
      <c r="I30266" s="101"/>
    </row>
    <row r="30267" spans="9:9" x14ac:dyDescent="0.3">
      <c r="I30267" s="101"/>
    </row>
    <row r="30268" spans="9:9" x14ac:dyDescent="0.3">
      <c r="I30268" s="101"/>
    </row>
    <row r="30269" spans="9:9" x14ac:dyDescent="0.3">
      <c r="I30269" s="101"/>
    </row>
    <row r="30270" spans="9:9" x14ac:dyDescent="0.3">
      <c r="I30270" s="101"/>
    </row>
    <row r="30271" spans="9:9" x14ac:dyDescent="0.3">
      <c r="I30271" s="101"/>
    </row>
    <row r="30272" spans="9:9" x14ac:dyDescent="0.3">
      <c r="I30272" s="101"/>
    </row>
    <row r="30273" spans="9:9" x14ac:dyDescent="0.3">
      <c r="I30273" s="101"/>
    </row>
    <row r="30274" spans="9:9" x14ac:dyDescent="0.3">
      <c r="I30274" s="101"/>
    </row>
    <row r="30275" spans="9:9" x14ac:dyDescent="0.3">
      <c r="I30275" s="101"/>
    </row>
    <row r="30276" spans="9:9" x14ac:dyDescent="0.3">
      <c r="I30276" s="101"/>
    </row>
    <row r="30277" spans="9:9" x14ac:dyDescent="0.3">
      <c r="I30277" s="101"/>
    </row>
    <row r="30278" spans="9:9" x14ac:dyDescent="0.3">
      <c r="I30278" s="101"/>
    </row>
    <row r="30279" spans="9:9" x14ac:dyDescent="0.3">
      <c r="I30279" s="101"/>
    </row>
    <row r="30280" spans="9:9" x14ac:dyDescent="0.3">
      <c r="I30280" s="101"/>
    </row>
    <row r="30281" spans="9:9" x14ac:dyDescent="0.3">
      <c r="I30281" s="101"/>
    </row>
    <row r="30282" spans="9:9" x14ac:dyDescent="0.3">
      <c r="I30282" s="101"/>
    </row>
    <row r="30283" spans="9:9" x14ac:dyDescent="0.3">
      <c r="I30283" s="101"/>
    </row>
    <row r="30284" spans="9:9" x14ac:dyDescent="0.3">
      <c r="I30284" s="101"/>
    </row>
    <row r="30285" spans="9:9" x14ac:dyDescent="0.3">
      <c r="I30285" s="101"/>
    </row>
    <row r="30286" spans="9:9" x14ac:dyDescent="0.3">
      <c r="I30286" s="101"/>
    </row>
    <row r="30287" spans="9:9" x14ac:dyDescent="0.3">
      <c r="I30287" s="101"/>
    </row>
    <row r="30288" spans="9:9" x14ac:dyDescent="0.3">
      <c r="I30288" s="101"/>
    </row>
    <row r="30289" spans="9:9" x14ac:dyDescent="0.3">
      <c r="I30289" s="101"/>
    </row>
    <row r="30290" spans="9:9" x14ac:dyDescent="0.3">
      <c r="I30290" s="101"/>
    </row>
    <row r="30291" spans="9:9" x14ac:dyDescent="0.3">
      <c r="I30291" s="101"/>
    </row>
    <row r="30292" spans="9:9" x14ac:dyDescent="0.3">
      <c r="I30292" s="101"/>
    </row>
    <row r="30293" spans="9:9" x14ac:dyDescent="0.3">
      <c r="I30293" s="101"/>
    </row>
    <row r="30294" spans="9:9" x14ac:dyDescent="0.3">
      <c r="I30294" s="101"/>
    </row>
    <row r="30295" spans="9:9" x14ac:dyDescent="0.3">
      <c r="I30295" s="101"/>
    </row>
    <row r="30296" spans="9:9" x14ac:dyDescent="0.3">
      <c r="I30296" s="101"/>
    </row>
    <row r="30297" spans="9:9" x14ac:dyDescent="0.3">
      <c r="I30297" s="101"/>
    </row>
    <row r="30298" spans="9:9" x14ac:dyDescent="0.3">
      <c r="I30298" s="101"/>
    </row>
    <row r="30299" spans="9:9" x14ac:dyDescent="0.3">
      <c r="I30299" s="101"/>
    </row>
    <row r="30300" spans="9:9" x14ac:dyDescent="0.3">
      <c r="I30300" s="101"/>
    </row>
    <row r="30301" spans="9:9" x14ac:dyDescent="0.3">
      <c r="I30301" s="101"/>
    </row>
    <row r="30302" spans="9:9" x14ac:dyDescent="0.3">
      <c r="I30302" s="101"/>
    </row>
    <row r="30303" spans="9:9" x14ac:dyDescent="0.3">
      <c r="I30303" s="101"/>
    </row>
    <row r="30304" spans="9:9" x14ac:dyDescent="0.3">
      <c r="I30304" s="101"/>
    </row>
    <row r="30305" spans="9:9" x14ac:dyDescent="0.3">
      <c r="I30305" s="101"/>
    </row>
    <row r="30306" spans="9:9" x14ac:dyDescent="0.3">
      <c r="I30306" s="101"/>
    </row>
    <row r="30307" spans="9:9" x14ac:dyDescent="0.3">
      <c r="I30307" s="101"/>
    </row>
    <row r="30308" spans="9:9" x14ac:dyDescent="0.3">
      <c r="I30308" s="101"/>
    </row>
    <row r="30309" spans="9:9" x14ac:dyDescent="0.3">
      <c r="I30309" s="101"/>
    </row>
    <row r="30310" spans="9:9" x14ac:dyDescent="0.3">
      <c r="I30310" s="101"/>
    </row>
    <row r="30311" spans="9:9" x14ac:dyDescent="0.3">
      <c r="I30311" s="101"/>
    </row>
    <row r="30312" spans="9:9" x14ac:dyDescent="0.3">
      <c r="I30312" s="101"/>
    </row>
    <row r="30313" spans="9:9" x14ac:dyDescent="0.3">
      <c r="I30313" s="101"/>
    </row>
    <row r="30314" spans="9:9" x14ac:dyDescent="0.3">
      <c r="I30314" s="101"/>
    </row>
    <row r="30315" spans="9:9" x14ac:dyDescent="0.3">
      <c r="I30315" s="101"/>
    </row>
    <row r="30316" spans="9:9" x14ac:dyDescent="0.3">
      <c r="I30316" s="101"/>
    </row>
    <row r="30317" spans="9:9" x14ac:dyDescent="0.3">
      <c r="I30317" s="101"/>
    </row>
    <row r="30318" spans="9:9" x14ac:dyDescent="0.3">
      <c r="I30318" s="101"/>
    </row>
    <row r="30319" spans="9:9" x14ac:dyDescent="0.3">
      <c r="I30319" s="101"/>
    </row>
    <row r="30320" spans="9:9" x14ac:dyDescent="0.3">
      <c r="I30320" s="101"/>
    </row>
    <row r="30321" spans="9:9" x14ac:dyDescent="0.3">
      <c r="I30321" s="101"/>
    </row>
    <row r="30322" spans="9:9" x14ac:dyDescent="0.3">
      <c r="I30322" s="101"/>
    </row>
    <row r="30323" spans="9:9" x14ac:dyDescent="0.3">
      <c r="I30323" s="101"/>
    </row>
    <row r="30324" spans="9:9" x14ac:dyDescent="0.3">
      <c r="I30324" s="101"/>
    </row>
    <row r="30325" spans="9:9" x14ac:dyDescent="0.3">
      <c r="I30325" s="101"/>
    </row>
    <row r="30326" spans="9:9" x14ac:dyDescent="0.3">
      <c r="I30326" s="101"/>
    </row>
    <row r="30327" spans="9:9" x14ac:dyDescent="0.3">
      <c r="I30327" s="101"/>
    </row>
    <row r="30328" spans="9:9" x14ac:dyDescent="0.3">
      <c r="I30328" s="101"/>
    </row>
    <row r="30329" spans="9:9" x14ac:dyDescent="0.3">
      <c r="I30329" s="101"/>
    </row>
    <row r="30330" spans="9:9" x14ac:dyDescent="0.3">
      <c r="I30330" s="101"/>
    </row>
    <row r="30331" spans="9:9" x14ac:dyDescent="0.3">
      <c r="I30331" s="101"/>
    </row>
    <row r="30332" spans="9:9" x14ac:dyDescent="0.3">
      <c r="I30332" s="101"/>
    </row>
    <row r="30333" spans="9:9" x14ac:dyDescent="0.3">
      <c r="I30333" s="101"/>
    </row>
    <row r="30334" spans="9:9" x14ac:dyDescent="0.3">
      <c r="I30334" s="101"/>
    </row>
    <row r="30335" spans="9:9" x14ac:dyDescent="0.3">
      <c r="I30335" s="101"/>
    </row>
    <row r="30336" spans="9:9" x14ac:dyDescent="0.3">
      <c r="I30336" s="101"/>
    </row>
    <row r="30337" spans="9:9" x14ac:dyDescent="0.3">
      <c r="I30337" s="101"/>
    </row>
    <row r="30338" spans="9:9" x14ac:dyDescent="0.3">
      <c r="I30338" s="101"/>
    </row>
    <row r="30339" spans="9:9" x14ac:dyDescent="0.3">
      <c r="I30339" s="101"/>
    </row>
    <row r="30340" spans="9:9" x14ac:dyDescent="0.3">
      <c r="I30340" s="101"/>
    </row>
    <row r="30341" spans="9:9" x14ac:dyDescent="0.3">
      <c r="I30341" s="101"/>
    </row>
    <row r="30342" spans="9:9" x14ac:dyDescent="0.3">
      <c r="I30342" s="101"/>
    </row>
    <row r="30343" spans="9:9" x14ac:dyDescent="0.3">
      <c r="I30343" s="101"/>
    </row>
    <row r="30344" spans="9:9" x14ac:dyDescent="0.3">
      <c r="I30344" s="101"/>
    </row>
    <row r="30345" spans="9:9" x14ac:dyDescent="0.3">
      <c r="I30345" s="101"/>
    </row>
    <row r="30346" spans="9:9" x14ac:dyDescent="0.3">
      <c r="I30346" s="101"/>
    </row>
    <row r="30347" spans="9:9" x14ac:dyDescent="0.3">
      <c r="I30347" s="101"/>
    </row>
    <row r="30348" spans="9:9" x14ac:dyDescent="0.3">
      <c r="I30348" s="101"/>
    </row>
    <row r="30349" spans="9:9" x14ac:dyDescent="0.3">
      <c r="I30349" s="101"/>
    </row>
    <row r="30350" spans="9:9" x14ac:dyDescent="0.3">
      <c r="I30350" s="101"/>
    </row>
    <row r="30351" spans="9:9" x14ac:dyDescent="0.3">
      <c r="I30351" s="101"/>
    </row>
    <row r="30352" spans="9:9" x14ac:dyDescent="0.3">
      <c r="I30352" s="101"/>
    </row>
    <row r="30353" spans="9:9" x14ac:dyDescent="0.3">
      <c r="I30353" s="101"/>
    </row>
    <row r="30354" spans="9:9" x14ac:dyDescent="0.3">
      <c r="I30354" s="101"/>
    </row>
    <row r="30355" spans="9:9" x14ac:dyDescent="0.3">
      <c r="I30355" s="101"/>
    </row>
    <row r="30356" spans="9:9" x14ac:dyDescent="0.3">
      <c r="I30356" s="101"/>
    </row>
    <row r="30357" spans="9:9" x14ac:dyDescent="0.3">
      <c r="I30357" s="101"/>
    </row>
    <row r="30358" spans="9:9" x14ac:dyDescent="0.3">
      <c r="I30358" s="101"/>
    </row>
    <row r="30359" spans="9:9" x14ac:dyDescent="0.3">
      <c r="I30359" s="101"/>
    </row>
    <row r="30360" spans="9:9" x14ac:dyDescent="0.3">
      <c r="I30360" s="101"/>
    </row>
    <row r="30361" spans="9:9" x14ac:dyDescent="0.3">
      <c r="I30361" s="101"/>
    </row>
    <row r="30362" spans="9:9" x14ac:dyDescent="0.3">
      <c r="I30362" s="101"/>
    </row>
    <row r="30363" spans="9:9" x14ac:dyDescent="0.3">
      <c r="I30363" s="101"/>
    </row>
    <row r="30364" spans="9:9" x14ac:dyDescent="0.3">
      <c r="I30364" s="101"/>
    </row>
    <row r="30365" spans="9:9" x14ac:dyDescent="0.3">
      <c r="I30365" s="101"/>
    </row>
    <row r="30366" spans="9:9" x14ac:dyDescent="0.3">
      <c r="I30366" s="101"/>
    </row>
    <row r="30367" spans="9:9" x14ac:dyDescent="0.3">
      <c r="I30367" s="101"/>
    </row>
    <row r="30368" spans="9:9" x14ac:dyDescent="0.3">
      <c r="I30368" s="101"/>
    </row>
    <row r="30369" spans="9:9" x14ac:dyDescent="0.3">
      <c r="I30369" s="101"/>
    </row>
    <row r="30370" spans="9:9" x14ac:dyDescent="0.3">
      <c r="I30370" s="101"/>
    </row>
    <row r="30371" spans="9:9" x14ac:dyDescent="0.3">
      <c r="I30371" s="101"/>
    </row>
    <row r="30372" spans="9:9" x14ac:dyDescent="0.3">
      <c r="I30372" s="101"/>
    </row>
    <row r="30373" spans="9:9" x14ac:dyDescent="0.3">
      <c r="I30373" s="101"/>
    </row>
    <row r="30374" spans="9:9" x14ac:dyDescent="0.3">
      <c r="I30374" s="101"/>
    </row>
    <row r="30375" spans="9:9" x14ac:dyDescent="0.3">
      <c r="I30375" s="101"/>
    </row>
    <row r="30376" spans="9:9" x14ac:dyDescent="0.3">
      <c r="I30376" s="101"/>
    </row>
    <row r="30377" spans="9:9" x14ac:dyDescent="0.3">
      <c r="I30377" s="101"/>
    </row>
    <row r="30378" spans="9:9" x14ac:dyDescent="0.3">
      <c r="I30378" s="101"/>
    </row>
    <row r="30379" spans="9:9" x14ac:dyDescent="0.3">
      <c r="I30379" s="101"/>
    </row>
    <row r="30380" spans="9:9" x14ac:dyDescent="0.3">
      <c r="I30380" s="101"/>
    </row>
    <row r="30381" spans="9:9" x14ac:dyDescent="0.3">
      <c r="I30381" s="101"/>
    </row>
    <row r="30382" spans="9:9" x14ac:dyDescent="0.3">
      <c r="I30382" s="101"/>
    </row>
    <row r="30383" spans="9:9" x14ac:dyDescent="0.3">
      <c r="I30383" s="101"/>
    </row>
    <row r="30384" spans="9:9" x14ac:dyDescent="0.3">
      <c r="I30384" s="101"/>
    </row>
    <row r="30385" spans="9:9" x14ac:dyDescent="0.3">
      <c r="I30385" s="101"/>
    </row>
    <row r="30386" spans="9:9" x14ac:dyDescent="0.3">
      <c r="I30386" s="101"/>
    </row>
    <row r="30387" spans="9:9" x14ac:dyDescent="0.3">
      <c r="I30387" s="101"/>
    </row>
    <row r="30388" spans="9:9" x14ac:dyDescent="0.3">
      <c r="I30388" s="101"/>
    </row>
    <row r="30389" spans="9:9" x14ac:dyDescent="0.3">
      <c r="I30389" s="101"/>
    </row>
    <row r="30390" spans="9:9" x14ac:dyDescent="0.3">
      <c r="I30390" s="101"/>
    </row>
    <row r="30391" spans="9:9" x14ac:dyDescent="0.3">
      <c r="I30391" s="101"/>
    </row>
    <row r="30392" spans="9:9" x14ac:dyDescent="0.3">
      <c r="I30392" s="101"/>
    </row>
    <row r="30393" spans="9:9" x14ac:dyDescent="0.3">
      <c r="I30393" s="101"/>
    </row>
    <row r="30394" spans="9:9" x14ac:dyDescent="0.3">
      <c r="I30394" s="101"/>
    </row>
    <row r="30395" spans="9:9" x14ac:dyDescent="0.3">
      <c r="I30395" s="101"/>
    </row>
    <row r="30396" spans="9:9" x14ac:dyDescent="0.3">
      <c r="I30396" s="101"/>
    </row>
    <row r="30397" spans="9:9" x14ac:dyDescent="0.3">
      <c r="I30397" s="101"/>
    </row>
    <row r="30398" spans="9:9" x14ac:dyDescent="0.3">
      <c r="I30398" s="101"/>
    </row>
    <row r="30399" spans="9:9" x14ac:dyDescent="0.3">
      <c r="I30399" s="101"/>
    </row>
    <row r="30400" spans="9:9" x14ac:dyDescent="0.3">
      <c r="I30400" s="101"/>
    </row>
    <row r="30401" spans="9:9" x14ac:dyDescent="0.3">
      <c r="I30401" s="101"/>
    </row>
    <row r="30402" spans="9:9" x14ac:dyDescent="0.3">
      <c r="I30402" s="101"/>
    </row>
    <row r="30403" spans="9:9" x14ac:dyDescent="0.3">
      <c r="I30403" s="101"/>
    </row>
    <row r="30404" spans="9:9" x14ac:dyDescent="0.3">
      <c r="I30404" s="101"/>
    </row>
    <row r="30405" spans="9:9" x14ac:dyDescent="0.3">
      <c r="I30405" s="101"/>
    </row>
    <row r="30406" spans="9:9" x14ac:dyDescent="0.3">
      <c r="I30406" s="101"/>
    </row>
    <row r="30407" spans="9:9" x14ac:dyDescent="0.3">
      <c r="I30407" s="101"/>
    </row>
    <row r="30408" spans="9:9" x14ac:dyDescent="0.3">
      <c r="I30408" s="101"/>
    </row>
    <row r="30409" spans="9:9" x14ac:dyDescent="0.3">
      <c r="I30409" s="101"/>
    </row>
    <row r="30410" spans="9:9" x14ac:dyDescent="0.3">
      <c r="I30410" s="101"/>
    </row>
    <row r="30411" spans="9:9" x14ac:dyDescent="0.3">
      <c r="I30411" s="101"/>
    </row>
    <row r="30412" spans="9:9" x14ac:dyDescent="0.3">
      <c r="I30412" s="101"/>
    </row>
    <row r="30413" spans="9:9" x14ac:dyDescent="0.3">
      <c r="I30413" s="101"/>
    </row>
    <row r="30414" spans="9:9" x14ac:dyDescent="0.3">
      <c r="I30414" s="101"/>
    </row>
    <row r="30415" spans="9:9" x14ac:dyDescent="0.3">
      <c r="I30415" s="101"/>
    </row>
    <row r="30416" spans="9:9" x14ac:dyDescent="0.3">
      <c r="I30416" s="101"/>
    </row>
    <row r="30417" spans="9:9" x14ac:dyDescent="0.3">
      <c r="I30417" s="101"/>
    </row>
    <row r="30418" spans="9:9" x14ac:dyDescent="0.3">
      <c r="I30418" s="101"/>
    </row>
    <row r="30419" spans="9:9" x14ac:dyDescent="0.3">
      <c r="I30419" s="101"/>
    </row>
    <row r="30420" spans="9:9" x14ac:dyDescent="0.3">
      <c r="I30420" s="101"/>
    </row>
    <row r="30421" spans="9:9" x14ac:dyDescent="0.3">
      <c r="I30421" s="101"/>
    </row>
    <row r="30422" spans="9:9" x14ac:dyDescent="0.3">
      <c r="I30422" s="101"/>
    </row>
    <row r="30423" spans="9:9" x14ac:dyDescent="0.3">
      <c r="I30423" s="101"/>
    </row>
    <row r="30424" spans="9:9" x14ac:dyDescent="0.3">
      <c r="I30424" s="101"/>
    </row>
    <row r="30425" spans="9:9" x14ac:dyDescent="0.3">
      <c r="I30425" s="101"/>
    </row>
    <row r="30426" spans="9:9" x14ac:dyDescent="0.3">
      <c r="I30426" s="101"/>
    </row>
    <row r="30427" spans="9:9" x14ac:dyDescent="0.3">
      <c r="I30427" s="101"/>
    </row>
    <row r="30428" spans="9:9" x14ac:dyDescent="0.3">
      <c r="I30428" s="101"/>
    </row>
    <row r="30429" spans="9:9" x14ac:dyDescent="0.3">
      <c r="I30429" s="101"/>
    </row>
    <row r="30430" spans="9:9" x14ac:dyDescent="0.3">
      <c r="I30430" s="101"/>
    </row>
    <row r="30431" spans="9:9" x14ac:dyDescent="0.3">
      <c r="I30431" s="101"/>
    </row>
    <row r="30432" spans="9:9" x14ac:dyDescent="0.3">
      <c r="I30432" s="101"/>
    </row>
    <row r="30433" spans="9:9" x14ac:dyDescent="0.3">
      <c r="I30433" s="101"/>
    </row>
    <row r="30434" spans="9:9" x14ac:dyDescent="0.3">
      <c r="I30434" s="101"/>
    </row>
    <row r="30435" spans="9:9" x14ac:dyDescent="0.3">
      <c r="I30435" s="101"/>
    </row>
    <row r="30436" spans="9:9" x14ac:dyDescent="0.3">
      <c r="I30436" s="101"/>
    </row>
    <row r="30437" spans="9:9" x14ac:dyDescent="0.3">
      <c r="I30437" s="101"/>
    </row>
    <row r="30438" spans="9:9" x14ac:dyDescent="0.3">
      <c r="I30438" s="101"/>
    </row>
    <row r="30439" spans="9:9" x14ac:dyDescent="0.3">
      <c r="I30439" s="101"/>
    </row>
    <row r="30440" spans="9:9" x14ac:dyDescent="0.3">
      <c r="I30440" s="101"/>
    </row>
    <row r="30441" spans="9:9" x14ac:dyDescent="0.3">
      <c r="I30441" s="101"/>
    </row>
    <row r="30442" spans="9:9" x14ac:dyDescent="0.3">
      <c r="I30442" s="101"/>
    </row>
    <row r="30443" spans="9:9" x14ac:dyDescent="0.3">
      <c r="I30443" s="101"/>
    </row>
    <row r="30444" spans="9:9" x14ac:dyDescent="0.3">
      <c r="I30444" s="101"/>
    </row>
    <row r="30445" spans="9:9" x14ac:dyDescent="0.3">
      <c r="I30445" s="101"/>
    </row>
    <row r="30446" spans="9:9" x14ac:dyDescent="0.3">
      <c r="I30446" s="101"/>
    </row>
    <row r="30447" spans="9:9" x14ac:dyDescent="0.3">
      <c r="I30447" s="101"/>
    </row>
    <row r="30448" spans="9:9" x14ac:dyDescent="0.3">
      <c r="I30448" s="101"/>
    </row>
    <row r="30449" spans="9:9" x14ac:dyDescent="0.3">
      <c r="I30449" s="101"/>
    </row>
    <row r="30450" spans="9:9" x14ac:dyDescent="0.3">
      <c r="I30450" s="101"/>
    </row>
    <row r="30451" spans="9:9" x14ac:dyDescent="0.3">
      <c r="I30451" s="101"/>
    </row>
    <row r="30452" spans="9:9" x14ac:dyDescent="0.3">
      <c r="I30452" s="101"/>
    </row>
    <row r="30453" spans="9:9" x14ac:dyDescent="0.3">
      <c r="I30453" s="101"/>
    </row>
    <row r="30454" spans="9:9" x14ac:dyDescent="0.3">
      <c r="I30454" s="101"/>
    </row>
    <row r="30455" spans="9:9" x14ac:dyDescent="0.3">
      <c r="I30455" s="101"/>
    </row>
    <row r="30456" spans="9:9" x14ac:dyDescent="0.3">
      <c r="I30456" s="101"/>
    </row>
    <row r="30457" spans="9:9" x14ac:dyDescent="0.3">
      <c r="I30457" s="101"/>
    </row>
    <row r="30458" spans="9:9" x14ac:dyDescent="0.3">
      <c r="I30458" s="101"/>
    </row>
    <row r="30459" spans="9:9" x14ac:dyDescent="0.3">
      <c r="I30459" s="101"/>
    </row>
    <row r="30460" spans="9:9" x14ac:dyDescent="0.3">
      <c r="I30460" s="101"/>
    </row>
    <row r="30461" spans="9:9" x14ac:dyDescent="0.3">
      <c r="I30461" s="101"/>
    </row>
    <row r="30462" spans="9:9" x14ac:dyDescent="0.3">
      <c r="I30462" s="101"/>
    </row>
    <row r="30463" spans="9:9" x14ac:dyDescent="0.3">
      <c r="I30463" s="101"/>
    </row>
    <row r="30464" spans="9:9" x14ac:dyDescent="0.3">
      <c r="I30464" s="101"/>
    </row>
    <row r="30465" spans="9:9" x14ac:dyDescent="0.3">
      <c r="I30465" s="101"/>
    </row>
    <row r="30466" spans="9:9" x14ac:dyDescent="0.3">
      <c r="I30466" s="101"/>
    </row>
    <row r="30467" spans="9:9" x14ac:dyDescent="0.3">
      <c r="I30467" s="101"/>
    </row>
    <row r="30468" spans="9:9" x14ac:dyDescent="0.3">
      <c r="I30468" s="101"/>
    </row>
    <row r="30469" spans="9:9" x14ac:dyDescent="0.3">
      <c r="I30469" s="101"/>
    </row>
    <row r="30470" spans="9:9" x14ac:dyDescent="0.3">
      <c r="I30470" s="101"/>
    </row>
    <row r="30471" spans="9:9" x14ac:dyDescent="0.3">
      <c r="I30471" s="101"/>
    </row>
    <row r="30472" spans="9:9" x14ac:dyDescent="0.3">
      <c r="I30472" s="101"/>
    </row>
    <row r="30473" spans="9:9" x14ac:dyDescent="0.3">
      <c r="I30473" s="101"/>
    </row>
    <row r="30474" spans="9:9" x14ac:dyDescent="0.3">
      <c r="I30474" s="101"/>
    </row>
    <row r="30475" spans="9:9" x14ac:dyDescent="0.3">
      <c r="I30475" s="101"/>
    </row>
    <row r="30476" spans="9:9" x14ac:dyDescent="0.3">
      <c r="I30476" s="101"/>
    </row>
    <row r="30477" spans="9:9" x14ac:dyDescent="0.3">
      <c r="I30477" s="101"/>
    </row>
    <row r="30478" spans="9:9" x14ac:dyDescent="0.3">
      <c r="I30478" s="101"/>
    </row>
    <row r="30479" spans="9:9" x14ac:dyDescent="0.3">
      <c r="I30479" s="101"/>
    </row>
    <row r="30480" spans="9:9" x14ac:dyDescent="0.3">
      <c r="I30480" s="101"/>
    </row>
    <row r="30481" spans="9:9" x14ac:dyDescent="0.3">
      <c r="I30481" s="101"/>
    </row>
    <row r="30482" spans="9:9" x14ac:dyDescent="0.3">
      <c r="I30482" s="101"/>
    </row>
    <row r="30483" spans="9:9" x14ac:dyDescent="0.3">
      <c r="I30483" s="101"/>
    </row>
    <row r="30484" spans="9:9" x14ac:dyDescent="0.3">
      <c r="I30484" s="101"/>
    </row>
    <row r="30485" spans="9:9" x14ac:dyDescent="0.3">
      <c r="I30485" s="101"/>
    </row>
    <row r="30486" spans="9:9" x14ac:dyDescent="0.3">
      <c r="I30486" s="101"/>
    </row>
    <row r="30487" spans="9:9" x14ac:dyDescent="0.3">
      <c r="I30487" s="101"/>
    </row>
    <row r="30488" spans="9:9" x14ac:dyDescent="0.3">
      <c r="I30488" s="101"/>
    </row>
    <row r="30489" spans="9:9" x14ac:dyDescent="0.3">
      <c r="I30489" s="101"/>
    </row>
    <row r="30490" spans="9:9" x14ac:dyDescent="0.3">
      <c r="I30490" s="101"/>
    </row>
    <row r="30491" spans="9:9" x14ac:dyDescent="0.3">
      <c r="I30491" s="101"/>
    </row>
    <row r="30492" spans="9:9" x14ac:dyDescent="0.3">
      <c r="I30492" s="101"/>
    </row>
    <row r="30493" spans="9:9" x14ac:dyDescent="0.3">
      <c r="I30493" s="101"/>
    </row>
    <row r="30494" spans="9:9" x14ac:dyDescent="0.3">
      <c r="I30494" s="101"/>
    </row>
    <row r="30495" spans="9:9" x14ac:dyDescent="0.3">
      <c r="I30495" s="101"/>
    </row>
    <row r="30496" spans="9:9" x14ac:dyDescent="0.3">
      <c r="I30496" s="101"/>
    </row>
    <row r="30497" spans="9:9" x14ac:dyDescent="0.3">
      <c r="I30497" s="101"/>
    </row>
    <row r="30498" spans="9:9" x14ac:dyDescent="0.3">
      <c r="I30498" s="101"/>
    </row>
    <row r="30499" spans="9:9" x14ac:dyDescent="0.3">
      <c r="I30499" s="101"/>
    </row>
    <row r="30500" spans="9:9" x14ac:dyDescent="0.3">
      <c r="I30500" s="101"/>
    </row>
    <row r="30501" spans="9:9" x14ac:dyDescent="0.3">
      <c r="I30501" s="101"/>
    </row>
    <row r="30502" spans="9:9" x14ac:dyDescent="0.3">
      <c r="I30502" s="101"/>
    </row>
    <row r="30503" spans="9:9" x14ac:dyDescent="0.3">
      <c r="I30503" s="101"/>
    </row>
    <row r="30504" spans="9:9" x14ac:dyDescent="0.3">
      <c r="I30504" s="101"/>
    </row>
    <row r="30505" spans="9:9" x14ac:dyDescent="0.3">
      <c r="I30505" s="101"/>
    </row>
    <row r="30506" spans="9:9" x14ac:dyDescent="0.3">
      <c r="I30506" s="101"/>
    </row>
    <row r="30507" spans="9:9" x14ac:dyDescent="0.3">
      <c r="I30507" s="101"/>
    </row>
    <row r="30508" spans="9:9" x14ac:dyDescent="0.3">
      <c r="I30508" s="101"/>
    </row>
    <row r="30509" spans="9:9" x14ac:dyDescent="0.3">
      <c r="I30509" s="101"/>
    </row>
    <row r="30510" spans="9:9" x14ac:dyDescent="0.3">
      <c r="I30510" s="101"/>
    </row>
    <row r="30511" spans="9:9" x14ac:dyDescent="0.3">
      <c r="I30511" s="101"/>
    </row>
    <row r="30512" spans="9:9" x14ac:dyDescent="0.3">
      <c r="I30512" s="101"/>
    </row>
    <row r="30513" spans="9:9" x14ac:dyDescent="0.3">
      <c r="I30513" s="101"/>
    </row>
    <row r="30514" spans="9:9" x14ac:dyDescent="0.3">
      <c r="I30514" s="101"/>
    </row>
    <row r="30515" spans="9:9" x14ac:dyDescent="0.3">
      <c r="I30515" s="101"/>
    </row>
    <row r="30516" spans="9:9" x14ac:dyDescent="0.3">
      <c r="I30516" s="101"/>
    </row>
    <row r="30517" spans="9:9" x14ac:dyDescent="0.3">
      <c r="I30517" s="101"/>
    </row>
    <row r="30518" spans="9:9" x14ac:dyDescent="0.3">
      <c r="I30518" s="101"/>
    </row>
    <row r="30519" spans="9:9" x14ac:dyDescent="0.3">
      <c r="I30519" s="101"/>
    </row>
    <row r="30520" spans="9:9" x14ac:dyDescent="0.3">
      <c r="I30520" s="101"/>
    </row>
    <row r="30521" spans="9:9" x14ac:dyDescent="0.3">
      <c r="I30521" s="101"/>
    </row>
    <row r="30522" spans="9:9" x14ac:dyDescent="0.3">
      <c r="I30522" s="101"/>
    </row>
    <row r="30523" spans="9:9" x14ac:dyDescent="0.3">
      <c r="I30523" s="101"/>
    </row>
    <row r="30524" spans="9:9" x14ac:dyDescent="0.3">
      <c r="I30524" s="101"/>
    </row>
    <row r="30525" spans="9:9" x14ac:dyDescent="0.3">
      <c r="I30525" s="101"/>
    </row>
    <row r="30526" spans="9:9" x14ac:dyDescent="0.3">
      <c r="I30526" s="101"/>
    </row>
    <row r="30527" spans="9:9" x14ac:dyDescent="0.3">
      <c r="I30527" s="101"/>
    </row>
    <row r="30528" spans="9:9" x14ac:dyDescent="0.3">
      <c r="I30528" s="101"/>
    </row>
    <row r="30529" spans="9:9" x14ac:dyDescent="0.3">
      <c r="I30529" s="101"/>
    </row>
    <row r="30530" spans="9:9" x14ac:dyDescent="0.3">
      <c r="I30530" s="101"/>
    </row>
    <row r="30531" spans="9:9" x14ac:dyDescent="0.3">
      <c r="I30531" s="101"/>
    </row>
    <row r="30532" spans="9:9" x14ac:dyDescent="0.3">
      <c r="I30532" s="101"/>
    </row>
    <row r="30533" spans="9:9" x14ac:dyDescent="0.3">
      <c r="I30533" s="101"/>
    </row>
    <row r="30534" spans="9:9" x14ac:dyDescent="0.3">
      <c r="I30534" s="101"/>
    </row>
    <row r="30535" spans="9:9" x14ac:dyDescent="0.3">
      <c r="I30535" s="101"/>
    </row>
    <row r="30536" spans="9:9" x14ac:dyDescent="0.3">
      <c r="I30536" s="101"/>
    </row>
    <row r="30537" spans="9:9" x14ac:dyDescent="0.3">
      <c r="I30537" s="101"/>
    </row>
    <row r="30538" spans="9:9" x14ac:dyDescent="0.3">
      <c r="I30538" s="101"/>
    </row>
    <row r="30539" spans="9:9" x14ac:dyDescent="0.3">
      <c r="I30539" s="101"/>
    </row>
    <row r="30540" spans="9:9" x14ac:dyDescent="0.3">
      <c r="I30540" s="101"/>
    </row>
    <row r="30541" spans="9:9" x14ac:dyDescent="0.3">
      <c r="I30541" s="101"/>
    </row>
    <row r="30542" spans="9:9" x14ac:dyDescent="0.3">
      <c r="I30542" s="101"/>
    </row>
    <row r="30543" spans="9:9" x14ac:dyDescent="0.3">
      <c r="I30543" s="101"/>
    </row>
    <row r="30544" spans="9:9" x14ac:dyDescent="0.3">
      <c r="I30544" s="101"/>
    </row>
    <row r="30545" spans="9:9" x14ac:dyDescent="0.3">
      <c r="I30545" s="101"/>
    </row>
    <row r="30546" spans="9:9" x14ac:dyDescent="0.3">
      <c r="I30546" s="101"/>
    </row>
    <row r="30547" spans="9:9" x14ac:dyDescent="0.3">
      <c r="I30547" s="101"/>
    </row>
    <row r="30548" spans="9:9" x14ac:dyDescent="0.3">
      <c r="I30548" s="101"/>
    </row>
    <row r="30549" spans="9:9" x14ac:dyDescent="0.3">
      <c r="I30549" s="101"/>
    </row>
    <row r="30550" spans="9:9" x14ac:dyDescent="0.3">
      <c r="I30550" s="101"/>
    </row>
    <row r="30551" spans="9:9" x14ac:dyDescent="0.3">
      <c r="I30551" s="101"/>
    </row>
    <row r="30552" spans="9:9" x14ac:dyDescent="0.3">
      <c r="I30552" s="101"/>
    </row>
    <row r="30553" spans="9:9" x14ac:dyDescent="0.3">
      <c r="I30553" s="101"/>
    </row>
    <row r="30554" spans="9:9" x14ac:dyDescent="0.3">
      <c r="I30554" s="101"/>
    </row>
    <row r="30555" spans="9:9" x14ac:dyDescent="0.3">
      <c r="I30555" s="101"/>
    </row>
    <row r="30556" spans="9:9" x14ac:dyDescent="0.3">
      <c r="I30556" s="101"/>
    </row>
    <row r="30557" spans="9:9" x14ac:dyDescent="0.3">
      <c r="I30557" s="101"/>
    </row>
    <row r="30558" spans="9:9" x14ac:dyDescent="0.3">
      <c r="I30558" s="101"/>
    </row>
    <row r="30559" spans="9:9" x14ac:dyDescent="0.3">
      <c r="I30559" s="101"/>
    </row>
    <row r="30560" spans="9:9" x14ac:dyDescent="0.3">
      <c r="I30560" s="101"/>
    </row>
    <row r="30561" spans="9:9" x14ac:dyDescent="0.3">
      <c r="I30561" s="101"/>
    </row>
    <row r="30562" spans="9:9" x14ac:dyDescent="0.3">
      <c r="I30562" s="101"/>
    </row>
    <row r="30563" spans="9:9" x14ac:dyDescent="0.3">
      <c r="I30563" s="101"/>
    </row>
    <row r="30564" spans="9:9" x14ac:dyDescent="0.3">
      <c r="I30564" s="101"/>
    </row>
    <row r="30565" spans="9:9" x14ac:dyDescent="0.3">
      <c r="I30565" s="101"/>
    </row>
    <row r="30566" spans="9:9" x14ac:dyDescent="0.3">
      <c r="I30566" s="101"/>
    </row>
    <row r="30567" spans="9:9" x14ac:dyDescent="0.3">
      <c r="I30567" s="101"/>
    </row>
    <row r="30568" spans="9:9" x14ac:dyDescent="0.3">
      <c r="I30568" s="101"/>
    </row>
    <row r="30569" spans="9:9" x14ac:dyDescent="0.3">
      <c r="I30569" s="101"/>
    </row>
    <row r="30570" spans="9:9" x14ac:dyDescent="0.3">
      <c r="I30570" s="101"/>
    </row>
    <row r="30571" spans="9:9" x14ac:dyDescent="0.3">
      <c r="I30571" s="101"/>
    </row>
    <row r="30572" spans="9:9" x14ac:dyDescent="0.3">
      <c r="I30572" s="101"/>
    </row>
    <row r="30573" spans="9:9" x14ac:dyDescent="0.3">
      <c r="I30573" s="101"/>
    </row>
    <row r="30574" spans="9:9" x14ac:dyDescent="0.3">
      <c r="I30574" s="101"/>
    </row>
    <row r="30575" spans="9:9" x14ac:dyDescent="0.3">
      <c r="I30575" s="101"/>
    </row>
    <row r="30576" spans="9:9" x14ac:dyDescent="0.3">
      <c r="I30576" s="101"/>
    </row>
    <row r="30577" spans="9:9" x14ac:dyDescent="0.3">
      <c r="I30577" s="101"/>
    </row>
    <row r="30578" spans="9:9" x14ac:dyDescent="0.3">
      <c r="I30578" s="101"/>
    </row>
    <row r="30579" spans="9:9" x14ac:dyDescent="0.3">
      <c r="I30579" s="101"/>
    </row>
    <row r="30580" spans="9:9" x14ac:dyDescent="0.3">
      <c r="I30580" s="101"/>
    </row>
    <row r="30581" spans="9:9" x14ac:dyDescent="0.3">
      <c r="I30581" s="101"/>
    </row>
    <row r="30582" spans="9:9" x14ac:dyDescent="0.3">
      <c r="I30582" s="101"/>
    </row>
    <row r="30583" spans="9:9" x14ac:dyDescent="0.3">
      <c r="I30583" s="101"/>
    </row>
    <row r="30584" spans="9:9" x14ac:dyDescent="0.3">
      <c r="I30584" s="101"/>
    </row>
    <row r="30585" spans="9:9" x14ac:dyDescent="0.3">
      <c r="I30585" s="101"/>
    </row>
    <row r="30586" spans="9:9" x14ac:dyDescent="0.3">
      <c r="I30586" s="101"/>
    </row>
    <row r="30587" spans="9:9" x14ac:dyDescent="0.3">
      <c r="I30587" s="101"/>
    </row>
    <row r="30588" spans="9:9" x14ac:dyDescent="0.3">
      <c r="I30588" s="101"/>
    </row>
    <row r="30589" spans="9:9" x14ac:dyDescent="0.3">
      <c r="I30589" s="101"/>
    </row>
    <row r="30590" spans="9:9" x14ac:dyDescent="0.3">
      <c r="I30590" s="101"/>
    </row>
    <row r="30591" spans="9:9" x14ac:dyDescent="0.3">
      <c r="I30591" s="101"/>
    </row>
    <row r="30592" spans="9:9" x14ac:dyDescent="0.3">
      <c r="I30592" s="101"/>
    </row>
    <row r="30593" spans="9:9" x14ac:dyDescent="0.3">
      <c r="I30593" s="101"/>
    </row>
    <row r="30594" spans="9:9" x14ac:dyDescent="0.3">
      <c r="I30594" s="101"/>
    </row>
    <row r="30595" spans="9:9" x14ac:dyDescent="0.3">
      <c r="I30595" s="101"/>
    </row>
    <row r="30596" spans="9:9" x14ac:dyDescent="0.3">
      <c r="I30596" s="101"/>
    </row>
    <row r="30597" spans="9:9" x14ac:dyDescent="0.3">
      <c r="I30597" s="101"/>
    </row>
    <row r="30598" spans="9:9" x14ac:dyDescent="0.3">
      <c r="I30598" s="101"/>
    </row>
    <row r="30599" spans="9:9" x14ac:dyDescent="0.3">
      <c r="I30599" s="101"/>
    </row>
    <row r="30600" spans="9:9" x14ac:dyDescent="0.3">
      <c r="I30600" s="101"/>
    </row>
    <row r="30601" spans="9:9" x14ac:dyDescent="0.3">
      <c r="I30601" s="101"/>
    </row>
    <row r="30602" spans="9:9" x14ac:dyDescent="0.3">
      <c r="I30602" s="101"/>
    </row>
    <row r="30603" spans="9:9" x14ac:dyDescent="0.3">
      <c r="I30603" s="101"/>
    </row>
    <row r="30604" spans="9:9" x14ac:dyDescent="0.3">
      <c r="I30604" s="101"/>
    </row>
    <row r="30605" spans="9:9" x14ac:dyDescent="0.3">
      <c r="I30605" s="101"/>
    </row>
    <row r="30606" spans="9:9" x14ac:dyDescent="0.3">
      <c r="I30606" s="101"/>
    </row>
    <row r="30607" spans="9:9" x14ac:dyDescent="0.3">
      <c r="I30607" s="101"/>
    </row>
    <row r="30608" spans="9:9" x14ac:dyDescent="0.3">
      <c r="I30608" s="101"/>
    </row>
    <row r="30609" spans="9:9" x14ac:dyDescent="0.3">
      <c r="I30609" s="101"/>
    </row>
    <row r="30610" spans="9:9" x14ac:dyDescent="0.3">
      <c r="I30610" s="101"/>
    </row>
    <row r="30611" spans="9:9" x14ac:dyDescent="0.3">
      <c r="I30611" s="101"/>
    </row>
    <row r="30612" spans="9:9" x14ac:dyDescent="0.3">
      <c r="I30612" s="101"/>
    </row>
    <row r="30613" spans="9:9" x14ac:dyDescent="0.3">
      <c r="I30613" s="101"/>
    </row>
    <row r="30614" spans="9:9" x14ac:dyDescent="0.3">
      <c r="I30614" s="101"/>
    </row>
    <row r="30615" spans="9:9" x14ac:dyDescent="0.3">
      <c r="I30615" s="101"/>
    </row>
    <row r="30616" spans="9:9" x14ac:dyDescent="0.3">
      <c r="I30616" s="101"/>
    </row>
    <row r="30617" spans="9:9" x14ac:dyDescent="0.3">
      <c r="I30617" s="101"/>
    </row>
    <row r="30618" spans="9:9" x14ac:dyDescent="0.3">
      <c r="I30618" s="101"/>
    </row>
    <row r="30619" spans="9:9" x14ac:dyDescent="0.3">
      <c r="I30619" s="101"/>
    </row>
    <row r="30620" spans="9:9" x14ac:dyDescent="0.3">
      <c r="I30620" s="101"/>
    </row>
    <row r="30621" spans="9:9" x14ac:dyDescent="0.3">
      <c r="I30621" s="101"/>
    </row>
    <row r="30622" spans="9:9" x14ac:dyDescent="0.3">
      <c r="I30622" s="101"/>
    </row>
    <row r="30623" spans="9:9" x14ac:dyDescent="0.3">
      <c r="I30623" s="101"/>
    </row>
    <row r="30624" spans="9:9" x14ac:dyDescent="0.3">
      <c r="I30624" s="101"/>
    </row>
    <row r="30625" spans="9:9" x14ac:dyDescent="0.3">
      <c r="I30625" s="101"/>
    </row>
    <row r="30626" spans="9:9" x14ac:dyDescent="0.3">
      <c r="I30626" s="101"/>
    </row>
    <row r="30627" spans="9:9" x14ac:dyDescent="0.3">
      <c r="I30627" s="101"/>
    </row>
    <row r="30628" spans="9:9" x14ac:dyDescent="0.3">
      <c r="I30628" s="101"/>
    </row>
    <row r="30629" spans="9:9" x14ac:dyDescent="0.3">
      <c r="I30629" s="101"/>
    </row>
    <row r="30630" spans="9:9" x14ac:dyDescent="0.3">
      <c r="I30630" s="101"/>
    </row>
    <row r="30631" spans="9:9" x14ac:dyDescent="0.3">
      <c r="I30631" s="101"/>
    </row>
    <row r="30632" spans="9:9" x14ac:dyDescent="0.3">
      <c r="I30632" s="101"/>
    </row>
    <row r="30633" spans="9:9" x14ac:dyDescent="0.3">
      <c r="I30633" s="101"/>
    </row>
    <row r="30634" spans="9:9" x14ac:dyDescent="0.3">
      <c r="I30634" s="101"/>
    </row>
    <row r="30635" spans="9:9" x14ac:dyDescent="0.3">
      <c r="I30635" s="101"/>
    </row>
    <row r="30636" spans="9:9" x14ac:dyDescent="0.3">
      <c r="I30636" s="101"/>
    </row>
    <row r="30637" spans="9:9" x14ac:dyDescent="0.3">
      <c r="I30637" s="101"/>
    </row>
    <row r="30638" spans="9:9" x14ac:dyDescent="0.3">
      <c r="I30638" s="101"/>
    </row>
    <row r="30639" spans="9:9" x14ac:dyDescent="0.3">
      <c r="I30639" s="101"/>
    </row>
    <row r="30640" spans="9:9" x14ac:dyDescent="0.3">
      <c r="I30640" s="101"/>
    </row>
    <row r="30641" spans="9:9" x14ac:dyDescent="0.3">
      <c r="I30641" s="101"/>
    </row>
    <row r="30642" spans="9:9" x14ac:dyDescent="0.3">
      <c r="I30642" s="101"/>
    </row>
    <row r="30643" spans="9:9" x14ac:dyDescent="0.3">
      <c r="I30643" s="101"/>
    </row>
    <row r="30644" spans="9:9" x14ac:dyDescent="0.3">
      <c r="I30644" s="101"/>
    </row>
    <row r="30645" spans="9:9" x14ac:dyDescent="0.3">
      <c r="I30645" s="101"/>
    </row>
    <row r="30646" spans="9:9" x14ac:dyDescent="0.3">
      <c r="I30646" s="101"/>
    </row>
    <row r="30647" spans="9:9" x14ac:dyDescent="0.3">
      <c r="I30647" s="101"/>
    </row>
    <row r="30648" spans="9:9" x14ac:dyDescent="0.3">
      <c r="I30648" s="101"/>
    </row>
    <row r="30649" spans="9:9" x14ac:dyDescent="0.3">
      <c r="I30649" s="101"/>
    </row>
    <row r="30650" spans="9:9" x14ac:dyDescent="0.3">
      <c r="I30650" s="101"/>
    </row>
    <row r="30651" spans="9:9" x14ac:dyDescent="0.3">
      <c r="I30651" s="101"/>
    </row>
    <row r="30652" spans="9:9" x14ac:dyDescent="0.3">
      <c r="I30652" s="101"/>
    </row>
    <row r="30653" spans="9:9" x14ac:dyDescent="0.3">
      <c r="I30653" s="101"/>
    </row>
    <row r="30654" spans="9:9" x14ac:dyDescent="0.3">
      <c r="I30654" s="101"/>
    </row>
    <row r="30655" spans="9:9" x14ac:dyDescent="0.3">
      <c r="I30655" s="101"/>
    </row>
    <row r="30656" spans="9:9" x14ac:dyDescent="0.3">
      <c r="I30656" s="101"/>
    </row>
    <row r="30657" spans="9:9" x14ac:dyDescent="0.3">
      <c r="I30657" s="101"/>
    </row>
    <row r="30658" spans="9:9" x14ac:dyDescent="0.3">
      <c r="I30658" s="101"/>
    </row>
    <row r="30659" spans="9:9" x14ac:dyDescent="0.3">
      <c r="I30659" s="101"/>
    </row>
    <row r="30660" spans="9:9" x14ac:dyDescent="0.3">
      <c r="I30660" s="101"/>
    </row>
    <row r="30661" spans="9:9" x14ac:dyDescent="0.3">
      <c r="I30661" s="101"/>
    </row>
    <row r="30662" spans="9:9" x14ac:dyDescent="0.3">
      <c r="I30662" s="101"/>
    </row>
    <row r="30663" spans="9:9" x14ac:dyDescent="0.3">
      <c r="I30663" s="101"/>
    </row>
    <row r="30664" spans="9:9" x14ac:dyDescent="0.3">
      <c r="I30664" s="101"/>
    </row>
    <row r="30665" spans="9:9" x14ac:dyDescent="0.3">
      <c r="I30665" s="101"/>
    </row>
    <row r="30666" spans="9:9" x14ac:dyDescent="0.3">
      <c r="I30666" s="101"/>
    </row>
    <row r="30667" spans="9:9" x14ac:dyDescent="0.3">
      <c r="I30667" s="101"/>
    </row>
    <row r="30668" spans="9:9" x14ac:dyDescent="0.3">
      <c r="I30668" s="101"/>
    </row>
    <row r="30669" spans="9:9" x14ac:dyDescent="0.3">
      <c r="I30669" s="101"/>
    </row>
    <row r="30670" spans="9:9" x14ac:dyDescent="0.3">
      <c r="I30670" s="101"/>
    </row>
    <row r="30671" spans="9:9" x14ac:dyDescent="0.3">
      <c r="I30671" s="101"/>
    </row>
    <row r="30672" spans="9:9" x14ac:dyDescent="0.3">
      <c r="I30672" s="101"/>
    </row>
    <row r="30673" spans="9:9" x14ac:dyDescent="0.3">
      <c r="I30673" s="101"/>
    </row>
    <row r="30674" spans="9:9" x14ac:dyDescent="0.3">
      <c r="I30674" s="101"/>
    </row>
    <row r="30675" spans="9:9" x14ac:dyDescent="0.3">
      <c r="I30675" s="101"/>
    </row>
    <row r="30676" spans="9:9" x14ac:dyDescent="0.3">
      <c r="I30676" s="101"/>
    </row>
    <row r="30677" spans="9:9" x14ac:dyDescent="0.3">
      <c r="I30677" s="101"/>
    </row>
    <row r="30678" spans="9:9" x14ac:dyDescent="0.3">
      <c r="I30678" s="101"/>
    </row>
    <row r="30679" spans="9:9" x14ac:dyDescent="0.3">
      <c r="I30679" s="101"/>
    </row>
    <row r="30680" spans="9:9" x14ac:dyDescent="0.3">
      <c r="I30680" s="101"/>
    </row>
    <row r="30681" spans="9:9" x14ac:dyDescent="0.3">
      <c r="I30681" s="101"/>
    </row>
    <row r="30682" spans="9:9" x14ac:dyDescent="0.3">
      <c r="I30682" s="101"/>
    </row>
    <row r="30683" spans="9:9" x14ac:dyDescent="0.3">
      <c r="I30683" s="101"/>
    </row>
    <row r="30684" spans="9:9" x14ac:dyDescent="0.3">
      <c r="I30684" s="101"/>
    </row>
    <row r="30685" spans="9:9" x14ac:dyDescent="0.3">
      <c r="I30685" s="101"/>
    </row>
    <row r="30686" spans="9:9" x14ac:dyDescent="0.3">
      <c r="I30686" s="101"/>
    </row>
    <row r="30687" spans="9:9" x14ac:dyDescent="0.3">
      <c r="I30687" s="101"/>
    </row>
    <row r="30688" spans="9:9" x14ac:dyDescent="0.3">
      <c r="I30688" s="101"/>
    </row>
    <row r="30689" spans="9:9" x14ac:dyDescent="0.3">
      <c r="I30689" s="101"/>
    </row>
    <row r="30690" spans="9:9" x14ac:dyDescent="0.3">
      <c r="I30690" s="101"/>
    </row>
    <row r="30691" spans="9:9" x14ac:dyDescent="0.3">
      <c r="I30691" s="101"/>
    </row>
    <row r="30692" spans="9:9" x14ac:dyDescent="0.3">
      <c r="I30692" s="101"/>
    </row>
    <row r="30693" spans="9:9" x14ac:dyDescent="0.3">
      <c r="I30693" s="101"/>
    </row>
    <row r="30694" spans="9:9" x14ac:dyDescent="0.3">
      <c r="I30694" s="101"/>
    </row>
    <row r="30695" spans="9:9" x14ac:dyDescent="0.3">
      <c r="I30695" s="101"/>
    </row>
    <row r="30696" spans="9:9" x14ac:dyDescent="0.3">
      <c r="I30696" s="101"/>
    </row>
    <row r="30697" spans="9:9" x14ac:dyDescent="0.3">
      <c r="I30697" s="101"/>
    </row>
    <row r="30698" spans="9:9" x14ac:dyDescent="0.3">
      <c r="I30698" s="101"/>
    </row>
    <row r="30699" spans="9:9" x14ac:dyDescent="0.3">
      <c r="I30699" s="101"/>
    </row>
    <row r="30700" spans="9:9" x14ac:dyDescent="0.3">
      <c r="I30700" s="101"/>
    </row>
    <row r="30701" spans="9:9" x14ac:dyDescent="0.3">
      <c r="I30701" s="101"/>
    </row>
    <row r="30702" spans="9:9" x14ac:dyDescent="0.3">
      <c r="I30702" s="101"/>
    </row>
    <row r="30703" spans="9:9" x14ac:dyDescent="0.3">
      <c r="I30703" s="101"/>
    </row>
    <row r="30704" spans="9:9" x14ac:dyDescent="0.3">
      <c r="I30704" s="101"/>
    </row>
    <row r="30705" spans="9:9" x14ac:dyDescent="0.3">
      <c r="I30705" s="101"/>
    </row>
    <row r="30706" spans="9:9" x14ac:dyDescent="0.3">
      <c r="I30706" s="101"/>
    </row>
    <row r="30707" spans="9:9" x14ac:dyDescent="0.3">
      <c r="I30707" s="101"/>
    </row>
    <row r="30708" spans="9:9" x14ac:dyDescent="0.3">
      <c r="I30708" s="101"/>
    </row>
    <row r="30709" spans="9:9" x14ac:dyDescent="0.3">
      <c r="I30709" s="101"/>
    </row>
    <row r="30710" spans="9:9" x14ac:dyDescent="0.3">
      <c r="I30710" s="101"/>
    </row>
    <row r="30711" spans="9:9" x14ac:dyDescent="0.3">
      <c r="I30711" s="101"/>
    </row>
    <row r="30712" spans="9:9" x14ac:dyDescent="0.3">
      <c r="I30712" s="101"/>
    </row>
    <row r="30713" spans="9:9" x14ac:dyDescent="0.3">
      <c r="I30713" s="101"/>
    </row>
    <row r="30714" spans="9:9" x14ac:dyDescent="0.3">
      <c r="I30714" s="101"/>
    </row>
    <row r="30715" spans="9:9" x14ac:dyDescent="0.3">
      <c r="I30715" s="101"/>
    </row>
    <row r="30716" spans="9:9" x14ac:dyDescent="0.3">
      <c r="I30716" s="101"/>
    </row>
    <row r="30717" spans="9:9" x14ac:dyDescent="0.3">
      <c r="I30717" s="101"/>
    </row>
    <row r="30718" spans="9:9" x14ac:dyDescent="0.3">
      <c r="I30718" s="101"/>
    </row>
    <row r="30719" spans="9:9" x14ac:dyDescent="0.3">
      <c r="I30719" s="101"/>
    </row>
    <row r="30720" spans="9:9" x14ac:dyDescent="0.3">
      <c r="I30720" s="101"/>
    </row>
    <row r="30721" spans="9:9" x14ac:dyDescent="0.3">
      <c r="I30721" s="101"/>
    </row>
    <row r="30722" spans="9:9" x14ac:dyDescent="0.3">
      <c r="I30722" s="101"/>
    </row>
    <row r="30723" spans="9:9" x14ac:dyDescent="0.3">
      <c r="I30723" s="101"/>
    </row>
    <row r="30724" spans="9:9" x14ac:dyDescent="0.3">
      <c r="I30724" s="101"/>
    </row>
    <row r="30725" spans="9:9" x14ac:dyDescent="0.3">
      <c r="I30725" s="101"/>
    </row>
    <row r="30726" spans="9:9" x14ac:dyDescent="0.3">
      <c r="I30726" s="101"/>
    </row>
    <row r="30727" spans="9:9" x14ac:dyDescent="0.3">
      <c r="I30727" s="101"/>
    </row>
    <row r="30728" spans="9:9" x14ac:dyDescent="0.3">
      <c r="I30728" s="101"/>
    </row>
    <row r="30729" spans="9:9" x14ac:dyDescent="0.3">
      <c r="I30729" s="101"/>
    </row>
    <row r="30730" spans="9:9" x14ac:dyDescent="0.3">
      <c r="I30730" s="101"/>
    </row>
    <row r="30731" spans="9:9" x14ac:dyDescent="0.3">
      <c r="I30731" s="101"/>
    </row>
    <row r="30732" spans="9:9" x14ac:dyDescent="0.3">
      <c r="I30732" s="101"/>
    </row>
    <row r="30733" spans="9:9" x14ac:dyDescent="0.3">
      <c r="I30733" s="101"/>
    </row>
    <row r="30734" spans="9:9" x14ac:dyDescent="0.3">
      <c r="I30734" s="101"/>
    </row>
    <row r="30735" spans="9:9" x14ac:dyDescent="0.3">
      <c r="I30735" s="101"/>
    </row>
    <row r="30736" spans="9:9" x14ac:dyDescent="0.3">
      <c r="I30736" s="101"/>
    </row>
    <row r="30737" spans="9:9" x14ac:dyDescent="0.3">
      <c r="I30737" s="101"/>
    </row>
    <row r="30738" spans="9:9" x14ac:dyDescent="0.3">
      <c r="I30738" s="101"/>
    </row>
    <row r="30739" spans="9:9" x14ac:dyDescent="0.3">
      <c r="I30739" s="101"/>
    </row>
    <row r="30740" spans="9:9" x14ac:dyDescent="0.3">
      <c r="I30740" s="101"/>
    </row>
    <row r="30741" spans="9:9" x14ac:dyDescent="0.3">
      <c r="I30741" s="101"/>
    </row>
    <row r="30742" spans="9:9" x14ac:dyDescent="0.3">
      <c r="I30742" s="101"/>
    </row>
    <row r="30743" spans="9:9" x14ac:dyDescent="0.3">
      <c r="I30743" s="101"/>
    </row>
    <row r="30744" spans="9:9" x14ac:dyDescent="0.3">
      <c r="I30744" s="101"/>
    </row>
    <row r="30745" spans="9:9" x14ac:dyDescent="0.3">
      <c r="I30745" s="101"/>
    </row>
    <row r="30746" spans="9:9" x14ac:dyDescent="0.3">
      <c r="I30746" s="101"/>
    </row>
    <row r="30747" spans="9:9" x14ac:dyDescent="0.3">
      <c r="I30747" s="101"/>
    </row>
    <row r="30748" spans="9:9" x14ac:dyDescent="0.3">
      <c r="I30748" s="101"/>
    </row>
    <row r="30749" spans="9:9" x14ac:dyDescent="0.3">
      <c r="I30749" s="101"/>
    </row>
    <row r="30750" spans="9:9" x14ac:dyDescent="0.3">
      <c r="I30750" s="101"/>
    </row>
    <row r="30751" spans="9:9" x14ac:dyDescent="0.3">
      <c r="I30751" s="101"/>
    </row>
    <row r="30752" spans="9:9" x14ac:dyDescent="0.3">
      <c r="I30752" s="101"/>
    </row>
    <row r="30753" spans="9:9" x14ac:dyDescent="0.3">
      <c r="I30753" s="101"/>
    </row>
    <row r="30754" spans="9:9" x14ac:dyDescent="0.3">
      <c r="I30754" s="101"/>
    </row>
    <row r="30755" spans="9:9" x14ac:dyDescent="0.3">
      <c r="I30755" s="101"/>
    </row>
    <row r="30756" spans="9:9" x14ac:dyDescent="0.3">
      <c r="I30756" s="101"/>
    </row>
    <row r="30757" spans="9:9" x14ac:dyDescent="0.3">
      <c r="I30757" s="101"/>
    </row>
    <row r="30758" spans="9:9" x14ac:dyDescent="0.3">
      <c r="I30758" s="101"/>
    </row>
    <row r="30759" spans="9:9" x14ac:dyDescent="0.3">
      <c r="I30759" s="101"/>
    </row>
    <row r="30760" spans="9:9" x14ac:dyDescent="0.3">
      <c r="I30760" s="101"/>
    </row>
    <row r="30761" spans="9:9" x14ac:dyDescent="0.3">
      <c r="I30761" s="101"/>
    </row>
    <row r="30762" spans="9:9" x14ac:dyDescent="0.3">
      <c r="I30762" s="101"/>
    </row>
    <row r="30763" spans="9:9" x14ac:dyDescent="0.3">
      <c r="I30763" s="101"/>
    </row>
    <row r="30764" spans="9:9" x14ac:dyDescent="0.3">
      <c r="I30764" s="101"/>
    </row>
    <row r="30765" spans="9:9" x14ac:dyDescent="0.3">
      <c r="I30765" s="101"/>
    </row>
    <row r="30766" spans="9:9" x14ac:dyDescent="0.3">
      <c r="I30766" s="101"/>
    </row>
    <row r="30767" spans="9:9" x14ac:dyDescent="0.3">
      <c r="I30767" s="101"/>
    </row>
    <row r="30768" spans="9:9" x14ac:dyDescent="0.3">
      <c r="I30768" s="101"/>
    </row>
    <row r="30769" spans="9:9" x14ac:dyDescent="0.3">
      <c r="I30769" s="101"/>
    </row>
    <row r="30770" spans="9:9" x14ac:dyDescent="0.3">
      <c r="I30770" s="101"/>
    </row>
    <row r="30771" spans="9:9" x14ac:dyDescent="0.3">
      <c r="I30771" s="101"/>
    </row>
    <row r="30772" spans="9:9" x14ac:dyDescent="0.3">
      <c r="I30772" s="101"/>
    </row>
    <row r="30773" spans="9:9" x14ac:dyDescent="0.3">
      <c r="I30773" s="101"/>
    </row>
    <row r="30774" spans="9:9" x14ac:dyDescent="0.3">
      <c r="I30774" s="101"/>
    </row>
    <row r="30775" spans="9:9" x14ac:dyDescent="0.3">
      <c r="I30775" s="101"/>
    </row>
    <row r="30776" spans="9:9" x14ac:dyDescent="0.3">
      <c r="I30776" s="101"/>
    </row>
    <row r="30777" spans="9:9" x14ac:dyDescent="0.3">
      <c r="I30777" s="101"/>
    </row>
    <row r="30778" spans="9:9" x14ac:dyDescent="0.3">
      <c r="I30778" s="101"/>
    </row>
    <row r="30779" spans="9:9" x14ac:dyDescent="0.3">
      <c r="I30779" s="101"/>
    </row>
    <row r="30780" spans="9:9" x14ac:dyDescent="0.3">
      <c r="I30780" s="101"/>
    </row>
    <row r="30781" spans="9:9" x14ac:dyDescent="0.3">
      <c r="I30781" s="101"/>
    </row>
    <row r="30782" spans="9:9" x14ac:dyDescent="0.3">
      <c r="I30782" s="101"/>
    </row>
    <row r="30783" spans="9:9" x14ac:dyDescent="0.3">
      <c r="I30783" s="101"/>
    </row>
    <row r="30784" spans="9:9" x14ac:dyDescent="0.3">
      <c r="I30784" s="101"/>
    </row>
    <row r="30785" spans="9:9" x14ac:dyDescent="0.3">
      <c r="I30785" s="101"/>
    </row>
    <row r="30786" spans="9:9" x14ac:dyDescent="0.3">
      <c r="I30786" s="101"/>
    </row>
    <row r="30787" spans="9:9" x14ac:dyDescent="0.3">
      <c r="I30787" s="101"/>
    </row>
    <row r="30788" spans="9:9" x14ac:dyDescent="0.3">
      <c r="I30788" s="101"/>
    </row>
    <row r="30789" spans="9:9" x14ac:dyDescent="0.3">
      <c r="I30789" s="101"/>
    </row>
    <row r="30790" spans="9:9" x14ac:dyDescent="0.3">
      <c r="I30790" s="101"/>
    </row>
    <row r="30791" spans="9:9" x14ac:dyDescent="0.3">
      <c r="I30791" s="101"/>
    </row>
    <row r="30792" spans="9:9" x14ac:dyDescent="0.3">
      <c r="I30792" s="101"/>
    </row>
    <row r="30793" spans="9:9" x14ac:dyDescent="0.3">
      <c r="I30793" s="101"/>
    </row>
    <row r="30794" spans="9:9" x14ac:dyDescent="0.3">
      <c r="I30794" s="101"/>
    </row>
    <row r="30795" spans="9:9" x14ac:dyDescent="0.3">
      <c r="I30795" s="101"/>
    </row>
    <row r="30796" spans="9:9" x14ac:dyDescent="0.3">
      <c r="I30796" s="101"/>
    </row>
    <row r="30797" spans="9:9" x14ac:dyDescent="0.3">
      <c r="I30797" s="101"/>
    </row>
    <row r="30798" spans="9:9" x14ac:dyDescent="0.3">
      <c r="I30798" s="101"/>
    </row>
    <row r="30799" spans="9:9" x14ac:dyDescent="0.3">
      <c r="I30799" s="101"/>
    </row>
    <row r="30800" spans="9:9" x14ac:dyDescent="0.3">
      <c r="I30800" s="101"/>
    </row>
    <row r="30801" spans="9:9" x14ac:dyDescent="0.3">
      <c r="I30801" s="101"/>
    </row>
    <row r="30802" spans="9:9" x14ac:dyDescent="0.3">
      <c r="I30802" s="101"/>
    </row>
    <row r="30803" spans="9:9" x14ac:dyDescent="0.3">
      <c r="I30803" s="101"/>
    </row>
    <row r="30804" spans="9:9" x14ac:dyDescent="0.3">
      <c r="I30804" s="101"/>
    </row>
    <row r="30805" spans="9:9" x14ac:dyDescent="0.3">
      <c r="I30805" s="101"/>
    </row>
    <row r="30806" spans="9:9" x14ac:dyDescent="0.3">
      <c r="I30806" s="101"/>
    </row>
    <row r="30807" spans="9:9" x14ac:dyDescent="0.3">
      <c r="I30807" s="101"/>
    </row>
    <row r="30808" spans="9:9" x14ac:dyDescent="0.3">
      <c r="I30808" s="101"/>
    </row>
    <row r="30809" spans="9:9" x14ac:dyDescent="0.3">
      <c r="I30809" s="101"/>
    </row>
    <row r="30810" spans="9:9" x14ac:dyDescent="0.3">
      <c r="I30810" s="101"/>
    </row>
    <row r="30811" spans="9:9" x14ac:dyDescent="0.3">
      <c r="I30811" s="101"/>
    </row>
    <row r="30812" spans="9:9" x14ac:dyDescent="0.3">
      <c r="I30812" s="101"/>
    </row>
    <row r="30813" spans="9:9" x14ac:dyDescent="0.3">
      <c r="I30813" s="101"/>
    </row>
    <row r="30814" spans="9:9" x14ac:dyDescent="0.3">
      <c r="I30814" s="101"/>
    </row>
    <row r="30815" spans="9:9" x14ac:dyDescent="0.3">
      <c r="I30815" s="101"/>
    </row>
    <row r="30816" spans="9:9" x14ac:dyDescent="0.3">
      <c r="I30816" s="101"/>
    </row>
    <row r="30817" spans="9:9" x14ac:dyDescent="0.3">
      <c r="I30817" s="101"/>
    </row>
    <row r="30818" spans="9:9" x14ac:dyDescent="0.3">
      <c r="I30818" s="101"/>
    </row>
    <row r="30819" spans="9:9" x14ac:dyDescent="0.3">
      <c r="I30819" s="101"/>
    </row>
    <row r="30820" spans="9:9" x14ac:dyDescent="0.3">
      <c r="I30820" s="101"/>
    </row>
    <row r="30821" spans="9:9" x14ac:dyDescent="0.3">
      <c r="I30821" s="101"/>
    </row>
    <row r="30822" spans="9:9" x14ac:dyDescent="0.3">
      <c r="I30822" s="101"/>
    </row>
    <row r="30823" spans="9:9" x14ac:dyDescent="0.3">
      <c r="I30823" s="101"/>
    </row>
    <row r="30824" spans="9:9" x14ac:dyDescent="0.3">
      <c r="I30824" s="101"/>
    </row>
    <row r="30825" spans="9:9" x14ac:dyDescent="0.3">
      <c r="I30825" s="101"/>
    </row>
    <row r="30826" spans="9:9" x14ac:dyDescent="0.3">
      <c r="I30826" s="101"/>
    </row>
    <row r="30827" spans="9:9" x14ac:dyDescent="0.3">
      <c r="I30827" s="101"/>
    </row>
    <row r="30828" spans="9:9" x14ac:dyDescent="0.3">
      <c r="I30828" s="101"/>
    </row>
    <row r="30829" spans="9:9" x14ac:dyDescent="0.3">
      <c r="I30829" s="101"/>
    </row>
    <row r="30830" spans="9:9" x14ac:dyDescent="0.3">
      <c r="I30830" s="101"/>
    </row>
    <row r="30831" spans="9:9" x14ac:dyDescent="0.3">
      <c r="I30831" s="101"/>
    </row>
    <row r="30832" spans="9:9" x14ac:dyDescent="0.3">
      <c r="I30832" s="101"/>
    </row>
    <row r="30833" spans="9:9" x14ac:dyDescent="0.3">
      <c r="I30833" s="101"/>
    </row>
    <row r="30834" spans="9:9" x14ac:dyDescent="0.3">
      <c r="I30834" s="101"/>
    </row>
    <row r="30835" spans="9:9" x14ac:dyDescent="0.3">
      <c r="I30835" s="101"/>
    </row>
    <row r="30836" spans="9:9" x14ac:dyDescent="0.3">
      <c r="I30836" s="101"/>
    </row>
    <row r="30837" spans="9:9" x14ac:dyDescent="0.3">
      <c r="I30837" s="101"/>
    </row>
    <row r="30838" spans="9:9" x14ac:dyDescent="0.3">
      <c r="I30838" s="101"/>
    </row>
    <row r="30839" spans="9:9" x14ac:dyDescent="0.3">
      <c r="I30839" s="101"/>
    </row>
    <row r="30840" spans="9:9" x14ac:dyDescent="0.3">
      <c r="I30840" s="101"/>
    </row>
    <row r="30841" spans="9:9" x14ac:dyDescent="0.3">
      <c r="I30841" s="101"/>
    </row>
    <row r="30842" spans="9:9" x14ac:dyDescent="0.3">
      <c r="I30842" s="101"/>
    </row>
    <row r="30843" spans="9:9" x14ac:dyDescent="0.3">
      <c r="I30843" s="101"/>
    </row>
    <row r="30844" spans="9:9" x14ac:dyDescent="0.3">
      <c r="I30844" s="101"/>
    </row>
    <row r="30845" spans="9:9" x14ac:dyDescent="0.3">
      <c r="I30845" s="101"/>
    </row>
    <row r="30846" spans="9:9" x14ac:dyDescent="0.3">
      <c r="I30846" s="101"/>
    </row>
    <row r="30847" spans="9:9" x14ac:dyDescent="0.3">
      <c r="I30847" s="101"/>
    </row>
    <row r="30848" spans="9:9" x14ac:dyDescent="0.3">
      <c r="I30848" s="101"/>
    </row>
    <row r="30849" spans="9:9" x14ac:dyDescent="0.3">
      <c r="I30849" s="101"/>
    </row>
    <row r="30850" spans="9:9" x14ac:dyDescent="0.3">
      <c r="I30850" s="101"/>
    </row>
    <row r="30851" spans="9:9" x14ac:dyDescent="0.3">
      <c r="I30851" s="101"/>
    </row>
    <row r="30852" spans="9:9" x14ac:dyDescent="0.3">
      <c r="I30852" s="101"/>
    </row>
    <row r="30853" spans="9:9" x14ac:dyDescent="0.3">
      <c r="I30853" s="101"/>
    </row>
    <row r="30854" spans="9:9" x14ac:dyDescent="0.3">
      <c r="I30854" s="101"/>
    </row>
    <row r="30855" spans="9:9" x14ac:dyDescent="0.3">
      <c r="I30855" s="101"/>
    </row>
    <row r="30856" spans="9:9" x14ac:dyDescent="0.3">
      <c r="I30856" s="101"/>
    </row>
    <row r="30857" spans="9:9" x14ac:dyDescent="0.3">
      <c r="I30857" s="101"/>
    </row>
    <row r="30858" spans="9:9" x14ac:dyDescent="0.3">
      <c r="I30858" s="101"/>
    </row>
    <row r="30859" spans="9:9" x14ac:dyDescent="0.3">
      <c r="I30859" s="101"/>
    </row>
    <row r="30860" spans="9:9" x14ac:dyDescent="0.3">
      <c r="I30860" s="101"/>
    </row>
    <row r="30861" spans="9:9" x14ac:dyDescent="0.3">
      <c r="I30861" s="101"/>
    </row>
    <row r="30862" spans="9:9" x14ac:dyDescent="0.3">
      <c r="I30862" s="101"/>
    </row>
    <row r="30863" spans="9:9" x14ac:dyDescent="0.3">
      <c r="I30863" s="101"/>
    </row>
    <row r="30864" spans="9:9" x14ac:dyDescent="0.3">
      <c r="I30864" s="101"/>
    </row>
    <row r="30865" spans="9:9" x14ac:dyDescent="0.3">
      <c r="I30865" s="101"/>
    </row>
    <row r="30866" spans="9:9" x14ac:dyDescent="0.3">
      <c r="I30866" s="101"/>
    </row>
    <row r="30867" spans="9:9" x14ac:dyDescent="0.3">
      <c r="I30867" s="101"/>
    </row>
    <row r="30868" spans="9:9" x14ac:dyDescent="0.3">
      <c r="I30868" s="101"/>
    </row>
    <row r="30869" spans="9:9" x14ac:dyDescent="0.3">
      <c r="I30869" s="101"/>
    </row>
    <row r="30870" spans="9:9" x14ac:dyDescent="0.3">
      <c r="I30870" s="101"/>
    </row>
    <row r="30871" spans="9:9" x14ac:dyDescent="0.3">
      <c r="I30871" s="101"/>
    </row>
    <row r="30872" spans="9:9" x14ac:dyDescent="0.3">
      <c r="I30872" s="101"/>
    </row>
    <row r="30873" spans="9:9" x14ac:dyDescent="0.3">
      <c r="I30873" s="101"/>
    </row>
    <row r="30874" spans="9:9" x14ac:dyDescent="0.3">
      <c r="I30874" s="101"/>
    </row>
    <row r="30875" spans="9:9" x14ac:dyDescent="0.3">
      <c r="I30875" s="101"/>
    </row>
    <row r="30876" spans="9:9" x14ac:dyDescent="0.3">
      <c r="I30876" s="101"/>
    </row>
    <row r="30877" spans="9:9" x14ac:dyDescent="0.3">
      <c r="I30877" s="101"/>
    </row>
    <row r="30878" spans="9:9" x14ac:dyDescent="0.3">
      <c r="I30878" s="101"/>
    </row>
    <row r="30879" spans="9:9" x14ac:dyDescent="0.3">
      <c r="I30879" s="101"/>
    </row>
    <row r="30880" spans="9:9" x14ac:dyDescent="0.3">
      <c r="I30880" s="101"/>
    </row>
    <row r="30881" spans="9:9" x14ac:dyDescent="0.3">
      <c r="I30881" s="101"/>
    </row>
    <row r="30882" spans="9:9" x14ac:dyDescent="0.3">
      <c r="I30882" s="101"/>
    </row>
    <row r="30883" spans="9:9" x14ac:dyDescent="0.3">
      <c r="I30883" s="101"/>
    </row>
    <row r="30884" spans="9:9" x14ac:dyDescent="0.3">
      <c r="I30884" s="101"/>
    </row>
    <row r="30885" spans="9:9" x14ac:dyDescent="0.3">
      <c r="I30885" s="101"/>
    </row>
    <row r="30886" spans="9:9" x14ac:dyDescent="0.3">
      <c r="I30886" s="101"/>
    </row>
    <row r="30887" spans="9:9" x14ac:dyDescent="0.3">
      <c r="I30887" s="101"/>
    </row>
    <row r="30888" spans="9:9" x14ac:dyDescent="0.3">
      <c r="I30888" s="101"/>
    </row>
    <row r="30889" spans="9:9" x14ac:dyDescent="0.3">
      <c r="I30889" s="101"/>
    </row>
    <row r="30890" spans="9:9" x14ac:dyDescent="0.3">
      <c r="I30890" s="101"/>
    </row>
    <row r="30891" spans="9:9" x14ac:dyDescent="0.3">
      <c r="I30891" s="101"/>
    </row>
    <row r="30892" spans="9:9" x14ac:dyDescent="0.3">
      <c r="I30892" s="101"/>
    </row>
    <row r="30893" spans="9:9" x14ac:dyDescent="0.3">
      <c r="I30893" s="101"/>
    </row>
    <row r="30894" spans="9:9" x14ac:dyDescent="0.3">
      <c r="I30894" s="101"/>
    </row>
    <row r="30895" spans="9:9" x14ac:dyDescent="0.3">
      <c r="I30895" s="101"/>
    </row>
    <row r="30896" spans="9:9" x14ac:dyDescent="0.3">
      <c r="I30896" s="101"/>
    </row>
    <row r="30897" spans="9:9" x14ac:dyDescent="0.3">
      <c r="I30897" s="101"/>
    </row>
    <row r="30898" spans="9:9" x14ac:dyDescent="0.3">
      <c r="I30898" s="101"/>
    </row>
    <row r="30899" spans="9:9" x14ac:dyDescent="0.3">
      <c r="I30899" s="101"/>
    </row>
    <row r="30900" spans="9:9" x14ac:dyDescent="0.3">
      <c r="I30900" s="101"/>
    </row>
    <row r="30901" spans="9:9" x14ac:dyDescent="0.3">
      <c r="I30901" s="101"/>
    </row>
    <row r="30902" spans="9:9" x14ac:dyDescent="0.3">
      <c r="I30902" s="101"/>
    </row>
    <row r="30903" spans="9:9" x14ac:dyDescent="0.3">
      <c r="I30903" s="101"/>
    </row>
    <row r="30904" spans="9:9" x14ac:dyDescent="0.3">
      <c r="I30904" s="101"/>
    </row>
    <row r="30905" spans="9:9" x14ac:dyDescent="0.3">
      <c r="I30905" s="101"/>
    </row>
    <row r="30906" spans="9:9" x14ac:dyDescent="0.3">
      <c r="I30906" s="101"/>
    </row>
    <row r="30907" spans="9:9" x14ac:dyDescent="0.3">
      <c r="I30907" s="101"/>
    </row>
    <row r="30908" spans="9:9" x14ac:dyDescent="0.3">
      <c r="I30908" s="101"/>
    </row>
    <row r="30909" spans="9:9" x14ac:dyDescent="0.3">
      <c r="I30909" s="101"/>
    </row>
    <row r="30910" spans="9:9" x14ac:dyDescent="0.3">
      <c r="I30910" s="101"/>
    </row>
    <row r="30911" spans="9:9" x14ac:dyDescent="0.3">
      <c r="I30911" s="101"/>
    </row>
    <row r="30912" spans="9:9" x14ac:dyDescent="0.3">
      <c r="I30912" s="101"/>
    </row>
    <row r="30913" spans="9:9" x14ac:dyDescent="0.3">
      <c r="I30913" s="101"/>
    </row>
    <row r="30914" spans="9:9" x14ac:dyDescent="0.3">
      <c r="I30914" s="101"/>
    </row>
    <row r="30915" spans="9:9" x14ac:dyDescent="0.3">
      <c r="I30915" s="101"/>
    </row>
    <row r="30916" spans="9:9" x14ac:dyDescent="0.3">
      <c r="I30916" s="101"/>
    </row>
    <row r="30917" spans="9:9" x14ac:dyDescent="0.3">
      <c r="I30917" s="101"/>
    </row>
    <row r="30918" spans="9:9" x14ac:dyDescent="0.3">
      <c r="I30918" s="101"/>
    </row>
    <row r="30919" spans="9:9" x14ac:dyDescent="0.3">
      <c r="I30919" s="101"/>
    </row>
    <row r="30920" spans="9:9" x14ac:dyDescent="0.3">
      <c r="I30920" s="101"/>
    </row>
    <row r="30921" spans="9:9" x14ac:dyDescent="0.3">
      <c r="I30921" s="101"/>
    </row>
    <row r="30922" spans="9:9" x14ac:dyDescent="0.3">
      <c r="I30922" s="101"/>
    </row>
    <row r="30923" spans="9:9" x14ac:dyDescent="0.3">
      <c r="I30923" s="101"/>
    </row>
    <row r="30924" spans="9:9" x14ac:dyDescent="0.3">
      <c r="I30924" s="101"/>
    </row>
    <row r="30925" spans="9:9" x14ac:dyDescent="0.3">
      <c r="I30925" s="101"/>
    </row>
    <row r="30926" spans="9:9" x14ac:dyDescent="0.3">
      <c r="I30926" s="101"/>
    </row>
    <row r="30927" spans="9:9" x14ac:dyDescent="0.3">
      <c r="I30927" s="101"/>
    </row>
    <row r="30928" spans="9:9" x14ac:dyDescent="0.3">
      <c r="I30928" s="101"/>
    </row>
    <row r="30929" spans="9:9" x14ac:dyDescent="0.3">
      <c r="I30929" s="101"/>
    </row>
    <row r="30930" spans="9:9" x14ac:dyDescent="0.3">
      <c r="I30930" s="101"/>
    </row>
    <row r="30931" spans="9:9" x14ac:dyDescent="0.3">
      <c r="I30931" s="101"/>
    </row>
    <row r="30932" spans="9:9" x14ac:dyDescent="0.3">
      <c r="I30932" s="101"/>
    </row>
    <row r="30933" spans="9:9" x14ac:dyDescent="0.3">
      <c r="I30933" s="101"/>
    </row>
    <row r="30934" spans="9:9" x14ac:dyDescent="0.3">
      <c r="I30934" s="101"/>
    </row>
    <row r="30935" spans="9:9" x14ac:dyDescent="0.3">
      <c r="I30935" s="101"/>
    </row>
    <row r="30936" spans="9:9" x14ac:dyDescent="0.3">
      <c r="I30936" s="101"/>
    </row>
    <row r="30937" spans="9:9" x14ac:dyDescent="0.3">
      <c r="I30937" s="101"/>
    </row>
    <row r="30938" spans="9:9" x14ac:dyDescent="0.3">
      <c r="I30938" s="101"/>
    </row>
    <row r="30939" spans="9:9" x14ac:dyDescent="0.3">
      <c r="I30939" s="101"/>
    </row>
    <row r="30940" spans="9:9" x14ac:dyDescent="0.3">
      <c r="I30940" s="101"/>
    </row>
    <row r="30941" spans="9:9" x14ac:dyDescent="0.3">
      <c r="I30941" s="101"/>
    </row>
    <row r="30942" spans="9:9" x14ac:dyDescent="0.3">
      <c r="I30942" s="101"/>
    </row>
    <row r="30943" spans="9:9" x14ac:dyDescent="0.3">
      <c r="I30943" s="101"/>
    </row>
    <row r="30944" spans="9:9" x14ac:dyDescent="0.3">
      <c r="I30944" s="101"/>
    </row>
    <row r="30945" spans="9:9" x14ac:dyDescent="0.3">
      <c r="I30945" s="101"/>
    </row>
    <row r="30946" spans="9:9" x14ac:dyDescent="0.3">
      <c r="I30946" s="101"/>
    </row>
    <row r="30947" spans="9:9" x14ac:dyDescent="0.3">
      <c r="I30947" s="101"/>
    </row>
    <row r="30948" spans="9:9" x14ac:dyDescent="0.3">
      <c r="I30948" s="101"/>
    </row>
    <row r="30949" spans="9:9" x14ac:dyDescent="0.3">
      <c r="I30949" s="101"/>
    </row>
    <row r="30950" spans="9:9" x14ac:dyDescent="0.3">
      <c r="I30950" s="101"/>
    </row>
    <row r="30951" spans="9:9" x14ac:dyDescent="0.3">
      <c r="I30951" s="101"/>
    </row>
    <row r="30952" spans="9:9" x14ac:dyDescent="0.3">
      <c r="I30952" s="101"/>
    </row>
    <row r="30953" spans="9:9" x14ac:dyDescent="0.3">
      <c r="I30953" s="101"/>
    </row>
    <row r="30954" spans="9:9" x14ac:dyDescent="0.3">
      <c r="I30954" s="101"/>
    </row>
    <row r="30955" spans="9:9" x14ac:dyDescent="0.3">
      <c r="I30955" s="101"/>
    </row>
    <row r="30956" spans="9:9" x14ac:dyDescent="0.3">
      <c r="I30956" s="101"/>
    </row>
    <row r="30957" spans="9:9" x14ac:dyDescent="0.3">
      <c r="I30957" s="101"/>
    </row>
    <row r="30958" spans="9:9" x14ac:dyDescent="0.3">
      <c r="I30958" s="101"/>
    </row>
    <row r="30959" spans="9:9" x14ac:dyDescent="0.3">
      <c r="I30959" s="101"/>
    </row>
    <row r="30960" spans="9:9" x14ac:dyDescent="0.3">
      <c r="I30960" s="101"/>
    </row>
    <row r="30961" spans="9:9" x14ac:dyDescent="0.3">
      <c r="I30961" s="101"/>
    </row>
    <row r="30962" spans="9:9" x14ac:dyDescent="0.3">
      <c r="I30962" s="101"/>
    </row>
    <row r="30963" spans="9:9" x14ac:dyDescent="0.3">
      <c r="I30963" s="101"/>
    </row>
    <row r="30964" spans="9:9" x14ac:dyDescent="0.3">
      <c r="I30964" s="101"/>
    </row>
    <row r="30965" spans="9:9" x14ac:dyDescent="0.3">
      <c r="I30965" s="101"/>
    </row>
    <row r="30966" spans="9:9" x14ac:dyDescent="0.3">
      <c r="I30966" s="101"/>
    </row>
    <row r="30967" spans="9:9" x14ac:dyDescent="0.3">
      <c r="I30967" s="101"/>
    </row>
    <row r="30968" spans="9:9" x14ac:dyDescent="0.3">
      <c r="I30968" s="101"/>
    </row>
    <row r="30969" spans="9:9" x14ac:dyDescent="0.3">
      <c r="I30969" s="101"/>
    </row>
    <row r="30970" spans="9:9" x14ac:dyDescent="0.3">
      <c r="I30970" s="101"/>
    </row>
    <row r="30971" spans="9:9" x14ac:dyDescent="0.3">
      <c r="I30971" s="101"/>
    </row>
    <row r="30972" spans="9:9" x14ac:dyDescent="0.3">
      <c r="I30972" s="101"/>
    </row>
    <row r="30973" spans="9:9" x14ac:dyDescent="0.3">
      <c r="I30973" s="101"/>
    </row>
    <row r="30974" spans="9:9" x14ac:dyDescent="0.3">
      <c r="I30974" s="101"/>
    </row>
    <row r="30975" spans="9:9" x14ac:dyDescent="0.3">
      <c r="I30975" s="101"/>
    </row>
    <row r="30976" spans="9:9" x14ac:dyDescent="0.3">
      <c r="I30976" s="101"/>
    </row>
    <row r="30977" spans="9:9" x14ac:dyDescent="0.3">
      <c r="I30977" s="101"/>
    </row>
    <row r="30978" spans="9:9" x14ac:dyDescent="0.3">
      <c r="I30978" s="101"/>
    </row>
    <row r="30979" spans="9:9" x14ac:dyDescent="0.3">
      <c r="I30979" s="101"/>
    </row>
    <row r="30980" spans="9:9" x14ac:dyDescent="0.3">
      <c r="I30980" s="101"/>
    </row>
    <row r="30981" spans="9:9" x14ac:dyDescent="0.3">
      <c r="I30981" s="101"/>
    </row>
    <row r="30982" spans="9:9" x14ac:dyDescent="0.3">
      <c r="I30982" s="101"/>
    </row>
    <row r="30983" spans="9:9" x14ac:dyDescent="0.3">
      <c r="I30983" s="101"/>
    </row>
    <row r="30984" spans="9:9" x14ac:dyDescent="0.3">
      <c r="I30984" s="101"/>
    </row>
    <row r="30985" spans="9:9" x14ac:dyDescent="0.3">
      <c r="I30985" s="101"/>
    </row>
    <row r="30986" spans="9:9" x14ac:dyDescent="0.3">
      <c r="I30986" s="101"/>
    </row>
    <row r="30987" spans="9:9" x14ac:dyDescent="0.3">
      <c r="I30987" s="101"/>
    </row>
    <row r="30988" spans="9:9" x14ac:dyDescent="0.3">
      <c r="I30988" s="101"/>
    </row>
    <row r="30989" spans="9:9" x14ac:dyDescent="0.3">
      <c r="I30989" s="101"/>
    </row>
    <row r="30990" spans="9:9" x14ac:dyDescent="0.3">
      <c r="I30990" s="101"/>
    </row>
    <row r="30991" spans="9:9" x14ac:dyDescent="0.3">
      <c r="I30991" s="101"/>
    </row>
    <row r="30992" spans="9:9" x14ac:dyDescent="0.3">
      <c r="I30992" s="101"/>
    </row>
    <row r="30993" spans="9:9" x14ac:dyDescent="0.3">
      <c r="I30993" s="101"/>
    </row>
    <row r="30994" spans="9:9" x14ac:dyDescent="0.3">
      <c r="I30994" s="101"/>
    </row>
    <row r="30995" spans="9:9" x14ac:dyDescent="0.3">
      <c r="I30995" s="101"/>
    </row>
    <row r="30996" spans="9:9" x14ac:dyDescent="0.3">
      <c r="I30996" s="101"/>
    </row>
    <row r="30997" spans="9:9" x14ac:dyDescent="0.3">
      <c r="I30997" s="101"/>
    </row>
    <row r="30998" spans="9:9" x14ac:dyDescent="0.3">
      <c r="I30998" s="101"/>
    </row>
    <row r="30999" spans="9:9" x14ac:dyDescent="0.3">
      <c r="I30999" s="101"/>
    </row>
    <row r="31000" spans="9:9" x14ac:dyDescent="0.3">
      <c r="I31000" s="101"/>
    </row>
    <row r="31001" spans="9:9" x14ac:dyDescent="0.3">
      <c r="I31001" s="101"/>
    </row>
    <row r="31002" spans="9:9" x14ac:dyDescent="0.3">
      <c r="I31002" s="101"/>
    </row>
    <row r="31003" spans="9:9" x14ac:dyDescent="0.3">
      <c r="I31003" s="101"/>
    </row>
    <row r="31004" spans="9:9" x14ac:dyDescent="0.3">
      <c r="I31004" s="101"/>
    </row>
    <row r="31005" spans="9:9" x14ac:dyDescent="0.3">
      <c r="I31005" s="101"/>
    </row>
    <row r="31006" spans="9:9" x14ac:dyDescent="0.3">
      <c r="I31006" s="101"/>
    </row>
    <row r="31007" spans="9:9" x14ac:dyDescent="0.3">
      <c r="I31007" s="101"/>
    </row>
    <row r="31008" spans="9:9" x14ac:dyDescent="0.3">
      <c r="I31008" s="101"/>
    </row>
    <row r="31009" spans="9:9" x14ac:dyDescent="0.3">
      <c r="I31009" s="101"/>
    </row>
    <row r="31010" spans="9:9" x14ac:dyDescent="0.3">
      <c r="I31010" s="101"/>
    </row>
    <row r="31011" spans="9:9" x14ac:dyDescent="0.3">
      <c r="I31011" s="101"/>
    </row>
    <row r="31012" spans="9:9" x14ac:dyDescent="0.3">
      <c r="I31012" s="101"/>
    </row>
    <row r="31013" spans="9:9" x14ac:dyDescent="0.3">
      <c r="I31013" s="101"/>
    </row>
    <row r="31014" spans="9:9" x14ac:dyDescent="0.3">
      <c r="I31014" s="101"/>
    </row>
    <row r="31015" spans="9:9" x14ac:dyDescent="0.3">
      <c r="I31015" s="101"/>
    </row>
    <row r="31016" spans="9:9" x14ac:dyDescent="0.3">
      <c r="I31016" s="101"/>
    </row>
    <row r="31017" spans="9:9" x14ac:dyDescent="0.3">
      <c r="I31017" s="101"/>
    </row>
    <row r="31018" spans="9:9" x14ac:dyDescent="0.3">
      <c r="I31018" s="101"/>
    </row>
    <row r="31019" spans="9:9" x14ac:dyDescent="0.3">
      <c r="I31019" s="101"/>
    </row>
    <row r="31020" spans="9:9" x14ac:dyDescent="0.3">
      <c r="I31020" s="101"/>
    </row>
    <row r="31021" spans="9:9" x14ac:dyDescent="0.3">
      <c r="I31021" s="101"/>
    </row>
    <row r="31022" spans="9:9" x14ac:dyDescent="0.3">
      <c r="I31022" s="101"/>
    </row>
    <row r="31023" spans="9:9" x14ac:dyDescent="0.3">
      <c r="I31023" s="101"/>
    </row>
    <row r="31024" spans="9:9" x14ac:dyDescent="0.3">
      <c r="I31024" s="101"/>
    </row>
    <row r="31025" spans="9:9" x14ac:dyDescent="0.3">
      <c r="I31025" s="101"/>
    </row>
    <row r="31026" spans="9:9" x14ac:dyDescent="0.3">
      <c r="I31026" s="101"/>
    </row>
    <row r="31027" spans="9:9" x14ac:dyDescent="0.3">
      <c r="I31027" s="101"/>
    </row>
    <row r="31028" spans="9:9" x14ac:dyDescent="0.3">
      <c r="I31028" s="101"/>
    </row>
    <row r="31029" spans="9:9" x14ac:dyDescent="0.3">
      <c r="I31029" s="101"/>
    </row>
    <row r="31030" spans="9:9" x14ac:dyDescent="0.3">
      <c r="I31030" s="101"/>
    </row>
    <row r="31031" spans="9:9" x14ac:dyDescent="0.3">
      <c r="I31031" s="101"/>
    </row>
    <row r="31032" spans="9:9" x14ac:dyDescent="0.3">
      <c r="I31032" s="101"/>
    </row>
    <row r="31033" spans="9:9" x14ac:dyDescent="0.3">
      <c r="I31033" s="101"/>
    </row>
    <row r="31034" spans="9:9" x14ac:dyDescent="0.3">
      <c r="I31034" s="101"/>
    </row>
    <row r="31035" spans="9:9" x14ac:dyDescent="0.3">
      <c r="I31035" s="101"/>
    </row>
    <row r="31036" spans="9:9" x14ac:dyDescent="0.3">
      <c r="I31036" s="101"/>
    </row>
    <row r="31037" spans="9:9" x14ac:dyDescent="0.3">
      <c r="I31037" s="101"/>
    </row>
    <row r="31038" spans="9:9" x14ac:dyDescent="0.3">
      <c r="I31038" s="101"/>
    </row>
    <row r="31039" spans="9:9" x14ac:dyDescent="0.3">
      <c r="I31039" s="101"/>
    </row>
    <row r="31040" spans="9:9" x14ac:dyDescent="0.3">
      <c r="I31040" s="101"/>
    </row>
    <row r="31041" spans="9:9" x14ac:dyDescent="0.3">
      <c r="I31041" s="101"/>
    </row>
    <row r="31042" spans="9:9" x14ac:dyDescent="0.3">
      <c r="I31042" s="101"/>
    </row>
    <row r="31043" spans="9:9" x14ac:dyDescent="0.3">
      <c r="I31043" s="101"/>
    </row>
    <row r="31044" spans="9:9" x14ac:dyDescent="0.3">
      <c r="I31044" s="101"/>
    </row>
    <row r="31045" spans="9:9" x14ac:dyDescent="0.3">
      <c r="I31045" s="101"/>
    </row>
    <row r="31046" spans="9:9" x14ac:dyDescent="0.3">
      <c r="I31046" s="101"/>
    </row>
    <row r="31047" spans="9:9" x14ac:dyDescent="0.3">
      <c r="I31047" s="101"/>
    </row>
    <row r="31048" spans="9:9" x14ac:dyDescent="0.3">
      <c r="I31048" s="101"/>
    </row>
    <row r="31049" spans="9:9" x14ac:dyDescent="0.3">
      <c r="I31049" s="101"/>
    </row>
    <row r="31050" spans="9:9" x14ac:dyDescent="0.3">
      <c r="I31050" s="101"/>
    </row>
    <row r="31051" spans="9:9" x14ac:dyDescent="0.3">
      <c r="I31051" s="101"/>
    </row>
    <row r="31052" spans="9:9" x14ac:dyDescent="0.3">
      <c r="I31052" s="101"/>
    </row>
    <row r="31053" spans="9:9" x14ac:dyDescent="0.3">
      <c r="I31053" s="101"/>
    </row>
    <row r="31054" spans="9:9" x14ac:dyDescent="0.3">
      <c r="I31054" s="101"/>
    </row>
    <row r="31055" spans="9:9" x14ac:dyDescent="0.3">
      <c r="I31055" s="101"/>
    </row>
    <row r="31056" spans="9:9" x14ac:dyDescent="0.3">
      <c r="I31056" s="101"/>
    </row>
    <row r="31057" spans="9:9" x14ac:dyDescent="0.3">
      <c r="I31057" s="101"/>
    </row>
    <row r="31058" spans="9:9" x14ac:dyDescent="0.3">
      <c r="I31058" s="101"/>
    </row>
    <row r="31059" spans="9:9" x14ac:dyDescent="0.3">
      <c r="I31059" s="101"/>
    </row>
    <row r="31060" spans="9:9" x14ac:dyDescent="0.3">
      <c r="I31060" s="101"/>
    </row>
    <row r="31061" spans="9:9" x14ac:dyDescent="0.3">
      <c r="I31061" s="101"/>
    </row>
    <row r="31062" spans="9:9" x14ac:dyDescent="0.3">
      <c r="I31062" s="101"/>
    </row>
    <row r="31063" spans="9:9" x14ac:dyDescent="0.3">
      <c r="I31063" s="101"/>
    </row>
    <row r="31064" spans="9:9" x14ac:dyDescent="0.3">
      <c r="I31064" s="101"/>
    </row>
    <row r="31065" spans="9:9" x14ac:dyDescent="0.3">
      <c r="I31065" s="101"/>
    </row>
    <row r="31066" spans="9:9" x14ac:dyDescent="0.3">
      <c r="I31066" s="101"/>
    </row>
    <row r="31067" spans="9:9" x14ac:dyDescent="0.3">
      <c r="I31067" s="101"/>
    </row>
    <row r="31068" spans="9:9" x14ac:dyDescent="0.3">
      <c r="I31068" s="101"/>
    </row>
    <row r="31069" spans="9:9" x14ac:dyDescent="0.3">
      <c r="I31069" s="101"/>
    </row>
    <row r="31070" spans="9:9" x14ac:dyDescent="0.3">
      <c r="I31070" s="101"/>
    </row>
    <row r="31071" spans="9:9" x14ac:dyDescent="0.3">
      <c r="I31071" s="101"/>
    </row>
    <row r="31072" spans="9:9" x14ac:dyDescent="0.3">
      <c r="I31072" s="101"/>
    </row>
    <row r="31073" spans="9:9" x14ac:dyDescent="0.3">
      <c r="I31073" s="101"/>
    </row>
    <row r="31074" spans="9:9" x14ac:dyDescent="0.3">
      <c r="I31074" s="101"/>
    </row>
    <row r="31075" spans="9:9" x14ac:dyDescent="0.3">
      <c r="I31075" s="101"/>
    </row>
    <row r="31076" spans="9:9" x14ac:dyDescent="0.3">
      <c r="I31076" s="101"/>
    </row>
    <row r="31077" spans="9:9" x14ac:dyDescent="0.3">
      <c r="I31077" s="101"/>
    </row>
    <row r="31078" spans="9:9" x14ac:dyDescent="0.3">
      <c r="I31078" s="101"/>
    </row>
    <row r="31079" spans="9:9" x14ac:dyDescent="0.3">
      <c r="I31079" s="101"/>
    </row>
    <row r="31080" spans="9:9" x14ac:dyDescent="0.3">
      <c r="I31080" s="101"/>
    </row>
    <row r="31081" spans="9:9" x14ac:dyDescent="0.3">
      <c r="I31081" s="101"/>
    </row>
    <row r="31082" spans="9:9" x14ac:dyDescent="0.3">
      <c r="I31082" s="101"/>
    </row>
    <row r="31083" spans="9:9" x14ac:dyDescent="0.3">
      <c r="I31083" s="101"/>
    </row>
    <row r="31084" spans="9:9" x14ac:dyDescent="0.3">
      <c r="I31084" s="101"/>
    </row>
    <row r="31085" spans="9:9" x14ac:dyDescent="0.3">
      <c r="I31085" s="101"/>
    </row>
    <row r="31086" spans="9:9" x14ac:dyDescent="0.3">
      <c r="I31086" s="101"/>
    </row>
    <row r="31087" spans="9:9" x14ac:dyDescent="0.3">
      <c r="I31087" s="101"/>
    </row>
    <row r="31088" spans="9:9" x14ac:dyDescent="0.3">
      <c r="I31088" s="101"/>
    </row>
    <row r="31089" spans="9:9" x14ac:dyDescent="0.3">
      <c r="I31089" s="101"/>
    </row>
    <row r="31090" spans="9:9" x14ac:dyDescent="0.3">
      <c r="I31090" s="101"/>
    </row>
    <row r="31091" spans="9:9" x14ac:dyDescent="0.3">
      <c r="I31091" s="101"/>
    </row>
    <row r="31092" spans="9:9" x14ac:dyDescent="0.3">
      <c r="I31092" s="101"/>
    </row>
    <row r="31093" spans="9:9" x14ac:dyDescent="0.3">
      <c r="I31093" s="101"/>
    </row>
    <row r="31094" spans="9:9" x14ac:dyDescent="0.3">
      <c r="I31094" s="101"/>
    </row>
    <row r="31095" spans="9:9" x14ac:dyDescent="0.3">
      <c r="I31095" s="101"/>
    </row>
    <row r="31096" spans="9:9" x14ac:dyDescent="0.3">
      <c r="I31096" s="101"/>
    </row>
    <row r="31097" spans="9:9" x14ac:dyDescent="0.3">
      <c r="I31097" s="101"/>
    </row>
    <row r="31098" spans="9:9" x14ac:dyDescent="0.3">
      <c r="I31098" s="101"/>
    </row>
    <row r="31099" spans="9:9" x14ac:dyDescent="0.3">
      <c r="I31099" s="101"/>
    </row>
    <row r="31100" spans="9:9" x14ac:dyDescent="0.3">
      <c r="I31100" s="101"/>
    </row>
    <row r="31101" spans="9:9" x14ac:dyDescent="0.3">
      <c r="I31101" s="101"/>
    </row>
    <row r="31102" spans="9:9" x14ac:dyDescent="0.3">
      <c r="I31102" s="101"/>
    </row>
    <row r="31103" spans="9:9" x14ac:dyDescent="0.3">
      <c r="I31103" s="101"/>
    </row>
    <row r="31104" spans="9:9" x14ac:dyDescent="0.3">
      <c r="I31104" s="101"/>
    </row>
    <row r="31105" spans="9:9" x14ac:dyDescent="0.3">
      <c r="I31105" s="101"/>
    </row>
    <row r="31106" spans="9:9" x14ac:dyDescent="0.3">
      <c r="I31106" s="101"/>
    </row>
    <row r="31107" spans="9:9" x14ac:dyDescent="0.3">
      <c r="I31107" s="101"/>
    </row>
    <row r="31108" spans="9:9" x14ac:dyDescent="0.3">
      <c r="I31108" s="101"/>
    </row>
    <row r="31109" spans="9:9" x14ac:dyDescent="0.3">
      <c r="I31109" s="101"/>
    </row>
    <row r="31110" spans="9:9" x14ac:dyDescent="0.3">
      <c r="I31110" s="101"/>
    </row>
    <row r="31111" spans="9:9" x14ac:dyDescent="0.3">
      <c r="I31111" s="101"/>
    </row>
    <row r="31112" spans="9:9" x14ac:dyDescent="0.3">
      <c r="I31112" s="101"/>
    </row>
    <row r="31113" spans="9:9" x14ac:dyDescent="0.3">
      <c r="I31113" s="101"/>
    </row>
    <row r="31114" spans="9:9" x14ac:dyDescent="0.3">
      <c r="I31114" s="101"/>
    </row>
    <row r="31115" spans="9:9" x14ac:dyDescent="0.3">
      <c r="I31115" s="101"/>
    </row>
    <row r="31116" spans="9:9" x14ac:dyDescent="0.3">
      <c r="I31116" s="101"/>
    </row>
    <row r="31117" spans="9:9" x14ac:dyDescent="0.3">
      <c r="I31117" s="101"/>
    </row>
    <row r="31118" spans="9:9" x14ac:dyDescent="0.3">
      <c r="I31118" s="101"/>
    </row>
    <row r="31119" spans="9:9" x14ac:dyDescent="0.3">
      <c r="I31119" s="101"/>
    </row>
    <row r="31120" spans="9:9" x14ac:dyDescent="0.3">
      <c r="I31120" s="101"/>
    </row>
    <row r="31121" spans="9:9" x14ac:dyDescent="0.3">
      <c r="I31121" s="101"/>
    </row>
    <row r="31122" spans="9:9" x14ac:dyDescent="0.3">
      <c r="I31122" s="101"/>
    </row>
    <row r="31123" spans="9:9" x14ac:dyDescent="0.3">
      <c r="I31123" s="101"/>
    </row>
    <row r="31124" spans="9:9" x14ac:dyDescent="0.3">
      <c r="I31124" s="101"/>
    </row>
    <row r="31125" spans="9:9" x14ac:dyDescent="0.3">
      <c r="I31125" s="101"/>
    </row>
    <row r="31126" spans="9:9" x14ac:dyDescent="0.3">
      <c r="I31126" s="101"/>
    </row>
    <row r="31127" spans="9:9" x14ac:dyDescent="0.3">
      <c r="I31127" s="101"/>
    </row>
    <row r="31128" spans="9:9" x14ac:dyDescent="0.3">
      <c r="I31128" s="101"/>
    </row>
    <row r="31129" spans="9:9" x14ac:dyDescent="0.3">
      <c r="I31129" s="101"/>
    </row>
    <row r="31130" spans="9:9" x14ac:dyDescent="0.3">
      <c r="I31130" s="101"/>
    </row>
    <row r="31131" spans="9:9" x14ac:dyDescent="0.3">
      <c r="I31131" s="101"/>
    </row>
    <row r="31132" spans="9:9" x14ac:dyDescent="0.3">
      <c r="I31132" s="101"/>
    </row>
    <row r="31133" spans="9:9" x14ac:dyDescent="0.3">
      <c r="I31133" s="101"/>
    </row>
    <row r="31134" spans="9:9" x14ac:dyDescent="0.3">
      <c r="I31134" s="101"/>
    </row>
    <row r="31135" spans="9:9" x14ac:dyDescent="0.3">
      <c r="I31135" s="101"/>
    </row>
    <row r="31136" spans="9:9" x14ac:dyDescent="0.3">
      <c r="I31136" s="101"/>
    </row>
    <row r="31137" spans="9:9" x14ac:dyDescent="0.3">
      <c r="I31137" s="101"/>
    </row>
    <row r="31138" spans="9:9" x14ac:dyDescent="0.3">
      <c r="I31138" s="101"/>
    </row>
    <row r="31139" spans="9:9" x14ac:dyDescent="0.3">
      <c r="I31139" s="101"/>
    </row>
    <row r="31140" spans="9:9" x14ac:dyDescent="0.3">
      <c r="I31140" s="101"/>
    </row>
    <row r="31141" spans="9:9" x14ac:dyDescent="0.3">
      <c r="I31141" s="101"/>
    </row>
    <row r="31142" spans="9:9" x14ac:dyDescent="0.3">
      <c r="I31142" s="101"/>
    </row>
    <row r="31143" spans="9:9" x14ac:dyDescent="0.3">
      <c r="I31143" s="101"/>
    </row>
    <row r="31144" spans="9:9" x14ac:dyDescent="0.3">
      <c r="I31144" s="101"/>
    </row>
    <row r="31145" spans="9:9" x14ac:dyDescent="0.3">
      <c r="I31145" s="101"/>
    </row>
    <row r="31146" spans="9:9" x14ac:dyDescent="0.3">
      <c r="I31146" s="101"/>
    </row>
    <row r="31147" spans="9:9" x14ac:dyDescent="0.3">
      <c r="I31147" s="101"/>
    </row>
    <row r="31148" spans="9:9" x14ac:dyDescent="0.3">
      <c r="I31148" s="101"/>
    </row>
    <row r="31149" spans="9:9" x14ac:dyDescent="0.3">
      <c r="I31149" s="101"/>
    </row>
    <row r="31150" spans="9:9" x14ac:dyDescent="0.3">
      <c r="I31150" s="101"/>
    </row>
    <row r="31151" spans="9:9" x14ac:dyDescent="0.3">
      <c r="I31151" s="101"/>
    </row>
    <row r="31152" spans="9:9" x14ac:dyDescent="0.3">
      <c r="I31152" s="101"/>
    </row>
    <row r="31153" spans="9:9" x14ac:dyDescent="0.3">
      <c r="I31153" s="101"/>
    </row>
    <row r="31154" spans="9:9" x14ac:dyDescent="0.3">
      <c r="I31154" s="101"/>
    </row>
    <row r="31155" spans="9:9" x14ac:dyDescent="0.3">
      <c r="I31155" s="101"/>
    </row>
    <row r="31156" spans="9:9" x14ac:dyDescent="0.3">
      <c r="I31156" s="101"/>
    </row>
    <row r="31157" spans="9:9" x14ac:dyDescent="0.3">
      <c r="I31157" s="101"/>
    </row>
    <row r="31158" spans="9:9" x14ac:dyDescent="0.3">
      <c r="I31158" s="101"/>
    </row>
    <row r="31159" spans="9:9" x14ac:dyDescent="0.3">
      <c r="I31159" s="101"/>
    </row>
    <row r="31160" spans="9:9" x14ac:dyDescent="0.3">
      <c r="I31160" s="101"/>
    </row>
    <row r="31161" spans="9:9" x14ac:dyDescent="0.3">
      <c r="I31161" s="101"/>
    </row>
    <row r="31162" spans="9:9" x14ac:dyDescent="0.3">
      <c r="I31162" s="101"/>
    </row>
    <row r="31163" spans="9:9" x14ac:dyDescent="0.3">
      <c r="I31163" s="101"/>
    </row>
    <row r="31164" spans="9:9" x14ac:dyDescent="0.3">
      <c r="I31164" s="101"/>
    </row>
    <row r="31165" spans="9:9" x14ac:dyDescent="0.3">
      <c r="I31165" s="101"/>
    </row>
    <row r="31166" spans="9:9" x14ac:dyDescent="0.3">
      <c r="I31166" s="101"/>
    </row>
    <row r="31167" spans="9:9" x14ac:dyDescent="0.3">
      <c r="I31167" s="101"/>
    </row>
    <row r="31168" spans="9:9" x14ac:dyDescent="0.3">
      <c r="I31168" s="101"/>
    </row>
    <row r="31169" spans="9:9" x14ac:dyDescent="0.3">
      <c r="I31169" s="101"/>
    </row>
    <row r="31170" spans="9:9" x14ac:dyDescent="0.3">
      <c r="I31170" s="101"/>
    </row>
    <row r="31171" spans="9:9" x14ac:dyDescent="0.3">
      <c r="I31171" s="101"/>
    </row>
    <row r="31172" spans="9:9" x14ac:dyDescent="0.3">
      <c r="I31172" s="101"/>
    </row>
    <row r="31173" spans="9:9" x14ac:dyDescent="0.3">
      <c r="I31173" s="101"/>
    </row>
    <row r="31174" spans="9:9" x14ac:dyDescent="0.3">
      <c r="I31174" s="101"/>
    </row>
    <row r="31175" spans="9:9" x14ac:dyDescent="0.3">
      <c r="I31175" s="101"/>
    </row>
    <row r="31176" spans="9:9" x14ac:dyDescent="0.3">
      <c r="I31176" s="101"/>
    </row>
    <row r="31177" spans="9:9" x14ac:dyDescent="0.3">
      <c r="I31177" s="101"/>
    </row>
    <row r="31178" spans="9:9" x14ac:dyDescent="0.3">
      <c r="I31178" s="101"/>
    </row>
    <row r="31179" spans="9:9" x14ac:dyDescent="0.3">
      <c r="I31179" s="101"/>
    </row>
    <row r="31180" spans="9:9" x14ac:dyDescent="0.3">
      <c r="I31180" s="101"/>
    </row>
    <row r="31181" spans="9:9" x14ac:dyDescent="0.3">
      <c r="I31181" s="101"/>
    </row>
    <row r="31182" spans="9:9" x14ac:dyDescent="0.3">
      <c r="I31182" s="101"/>
    </row>
    <row r="31183" spans="9:9" x14ac:dyDescent="0.3">
      <c r="I31183" s="101"/>
    </row>
    <row r="31184" spans="9:9" x14ac:dyDescent="0.3">
      <c r="I31184" s="101"/>
    </row>
    <row r="31185" spans="9:9" x14ac:dyDescent="0.3">
      <c r="I31185" s="101"/>
    </row>
    <row r="31186" spans="9:9" x14ac:dyDescent="0.3">
      <c r="I31186" s="101"/>
    </row>
    <row r="31187" spans="9:9" x14ac:dyDescent="0.3">
      <c r="I31187" s="101"/>
    </row>
    <row r="31188" spans="9:9" x14ac:dyDescent="0.3">
      <c r="I31188" s="101"/>
    </row>
    <row r="31189" spans="9:9" x14ac:dyDescent="0.3">
      <c r="I31189" s="101"/>
    </row>
    <row r="31190" spans="9:9" x14ac:dyDescent="0.3">
      <c r="I31190" s="101"/>
    </row>
    <row r="31191" spans="9:9" x14ac:dyDescent="0.3">
      <c r="I31191" s="101"/>
    </row>
    <row r="31192" spans="9:9" x14ac:dyDescent="0.3">
      <c r="I31192" s="101"/>
    </row>
    <row r="31193" spans="9:9" x14ac:dyDescent="0.3">
      <c r="I31193" s="101"/>
    </row>
    <row r="31194" spans="9:9" x14ac:dyDescent="0.3">
      <c r="I31194" s="101"/>
    </row>
    <row r="31195" spans="9:9" x14ac:dyDescent="0.3">
      <c r="I31195" s="101"/>
    </row>
    <row r="31196" spans="9:9" x14ac:dyDescent="0.3">
      <c r="I31196" s="101"/>
    </row>
    <row r="31197" spans="9:9" x14ac:dyDescent="0.3">
      <c r="I31197" s="101"/>
    </row>
    <row r="31198" spans="9:9" x14ac:dyDescent="0.3">
      <c r="I31198" s="101"/>
    </row>
    <row r="31199" spans="9:9" x14ac:dyDescent="0.3">
      <c r="I31199" s="101"/>
    </row>
    <row r="31200" spans="9:9" x14ac:dyDescent="0.3">
      <c r="I31200" s="101"/>
    </row>
    <row r="31201" spans="9:9" x14ac:dyDescent="0.3">
      <c r="I31201" s="101"/>
    </row>
    <row r="31202" spans="9:9" x14ac:dyDescent="0.3">
      <c r="I31202" s="101"/>
    </row>
    <row r="31203" spans="9:9" x14ac:dyDescent="0.3">
      <c r="I31203" s="101"/>
    </row>
    <row r="31204" spans="9:9" x14ac:dyDescent="0.3">
      <c r="I31204" s="101"/>
    </row>
    <row r="31205" spans="9:9" x14ac:dyDescent="0.3">
      <c r="I31205" s="101"/>
    </row>
    <row r="31206" spans="9:9" x14ac:dyDescent="0.3">
      <c r="I31206" s="101"/>
    </row>
    <row r="31207" spans="9:9" x14ac:dyDescent="0.3">
      <c r="I31207" s="101"/>
    </row>
    <row r="31208" spans="9:9" x14ac:dyDescent="0.3">
      <c r="I31208" s="101"/>
    </row>
    <row r="31209" spans="9:9" x14ac:dyDescent="0.3">
      <c r="I31209" s="101"/>
    </row>
    <row r="31210" spans="9:9" x14ac:dyDescent="0.3">
      <c r="I31210" s="101"/>
    </row>
    <row r="31211" spans="9:9" x14ac:dyDescent="0.3">
      <c r="I31211" s="101"/>
    </row>
    <row r="31212" spans="9:9" x14ac:dyDescent="0.3">
      <c r="I31212" s="101"/>
    </row>
    <row r="31213" spans="9:9" x14ac:dyDescent="0.3">
      <c r="I31213" s="101"/>
    </row>
    <row r="31214" spans="9:9" x14ac:dyDescent="0.3">
      <c r="I31214" s="101"/>
    </row>
    <row r="31215" spans="9:9" x14ac:dyDescent="0.3">
      <c r="I31215" s="101"/>
    </row>
    <row r="31216" spans="9:9" x14ac:dyDescent="0.3">
      <c r="I31216" s="101"/>
    </row>
    <row r="31217" spans="9:9" x14ac:dyDescent="0.3">
      <c r="I31217" s="101"/>
    </row>
    <row r="31218" spans="9:9" x14ac:dyDescent="0.3">
      <c r="I31218" s="101"/>
    </row>
    <row r="31219" spans="9:9" x14ac:dyDescent="0.3">
      <c r="I31219" s="101"/>
    </row>
    <row r="31220" spans="9:9" x14ac:dyDescent="0.3">
      <c r="I31220" s="101"/>
    </row>
    <row r="31221" spans="9:9" x14ac:dyDescent="0.3">
      <c r="I31221" s="101"/>
    </row>
    <row r="31222" spans="9:9" x14ac:dyDescent="0.3">
      <c r="I31222" s="101"/>
    </row>
    <row r="31223" spans="9:9" x14ac:dyDescent="0.3">
      <c r="I31223" s="101"/>
    </row>
    <row r="31224" spans="9:9" x14ac:dyDescent="0.3">
      <c r="I31224" s="101"/>
    </row>
    <row r="31225" spans="9:9" x14ac:dyDescent="0.3">
      <c r="I31225" s="101"/>
    </row>
    <row r="31226" spans="9:9" x14ac:dyDescent="0.3">
      <c r="I31226" s="101"/>
    </row>
    <row r="31227" spans="9:9" x14ac:dyDescent="0.3">
      <c r="I31227" s="101"/>
    </row>
    <row r="31228" spans="9:9" x14ac:dyDescent="0.3">
      <c r="I31228" s="101"/>
    </row>
    <row r="31229" spans="9:9" x14ac:dyDescent="0.3">
      <c r="I31229" s="101"/>
    </row>
    <row r="31230" spans="9:9" x14ac:dyDescent="0.3">
      <c r="I31230" s="101"/>
    </row>
    <row r="31231" spans="9:9" x14ac:dyDescent="0.3">
      <c r="I31231" s="101"/>
    </row>
    <row r="31232" spans="9:9" x14ac:dyDescent="0.3">
      <c r="I31232" s="101"/>
    </row>
    <row r="31233" spans="9:9" x14ac:dyDescent="0.3">
      <c r="I31233" s="101"/>
    </row>
    <row r="31234" spans="9:9" x14ac:dyDescent="0.3">
      <c r="I31234" s="101"/>
    </row>
    <row r="31235" spans="9:9" x14ac:dyDescent="0.3">
      <c r="I31235" s="101"/>
    </row>
    <row r="31236" spans="9:9" x14ac:dyDescent="0.3">
      <c r="I31236" s="101"/>
    </row>
    <row r="31237" spans="9:9" x14ac:dyDescent="0.3">
      <c r="I31237" s="101"/>
    </row>
    <row r="31238" spans="9:9" x14ac:dyDescent="0.3">
      <c r="I31238" s="101"/>
    </row>
    <row r="31239" spans="9:9" x14ac:dyDescent="0.3">
      <c r="I31239" s="101"/>
    </row>
    <row r="31240" spans="9:9" x14ac:dyDescent="0.3">
      <c r="I31240" s="101"/>
    </row>
    <row r="31241" spans="9:9" x14ac:dyDescent="0.3">
      <c r="I31241" s="101"/>
    </row>
    <row r="31242" spans="9:9" x14ac:dyDescent="0.3">
      <c r="I31242" s="101"/>
    </row>
    <row r="31243" spans="9:9" x14ac:dyDescent="0.3">
      <c r="I31243" s="101"/>
    </row>
    <row r="31244" spans="9:9" x14ac:dyDescent="0.3">
      <c r="I31244" s="101"/>
    </row>
    <row r="31245" spans="9:9" x14ac:dyDescent="0.3">
      <c r="I31245" s="101"/>
    </row>
    <row r="31246" spans="9:9" x14ac:dyDescent="0.3">
      <c r="I31246" s="101"/>
    </row>
    <row r="31247" spans="9:9" x14ac:dyDescent="0.3">
      <c r="I31247" s="101"/>
    </row>
    <row r="31248" spans="9:9" x14ac:dyDescent="0.3">
      <c r="I31248" s="101"/>
    </row>
    <row r="31249" spans="9:9" x14ac:dyDescent="0.3">
      <c r="I31249" s="101"/>
    </row>
    <row r="31250" spans="9:9" x14ac:dyDescent="0.3">
      <c r="I31250" s="101"/>
    </row>
    <row r="31251" spans="9:9" x14ac:dyDescent="0.3">
      <c r="I31251" s="101"/>
    </row>
    <row r="31252" spans="9:9" x14ac:dyDescent="0.3">
      <c r="I31252" s="101"/>
    </row>
    <row r="31253" spans="9:9" x14ac:dyDescent="0.3">
      <c r="I31253" s="101"/>
    </row>
    <row r="31254" spans="9:9" x14ac:dyDescent="0.3">
      <c r="I31254" s="101"/>
    </row>
    <row r="31255" spans="9:9" x14ac:dyDescent="0.3">
      <c r="I31255" s="101"/>
    </row>
    <row r="31256" spans="9:9" x14ac:dyDescent="0.3">
      <c r="I31256" s="101"/>
    </row>
    <row r="31257" spans="9:9" x14ac:dyDescent="0.3">
      <c r="I31257" s="101"/>
    </row>
    <row r="31258" spans="9:9" x14ac:dyDescent="0.3">
      <c r="I31258" s="101"/>
    </row>
    <row r="31259" spans="9:9" x14ac:dyDescent="0.3">
      <c r="I31259" s="101"/>
    </row>
    <row r="31260" spans="9:9" x14ac:dyDescent="0.3">
      <c r="I31260" s="101"/>
    </row>
    <row r="31261" spans="9:9" x14ac:dyDescent="0.3">
      <c r="I31261" s="101"/>
    </row>
    <row r="31262" spans="9:9" x14ac:dyDescent="0.3">
      <c r="I31262" s="101"/>
    </row>
    <row r="31263" spans="9:9" x14ac:dyDescent="0.3">
      <c r="I31263" s="101"/>
    </row>
    <row r="31264" spans="9:9" x14ac:dyDescent="0.3">
      <c r="I31264" s="101"/>
    </row>
    <row r="31265" spans="9:9" x14ac:dyDescent="0.3">
      <c r="I31265" s="101"/>
    </row>
    <row r="31266" spans="9:9" x14ac:dyDescent="0.3">
      <c r="I31266" s="101"/>
    </row>
    <row r="31267" spans="9:9" x14ac:dyDescent="0.3">
      <c r="I31267" s="101"/>
    </row>
    <row r="31268" spans="9:9" x14ac:dyDescent="0.3">
      <c r="I31268" s="101"/>
    </row>
    <row r="31269" spans="9:9" x14ac:dyDescent="0.3">
      <c r="I31269" s="101"/>
    </row>
    <row r="31270" spans="9:9" x14ac:dyDescent="0.3">
      <c r="I31270" s="101"/>
    </row>
    <row r="31271" spans="9:9" x14ac:dyDescent="0.3">
      <c r="I31271" s="101"/>
    </row>
    <row r="31272" spans="9:9" x14ac:dyDescent="0.3">
      <c r="I31272" s="101"/>
    </row>
    <row r="31273" spans="9:9" x14ac:dyDescent="0.3">
      <c r="I31273" s="101"/>
    </row>
    <row r="31274" spans="9:9" x14ac:dyDescent="0.3">
      <c r="I31274" s="101"/>
    </row>
    <row r="31275" spans="9:9" x14ac:dyDescent="0.3">
      <c r="I31275" s="101"/>
    </row>
    <row r="31276" spans="9:9" x14ac:dyDescent="0.3">
      <c r="I31276" s="101"/>
    </row>
    <row r="31277" spans="9:9" x14ac:dyDescent="0.3">
      <c r="I31277" s="101"/>
    </row>
    <row r="31278" spans="9:9" x14ac:dyDescent="0.3">
      <c r="I31278" s="101"/>
    </row>
    <row r="31279" spans="9:9" x14ac:dyDescent="0.3">
      <c r="I31279" s="101"/>
    </row>
    <row r="31280" spans="9:9" x14ac:dyDescent="0.3">
      <c r="I31280" s="101"/>
    </row>
    <row r="31281" spans="9:9" x14ac:dyDescent="0.3">
      <c r="I31281" s="101"/>
    </row>
    <row r="31282" spans="9:9" x14ac:dyDescent="0.3">
      <c r="I31282" s="101"/>
    </row>
    <row r="31283" spans="9:9" x14ac:dyDescent="0.3">
      <c r="I31283" s="101"/>
    </row>
    <row r="31284" spans="9:9" x14ac:dyDescent="0.3">
      <c r="I31284" s="101"/>
    </row>
    <row r="31285" spans="9:9" x14ac:dyDescent="0.3">
      <c r="I31285" s="101"/>
    </row>
    <row r="31286" spans="9:9" x14ac:dyDescent="0.3">
      <c r="I31286" s="101"/>
    </row>
    <row r="31287" spans="9:9" x14ac:dyDescent="0.3">
      <c r="I31287" s="101"/>
    </row>
    <row r="31288" spans="9:9" x14ac:dyDescent="0.3">
      <c r="I31288" s="101"/>
    </row>
    <row r="31289" spans="9:9" x14ac:dyDescent="0.3">
      <c r="I31289" s="101"/>
    </row>
    <row r="31290" spans="9:9" x14ac:dyDescent="0.3">
      <c r="I31290" s="101"/>
    </row>
    <row r="31291" spans="9:9" x14ac:dyDescent="0.3">
      <c r="I31291" s="101"/>
    </row>
    <row r="31292" spans="9:9" x14ac:dyDescent="0.3">
      <c r="I31292" s="101"/>
    </row>
    <row r="31293" spans="9:9" x14ac:dyDescent="0.3">
      <c r="I31293" s="101"/>
    </row>
    <row r="31294" spans="9:9" x14ac:dyDescent="0.3">
      <c r="I31294" s="101"/>
    </row>
    <row r="31295" spans="9:9" x14ac:dyDescent="0.3">
      <c r="I31295" s="101"/>
    </row>
    <row r="31296" spans="9:9" x14ac:dyDescent="0.3">
      <c r="I31296" s="101"/>
    </row>
    <row r="31297" spans="9:9" x14ac:dyDescent="0.3">
      <c r="I31297" s="101"/>
    </row>
    <row r="31298" spans="9:9" x14ac:dyDescent="0.3">
      <c r="I31298" s="101"/>
    </row>
    <row r="31299" spans="9:9" x14ac:dyDescent="0.3">
      <c r="I31299" s="101"/>
    </row>
    <row r="31300" spans="9:9" x14ac:dyDescent="0.3">
      <c r="I31300" s="101"/>
    </row>
    <row r="31301" spans="9:9" x14ac:dyDescent="0.3">
      <c r="I31301" s="101"/>
    </row>
    <row r="31302" spans="9:9" x14ac:dyDescent="0.3">
      <c r="I31302" s="101"/>
    </row>
    <row r="31303" spans="9:9" x14ac:dyDescent="0.3">
      <c r="I31303" s="101"/>
    </row>
    <row r="31304" spans="9:9" x14ac:dyDescent="0.3">
      <c r="I31304" s="101"/>
    </row>
    <row r="31305" spans="9:9" x14ac:dyDescent="0.3">
      <c r="I31305" s="101"/>
    </row>
    <row r="31306" spans="9:9" x14ac:dyDescent="0.3">
      <c r="I31306" s="101"/>
    </row>
    <row r="31307" spans="9:9" x14ac:dyDescent="0.3">
      <c r="I31307" s="101"/>
    </row>
    <row r="31308" spans="9:9" x14ac:dyDescent="0.3">
      <c r="I31308" s="101"/>
    </row>
    <row r="31309" spans="9:9" x14ac:dyDescent="0.3">
      <c r="I31309" s="101"/>
    </row>
    <row r="31310" spans="9:9" x14ac:dyDescent="0.3">
      <c r="I31310" s="101"/>
    </row>
    <row r="31311" spans="9:9" x14ac:dyDescent="0.3">
      <c r="I31311" s="101"/>
    </row>
    <row r="31312" spans="9:9" x14ac:dyDescent="0.3">
      <c r="I31312" s="101"/>
    </row>
    <row r="31313" spans="9:9" x14ac:dyDescent="0.3">
      <c r="I31313" s="101"/>
    </row>
    <row r="31314" spans="9:9" x14ac:dyDescent="0.3">
      <c r="I31314" s="101"/>
    </row>
    <row r="31315" spans="9:9" x14ac:dyDescent="0.3">
      <c r="I31315" s="101"/>
    </row>
    <row r="31316" spans="9:9" x14ac:dyDescent="0.3">
      <c r="I31316" s="101"/>
    </row>
    <row r="31317" spans="9:9" x14ac:dyDescent="0.3">
      <c r="I31317" s="101"/>
    </row>
    <row r="31318" spans="9:9" x14ac:dyDescent="0.3">
      <c r="I31318" s="101"/>
    </row>
    <row r="31319" spans="9:9" x14ac:dyDescent="0.3">
      <c r="I31319" s="101"/>
    </row>
    <row r="31320" spans="9:9" x14ac:dyDescent="0.3">
      <c r="I31320" s="101"/>
    </row>
    <row r="31321" spans="9:9" x14ac:dyDescent="0.3">
      <c r="I31321" s="101"/>
    </row>
    <row r="31322" spans="9:9" x14ac:dyDescent="0.3">
      <c r="I31322" s="101"/>
    </row>
    <row r="31323" spans="9:9" x14ac:dyDescent="0.3">
      <c r="I31323" s="101"/>
    </row>
    <row r="31324" spans="9:9" x14ac:dyDescent="0.3">
      <c r="I31324" s="101"/>
    </row>
    <row r="31325" spans="9:9" x14ac:dyDescent="0.3">
      <c r="I31325" s="101"/>
    </row>
    <row r="31326" spans="9:9" x14ac:dyDescent="0.3">
      <c r="I31326" s="101"/>
    </row>
    <row r="31327" spans="9:9" x14ac:dyDescent="0.3">
      <c r="I31327" s="101"/>
    </row>
    <row r="31328" spans="9:9" x14ac:dyDescent="0.3">
      <c r="I31328" s="101"/>
    </row>
    <row r="31329" spans="9:9" x14ac:dyDescent="0.3">
      <c r="I31329" s="101"/>
    </row>
    <row r="31330" spans="9:9" x14ac:dyDescent="0.3">
      <c r="I31330" s="101"/>
    </row>
    <row r="31331" spans="9:9" x14ac:dyDescent="0.3">
      <c r="I31331" s="101"/>
    </row>
    <row r="31332" spans="9:9" x14ac:dyDescent="0.3">
      <c r="I31332" s="101"/>
    </row>
    <row r="31333" spans="9:9" x14ac:dyDescent="0.3">
      <c r="I31333" s="101"/>
    </row>
    <row r="31334" spans="9:9" x14ac:dyDescent="0.3">
      <c r="I31334" s="101"/>
    </row>
    <row r="31335" spans="9:9" x14ac:dyDescent="0.3">
      <c r="I31335" s="101"/>
    </row>
    <row r="31336" spans="9:9" x14ac:dyDescent="0.3">
      <c r="I31336" s="101"/>
    </row>
    <row r="31337" spans="9:9" x14ac:dyDescent="0.3">
      <c r="I31337" s="101"/>
    </row>
    <row r="31338" spans="9:9" x14ac:dyDescent="0.3">
      <c r="I31338" s="101"/>
    </row>
    <row r="31339" spans="9:9" x14ac:dyDescent="0.3">
      <c r="I31339" s="101"/>
    </row>
    <row r="31340" spans="9:9" x14ac:dyDescent="0.3">
      <c r="I31340" s="101"/>
    </row>
    <row r="31341" spans="9:9" x14ac:dyDescent="0.3">
      <c r="I31341" s="101"/>
    </row>
    <row r="31342" spans="9:9" x14ac:dyDescent="0.3">
      <c r="I31342" s="101"/>
    </row>
    <row r="31343" spans="9:9" x14ac:dyDescent="0.3">
      <c r="I31343" s="101"/>
    </row>
    <row r="31344" spans="9:9" x14ac:dyDescent="0.3">
      <c r="I31344" s="101"/>
    </row>
    <row r="31345" spans="9:9" x14ac:dyDescent="0.3">
      <c r="I31345" s="101"/>
    </row>
    <row r="31346" spans="9:9" x14ac:dyDescent="0.3">
      <c r="I31346" s="101"/>
    </row>
    <row r="31347" spans="9:9" x14ac:dyDescent="0.3">
      <c r="I31347" s="101"/>
    </row>
    <row r="31348" spans="9:9" x14ac:dyDescent="0.3">
      <c r="I31348" s="101"/>
    </row>
    <row r="31349" spans="9:9" x14ac:dyDescent="0.3">
      <c r="I31349" s="101"/>
    </row>
    <row r="31350" spans="9:9" x14ac:dyDescent="0.3">
      <c r="I31350" s="101"/>
    </row>
    <row r="31351" spans="9:9" x14ac:dyDescent="0.3">
      <c r="I31351" s="101"/>
    </row>
    <row r="31352" spans="9:9" x14ac:dyDescent="0.3">
      <c r="I31352" s="101"/>
    </row>
    <row r="31353" spans="9:9" x14ac:dyDescent="0.3">
      <c r="I31353" s="101"/>
    </row>
    <row r="31354" spans="9:9" x14ac:dyDescent="0.3">
      <c r="I31354" s="101"/>
    </row>
    <row r="31355" spans="9:9" x14ac:dyDescent="0.3">
      <c r="I31355" s="101"/>
    </row>
    <row r="31356" spans="9:9" x14ac:dyDescent="0.3">
      <c r="I31356" s="101"/>
    </row>
    <row r="31357" spans="9:9" x14ac:dyDescent="0.3">
      <c r="I31357" s="101"/>
    </row>
    <row r="31358" spans="9:9" x14ac:dyDescent="0.3">
      <c r="I31358" s="101"/>
    </row>
    <row r="31359" spans="9:9" x14ac:dyDescent="0.3">
      <c r="I31359" s="101"/>
    </row>
    <row r="31360" spans="9:9" x14ac:dyDescent="0.3">
      <c r="I31360" s="101"/>
    </row>
    <row r="31361" spans="9:9" x14ac:dyDescent="0.3">
      <c r="I31361" s="101"/>
    </row>
    <row r="31362" spans="9:9" x14ac:dyDescent="0.3">
      <c r="I31362" s="101"/>
    </row>
    <row r="31363" spans="9:9" x14ac:dyDescent="0.3">
      <c r="I31363" s="101"/>
    </row>
    <row r="31364" spans="9:9" x14ac:dyDescent="0.3">
      <c r="I31364" s="101"/>
    </row>
    <row r="31365" spans="9:9" x14ac:dyDescent="0.3">
      <c r="I31365" s="101"/>
    </row>
    <row r="31366" spans="9:9" x14ac:dyDescent="0.3">
      <c r="I31366" s="101"/>
    </row>
    <row r="31367" spans="9:9" x14ac:dyDescent="0.3">
      <c r="I31367" s="101"/>
    </row>
    <row r="31368" spans="9:9" x14ac:dyDescent="0.3">
      <c r="I31368" s="101"/>
    </row>
    <row r="31369" spans="9:9" x14ac:dyDescent="0.3">
      <c r="I31369" s="101"/>
    </row>
    <row r="31370" spans="9:9" x14ac:dyDescent="0.3">
      <c r="I31370" s="101"/>
    </row>
    <row r="31371" spans="9:9" x14ac:dyDescent="0.3">
      <c r="I31371" s="101"/>
    </row>
    <row r="31372" spans="9:9" x14ac:dyDescent="0.3">
      <c r="I31372" s="101"/>
    </row>
    <row r="31373" spans="9:9" x14ac:dyDescent="0.3">
      <c r="I31373" s="101"/>
    </row>
    <row r="31374" spans="9:9" x14ac:dyDescent="0.3">
      <c r="I31374" s="101"/>
    </row>
    <row r="31375" spans="9:9" x14ac:dyDescent="0.3">
      <c r="I31375" s="101"/>
    </row>
    <row r="31376" spans="9:9" x14ac:dyDescent="0.3">
      <c r="I31376" s="101"/>
    </row>
    <row r="31377" spans="9:9" x14ac:dyDescent="0.3">
      <c r="I31377" s="101"/>
    </row>
    <row r="31378" spans="9:9" x14ac:dyDescent="0.3">
      <c r="I31378" s="101"/>
    </row>
    <row r="31379" spans="9:9" x14ac:dyDescent="0.3">
      <c r="I31379" s="101"/>
    </row>
    <row r="31380" spans="9:9" x14ac:dyDescent="0.3">
      <c r="I31380" s="101"/>
    </row>
    <row r="31381" spans="9:9" x14ac:dyDescent="0.3">
      <c r="I31381" s="101"/>
    </row>
    <row r="31382" spans="9:9" x14ac:dyDescent="0.3">
      <c r="I31382" s="101"/>
    </row>
    <row r="31383" spans="9:9" x14ac:dyDescent="0.3">
      <c r="I31383" s="101"/>
    </row>
    <row r="31384" spans="9:9" x14ac:dyDescent="0.3">
      <c r="I31384" s="101"/>
    </row>
    <row r="31385" spans="9:9" x14ac:dyDescent="0.3">
      <c r="I31385" s="101"/>
    </row>
    <row r="31386" spans="9:9" x14ac:dyDescent="0.3">
      <c r="I31386" s="101"/>
    </row>
    <row r="31387" spans="9:9" x14ac:dyDescent="0.3">
      <c r="I31387" s="101"/>
    </row>
    <row r="31388" spans="9:9" x14ac:dyDescent="0.3">
      <c r="I31388" s="101"/>
    </row>
    <row r="31389" spans="9:9" x14ac:dyDescent="0.3">
      <c r="I31389" s="101"/>
    </row>
    <row r="31390" spans="9:9" x14ac:dyDescent="0.3">
      <c r="I31390" s="101"/>
    </row>
    <row r="31391" spans="9:9" x14ac:dyDescent="0.3">
      <c r="I31391" s="101"/>
    </row>
    <row r="31392" spans="9:9" x14ac:dyDescent="0.3">
      <c r="I31392" s="101"/>
    </row>
    <row r="31393" spans="9:9" x14ac:dyDescent="0.3">
      <c r="I31393" s="101"/>
    </row>
    <row r="31394" spans="9:9" x14ac:dyDescent="0.3">
      <c r="I31394" s="101"/>
    </row>
    <row r="31395" spans="9:9" x14ac:dyDescent="0.3">
      <c r="I31395" s="101"/>
    </row>
    <row r="31396" spans="9:9" x14ac:dyDescent="0.3">
      <c r="I31396" s="101"/>
    </row>
    <row r="31397" spans="9:9" x14ac:dyDescent="0.3">
      <c r="I31397" s="101"/>
    </row>
    <row r="31398" spans="9:9" x14ac:dyDescent="0.3">
      <c r="I31398" s="101"/>
    </row>
    <row r="31399" spans="9:9" x14ac:dyDescent="0.3">
      <c r="I31399" s="101"/>
    </row>
    <row r="31400" spans="9:9" x14ac:dyDescent="0.3">
      <c r="I31400" s="101"/>
    </row>
    <row r="31401" spans="9:9" x14ac:dyDescent="0.3">
      <c r="I31401" s="101"/>
    </row>
    <row r="31402" spans="9:9" x14ac:dyDescent="0.3">
      <c r="I31402" s="101"/>
    </row>
    <row r="31403" spans="9:9" x14ac:dyDescent="0.3">
      <c r="I31403" s="101"/>
    </row>
    <row r="31404" spans="9:9" x14ac:dyDescent="0.3">
      <c r="I31404" s="101"/>
    </row>
    <row r="31405" spans="9:9" x14ac:dyDescent="0.3">
      <c r="I31405" s="101"/>
    </row>
    <row r="31406" spans="9:9" x14ac:dyDescent="0.3">
      <c r="I31406" s="101"/>
    </row>
    <row r="31407" spans="9:9" x14ac:dyDescent="0.3">
      <c r="I31407" s="101"/>
    </row>
    <row r="31408" spans="9:9" x14ac:dyDescent="0.3">
      <c r="I31408" s="101"/>
    </row>
    <row r="31409" spans="9:9" x14ac:dyDescent="0.3">
      <c r="I31409" s="101"/>
    </row>
    <row r="31410" spans="9:9" x14ac:dyDescent="0.3">
      <c r="I31410" s="101"/>
    </row>
    <row r="31411" spans="9:9" x14ac:dyDescent="0.3">
      <c r="I31411" s="101"/>
    </row>
    <row r="31412" spans="9:9" x14ac:dyDescent="0.3">
      <c r="I31412" s="101"/>
    </row>
    <row r="31413" spans="9:9" x14ac:dyDescent="0.3">
      <c r="I31413" s="101"/>
    </row>
    <row r="31414" spans="9:9" x14ac:dyDescent="0.3">
      <c r="I31414" s="101"/>
    </row>
    <row r="31415" spans="9:9" x14ac:dyDescent="0.3">
      <c r="I31415" s="101"/>
    </row>
    <row r="31416" spans="9:9" x14ac:dyDescent="0.3">
      <c r="I31416" s="101"/>
    </row>
    <row r="31417" spans="9:9" x14ac:dyDescent="0.3">
      <c r="I31417" s="101"/>
    </row>
    <row r="31418" spans="9:9" x14ac:dyDescent="0.3">
      <c r="I31418" s="101"/>
    </row>
    <row r="31419" spans="9:9" x14ac:dyDescent="0.3">
      <c r="I31419" s="101"/>
    </row>
    <row r="31420" spans="9:9" x14ac:dyDescent="0.3">
      <c r="I31420" s="101"/>
    </row>
    <row r="31421" spans="9:9" x14ac:dyDescent="0.3">
      <c r="I31421" s="101"/>
    </row>
    <row r="31422" spans="9:9" x14ac:dyDescent="0.3">
      <c r="I31422" s="101"/>
    </row>
    <row r="31423" spans="9:9" x14ac:dyDescent="0.3">
      <c r="I31423" s="101"/>
    </row>
    <row r="31424" spans="9:9" x14ac:dyDescent="0.3">
      <c r="I31424" s="101"/>
    </row>
    <row r="31425" spans="9:9" x14ac:dyDescent="0.3">
      <c r="I31425" s="101"/>
    </row>
    <row r="31426" spans="9:9" x14ac:dyDescent="0.3">
      <c r="I31426" s="101"/>
    </row>
    <row r="31427" spans="9:9" x14ac:dyDescent="0.3">
      <c r="I31427" s="101"/>
    </row>
    <row r="31428" spans="9:9" x14ac:dyDescent="0.3">
      <c r="I31428" s="101"/>
    </row>
    <row r="31429" spans="9:9" x14ac:dyDescent="0.3">
      <c r="I31429" s="101"/>
    </row>
    <row r="31430" spans="9:9" x14ac:dyDescent="0.3">
      <c r="I31430" s="101"/>
    </row>
    <row r="31431" spans="9:9" x14ac:dyDescent="0.3">
      <c r="I31431" s="101"/>
    </row>
    <row r="31432" spans="9:9" x14ac:dyDescent="0.3">
      <c r="I31432" s="101"/>
    </row>
    <row r="31433" spans="9:9" x14ac:dyDescent="0.3">
      <c r="I31433" s="101"/>
    </row>
    <row r="31434" spans="9:9" x14ac:dyDescent="0.3">
      <c r="I31434" s="101"/>
    </row>
    <row r="31435" spans="9:9" x14ac:dyDescent="0.3">
      <c r="I31435" s="101"/>
    </row>
    <row r="31436" spans="9:9" x14ac:dyDescent="0.3">
      <c r="I31436" s="101"/>
    </row>
    <row r="31437" spans="9:9" x14ac:dyDescent="0.3">
      <c r="I31437" s="101"/>
    </row>
    <row r="31438" spans="9:9" x14ac:dyDescent="0.3">
      <c r="I31438" s="101"/>
    </row>
    <row r="31439" spans="9:9" x14ac:dyDescent="0.3">
      <c r="I31439" s="101"/>
    </row>
    <row r="31440" spans="9:9" x14ac:dyDescent="0.3">
      <c r="I31440" s="101"/>
    </row>
    <row r="31441" spans="9:9" x14ac:dyDescent="0.3">
      <c r="I31441" s="101"/>
    </row>
    <row r="31442" spans="9:9" x14ac:dyDescent="0.3">
      <c r="I31442" s="101"/>
    </row>
    <row r="31443" spans="9:9" x14ac:dyDescent="0.3">
      <c r="I31443" s="101"/>
    </row>
    <row r="31444" spans="9:9" x14ac:dyDescent="0.3">
      <c r="I31444" s="101"/>
    </row>
    <row r="31445" spans="9:9" x14ac:dyDescent="0.3">
      <c r="I31445" s="101"/>
    </row>
    <row r="31446" spans="9:9" x14ac:dyDescent="0.3">
      <c r="I31446" s="101"/>
    </row>
    <row r="31447" spans="9:9" x14ac:dyDescent="0.3">
      <c r="I31447" s="101"/>
    </row>
    <row r="31448" spans="9:9" x14ac:dyDescent="0.3">
      <c r="I31448" s="101"/>
    </row>
    <row r="31449" spans="9:9" x14ac:dyDescent="0.3">
      <c r="I31449" s="101"/>
    </row>
    <row r="31450" spans="9:9" x14ac:dyDescent="0.3">
      <c r="I31450" s="101"/>
    </row>
    <row r="31451" spans="9:9" x14ac:dyDescent="0.3">
      <c r="I31451" s="101"/>
    </row>
    <row r="31452" spans="9:9" x14ac:dyDescent="0.3">
      <c r="I31452" s="101"/>
    </row>
    <row r="31453" spans="9:9" x14ac:dyDescent="0.3">
      <c r="I31453" s="101"/>
    </row>
    <row r="31454" spans="9:9" x14ac:dyDescent="0.3">
      <c r="I31454" s="101"/>
    </row>
    <row r="31455" spans="9:9" x14ac:dyDescent="0.3">
      <c r="I31455" s="101"/>
    </row>
    <row r="31456" spans="9:9" x14ac:dyDescent="0.3">
      <c r="I31456" s="101"/>
    </row>
    <row r="31457" spans="9:9" x14ac:dyDescent="0.3">
      <c r="I31457" s="101"/>
    </row>
    <row r="31458" spans="9:9" x14ac:dyDescent="0.3">
      <c r="I31458" s="101"/>
    </row>
    <row r="31459" spans="9:9" x14ac:dyDescent="0.3">
      <c r="I31459" s="101"/>
    </row>
    <row r="31460" spans="9:9" x14ac:dyDescent="0.3">
      <c r="I31460" s="101"/>
    </row>
    <row r="31461" spans="9:9" x14ac:dyDescent="0.3">
      <c r="I31461" s="101"/>
    </row>
    <row r="31462" spans="9:9" x14ac:dyDescent="0.3">
      <c r="I31462" s="101"/>
    </row>
    <row r="31463" spans="9:9" x14ac:dyDescent="0.3">
      <c r="I31463" s="101"/>
    </row>
    <row r="31464" spans="9:9" x14ac:dyDescent="0.3">
      <c r="I31464" s="101"/>
    </row>
    <row r="31465" spans="9:9" x14ac:dyDescent="0.3">
      <c r="I31465" s="101"/>
    </row>
    <row r="31466" spans="9:9" x14ac:dyDescent="0.3">
      <c r="I31466" s="101"/>
    </row>
    <row r="31467" spans="9:9" x14ac:dyDescent="0.3">
      <c r="I31467" s="101"/>
    </row>
    <row r="31468" spans="9:9" x14ac:dyDescent="0.3">
      <c r="I31468" s="101"/>
    </row>
    <row r="31469" spans="9:9" x14ac:dyDescent="0.3">
      <c r="I31469" s="101"/>
    </row>
    <row r="31470" spans="9:9" x14ac:dyDescent="0.3">
      <c r="I31470" s="101"/>
    </row>
    <row r="31471" spans="9:9" x14ac:dyDescent="0.3">
      <c r="I31471" s="101"/>
    </row>
    <row r="31472" spans="9:9" x14ac:dyDescent="0.3">
      <c r="I31472" s="101"/>
    </row>
    <row r="31473" spans="9:9" x14ac:dyDescent="0.3">
      <c r="I31473" s="101"/>
    </row>
    <row r="31474" spans="9:9" x14ac:dyDescent="0.3">
      <c r="I31474" s="101"/>
    </row>
    <row r="31475" spans="9:9" x14ac:dyDescent="0.3">
      <c r="I31475" s="101"/>
    </row>
    <row r="31476" spans="9:9" x14ac:dyDescent="0.3">
      <c r="I31476" s="101"/>
    </row>
    <row r="31477" spans="9:9" x14ac:dyDescent="0.3">
      <c r="I31477" s="101"/>
    </row>
    <row r="31478" spans="9:9" x14ac:dyDescent="0.3">
      <c r="I31478" s="101"/>
    </row>
    <row r="31479" spans="9:9" x14ac:dyDescent="0.3">
      <c r="I31479" s="101"/>
    </row>
    <row r="31480" spans="9:9" x14ac:dyDescent="0.3">
      <c r="I31480" s="101"/>
    </row>
    <row r="31481" spans="9:9" x14ac:dyDescent="0.3">
      <c r="I31481" s="101"/>
    </row>
    <row r="31482" spans="9:9" x14ac:dyDescent="0.3">
      <c r="I31482" s="101"/>
    </row>
    <row r="31483" spans="9:9" x14ac:dyDescent="0.3">
      <c r="I31483" s="101"/>
    </row>
    <row r="31484" spans="9:9" x14ac:dyDescent="0.3">
      <c r="I31484" s="101"/>
    </row>
    <row r="31485" spans="9:9" x14ac:dyDescent="0.3">
      <c r="I31485" s="101"/>
    </row>
    <row r="31486" spans="9:9" x14ac:dyDescent="0.3">
      <c r="I31486" s="101"/>
    </row>
    <row r="31487" spans="9:9" x14ac:dyDescent="0.3">
      <c r="I31487" s="101"/>
    </row>
    <row r="31488" spans="9:9" x14ac:dyDescent="0.3">
      <c r="I31488" s="101"/>
    </row>
    <row r="31489" spans="9:9" x14ac:dyDescent="0.3">
      <c r="I31489" s="101"/>
    </row>
    <row r="31490" spans="9:9" x14ac:dyDescent="0.3">
      <c r="I31490" s="101"/>
    </row>
    <row r="31491" spans="9:9" x14ac:dyDescent="0.3">
      <c r="I31491" s="101"/>
    </row>
    <row r="31492" spans="9:9" x14ac:dyDescent="0.3">
      <c r="I31492" s="101"/>
    </row>
    <row r="31493" spans="9:9" x14ac:dyDescent="0.3">
      <c r="I31493" s="101"/>
    </row>
    <row r="31494" spans="9:9" x14ac:dyDescent="0.3">
      <c r="I31494" s="101"/>
    </row>
    <row r="31495" spans="9:9" x14ac:dyDescent="0.3">
      <c r="I31495" s="101"/>
    </row>
    <row r="31496" spans="9:9" x14ac:dyDescent="0.3">
      <c r="I31496" s="101"/>
    </row>
    <row r="31497" spans="9:9" x14ac:dyDescent="0.3">
      <c r="I31497" s="101"/>
    </row>
    <row r="31498" spans="9:9" x14ac:dyDescent="0.3">
      <c r="I31498" s="101"/>
    </row>
    <row r="31499" spans="9:9" x14ac:dyDescent="0.3">
      <c r="I31499" s="101"/>
    </row>
    <row r="31500" spans="9:9" x14ac:dyDescent="0.3">
      <c r="I31500" s="101"/>
    </row>
    <row r="31501" spans="9:9" x14ac:dyDescent="0.3">
      <c r="I31501" s="101"/>
    </row>
    <row r="31502" spans="9:9" x14ac:dyDescent="0.3">
      <c r="I31502" s="101"/>
    </row>
    <row r="31503" spans="9:9" x14ac:dyDescent="0.3">
      <c r="I31503" s="101"/>
    </row>
    <row r="31504" spans="9:9" x14ac:dyDescent="0.3">
      <c r="I31504" s="101"/>
    </row>
    <row r="31505" spans="9:9" x14ac:dyDescent="0.3">
      <c r="I31505" s="101"/>
    </row>
    <row r="31506" spans="9:9" x14ac:dyDescent="0.3">
      <c r="I31506" s="101"/>
    </row>
    <row r="31507" spans="9:9" x14ac:dyDescent="0.3">
      <c r="I31507" s="101"/>
    </row>
    <row r="31508" spans="9:9" x14ac:dyDescent="0.3">
      <c r="I31508" s="101"/>
    </row>
    <row r="31509" spans="9:9" x14ac:dyDescent="0.3">
      <c r="I31509" s="101"/>
    </row>
    <row r="31510" spans="9:9" x14ac:dyDescent="0.3">
      <c r="I31510" s="101"/>
    </row>
    <row r="31511" spans="9:9" x14ac:dyDescent="0.3">
      <c r="I31511" s="101"/>
    </row>
    <row r="31512" spans="9:9" x14ac:dyDescent="0.3">
      <c r="I31512" s="101"/>
    </row>
    <row r="31513" spans="9:9" x14ac:dyDescent="0.3">
      <c r="I31513" s="101"/>
    </row>
    <row r="31514" spans="9:9" x14ac:dyDescent="0.3">
      <c r="I31514" s="101"/>
    </row>
    <row r="31515" spans="9:9" x14ac:dyDescent="0.3">
      <c r="I31515" s="101"/>
    </row>
    <row r="31516" spans="9:9" x14ac:dyDescent="0.3">
      <c r="I31516" s="101"/>
    </row>
    <row r="31517" spans="9:9" x14ac:dyDescent="0.3">
      <c r="I31517" s="101"/>
    </row>
    <row r="31518" spans="9:9" x14ac:dyDescent="0.3">
      <c r="I31518" s="101"/>
    </row>
    <row r="31519" spans="9:9" x14ac:dyDescent="0.3">
      <c r="I31519" s="101"/>
    </row>
    <row r="31520" spans="9:9" x14ac:dyDescent="0.3">
      <c r="I31520" s="101"/>
    </row>
    <row r="31521" spans="9:9" x14ac:dyDescent="0.3">
      <c r="I31521" s="101"/>
    </row>
    <row r="31522" spans="9:9" x14ac:dyDescent="0.3">
      <c r="I31522" s="101"/>
    </row>
    <row r="31523" spans="9:9" x14ac:dyDescent="0.3">
      <c r="I31523" s="101"/>
    </row>
    <row r="31524" spans="9:9" x14ac:dyDescent="0.3">
      <c r="I31524" s="101"/>
    </row>
    <row r="31525" spans="9:9" x14ac:dyDescent="0.3">
      <c r="I31525" s="101"/>
    </row>
    <row r="31526" spans="9:9" x14ac:dyDescent="0.3">
      <c r="I31526" s="101"/>
    </row>
    <row r="31527" spans="9:9" x14ac:dyDescent="0.3">
      <c r="I31527" s="101"/>
    </row>
    <row r="31528" spans="9:9" x14ac:dyDescent="0.3">
      <c r="I31528" s="101"/>
    </row>
    <row r="31529" spans="9:9" x14ac:dyDescent="0.3">
      <c r="I31529" s="101"/>
    </row>
    <row r="31530" spans="9:9" x14ac:dyDescent="0.3">
      <c r="I31530" s="101"/>
    </row>
    <row r="31531" spans="9:9" x14ac:dyDescent="0.3">
      <c r="I31531" s="101"/>
    </row>
    <row r="31532" spans="9:9" x14ac:dyDescent="0.3">
      <c r="I31532" s="101"/>
    </row>
    <row r="31533" spans="9:9" x14ac:dyDescent="0.3">
      <c r="I31533" s="101"/>
    </row>
    <row r="31534" spans="9:9" x14ac:dyDescent="0.3">
      <c r="I31534" s="101"/>
    </row>
    <row r="31535" spans="9:9" x14ac:dyDescent="0.3">
      <c r="I31535" s="101"/>
    </row>
    <row r="31536" spans="9:9" x14ac:dyDescent="0.3">
      <c r="I31536" s="101"/>
    </row>
    <row r="31537" spans="9:9" x14ac:dyDescent="0.3">
      <c r="I31537" s="101"/>
    </row>
    <row r="31538" spans="9:9" x14ac:dyDescent="0.3">
      <c r="I31538" s="101"/>
    </row>
    <row r="31539" spans="9:9" x14ac:dyDescent="0.3">
      <c r="I31539" s="101"/>
    </row>
    <row r="31540" spans="9:9" x14ac:dyDescent="0.3">
      <c r="I31540" s="101"/>
    </row>
    <row r="31541" spans="9:9" x14ac:dyDescent="0.3">
      <c r="I31541" s="101"/>
    </row>
    <row r="31542" spans="9:9" x14ac:dyDescent="0.3">
      <c r="I31542" s="101"/>
    </row>
    <row r="31543" spans="9:9" x14ac:dyDescent="0.3">
      <c r="I31543" s="101"/>
    </row>
    <row r="31544" spans="9:9" x14ac:dyDescent="0.3">
      <c r="I31544" s="101"/>
    </row>
    <row r="31545" spans="9:9" x14ac:dyDescent="0.3">
      <c r="I31545" s="101"/>
    </row>
    <row r="31546" spans="9:9" x14ac:dyDescent="0.3">
      <c r="I31546" s="101"/>
    </row>
    <row r="31547" spans="9:9" x14ac:dyDescent="0.3">
      <c r="I31547" s="101"/>
    </row>
    <row r="31548" spans="9:9" x14ac:dyDescent="0.3">
      <c r="I31548" s="101"/>
    </row>
    <row r="31549" spans="9:9" x14ac:dyDescent="0.3">
      <c r="I31549" s="101"/>
    </row>
    <row r="31550" spans="9:9" x14ac:dyDescent="0.3">
      <c r="I31550" s="101"/>
    </row>
    <row r="31551" spans="9:9" x14ac:dyDescent="0.3">
      <c r="I31551" s="101"/>
    </row>
    <row r="31552" spans="9:9" x14ac:dyDescent="0.3">
      <c r="I31552" s="101"/>
    </row>
    <row r="31553" spans="9:9" x14ac:dyDescent="0.3">
      <c r="I31553" s="101"/>
    </row>
    <row r="31554" spans="9:9" x14ac:dyDescent="0.3">
      <c r="I31554" s="101"/>
    </row>
    <row r="31555" spans="9:9" x14ac:dyDescent="0.3">
      <c r="I31555" s="101"/>
    </row>
    <row r="31556" spans="9:9" x14ac:dyDescent="0.3">
      <c r="I31556" s="101"/>
    </row>
    <row r="31557" spans="9:9" x14ac:dyDescent="0.3">
      <c r="I31557" s="101"/>
    </row>
    <row r="31558" spans="9:9" x14ac:dyDescent="0.3">
      <c r="I31558" s="101"/>
    </row>
    <row r="31559" spans="9:9" x14ac:dyDescent="0.3">
      <c r="I31559" s="101"/>
    </row>
    <row r="31560" spans="9:9" x14ac:dyDescent="0.3">
      <c r="I31560" s="101"/>
    </row>
    <row r="31561" spans="9:9" x14ac:dyDescent="0.3">
      <c r="I31561" s="101"/>
    </row>
    <row r="31562" spans="9:9" x14ac:dyDescent="0.3">
      <c r="I31562" s="101"/>
    </row>
    <row r="31563" spans="9:9" x14ac:dyDescent="0.3">
      <c r="I31563" s="101"/>
    </row>
    <row r="31564" spans="9:9" x14ac:dyDescent="0.3">
      <c r="I31564" s="101"/>
    </row>
    <row r="31565" spans="9:9" x14ac:dyDescent="0.3">
      <c r="I31565" s="101"/>
    </row>
    <row r="31566" spans="9:9" x14ac:dyDescent="0.3">
      <c r="I31566" s="101"/>
    </row>
    <row r="31567" spans="9:9" x14ac:dyDescent="0.3">
      <c r="I31567" s="101"/>
    </row>
    <row r="31568" spans="9:9" x14ac:dyDescent="0.3">
      <c r="I31568" s="101"/>
    </row>
    <row r="31569" spans="9:9" x14ac:dyDescent="0.3">
      <c r="I31569" s="101"/>
    </row>
    <row r="31570" spans="9:9" x14ac:dyDescent="0.3">
      <c r="I31570" s="101"/>
    </row>
    <row r="31571" spans="9:9" x14ac:dyDescent="0.3">
      <c r="I31571" s="101"/>
    </row>
    <row r="31572" spans="9:9" x14ac:dyDescent="0.3">
      <c r="I31572" s="101"/>
    </row>
    <row r="31573" spans="9:9" x14ac:dyDescent="0.3">
      <c r="I31573" s="101"/>
    </row>
    <row r="31574" spans="9:9" x14ac:dyDescent="0.3">
      <c r="I31574" s="101"/>
    </row>
    <row r="31575" spans="9:9" x14ac:dyDescent="0.3">
      <c r="I31575" s="101"/>
    </row>
    <row r="31576" spans="9:9" x14ac:dyDescent="0.3">
      <c r="I31576" s="101"/>
    </row>
    <row r="31577" spans="9:9" x14ac:dyDescent="0.3">
      <c r="I31577" s="101"/>
    </row>
    <row r="31578" spans="9:9" x14ac:dyDescent="0.3">
      <c r="I31578" s="101"/>
    </row>
    <row r="31579" spans="9:9" x14ac:dyDescent="0.3">
      <c r="I31579" s="101"/>
    </row>
    <row r="31580" spans="9:9" x14ac:dyDescent="0.3">
      <c r="I31580" s="101"/>
    </row>
    <row r="31581" spans="9:9" x14ac:dyDescent="0.3">
      <c r="I31581" s="101"/>
    </row>
    <row r="31582" spans="9:9" x14ac:dyDescent="0.3">
      <c r="I31582" s="101"/>
    </row>
    <row r="31583" spans="9:9" x14ac:dyDescent="0.3">
      <c r="I31583" s="101"/>
    </row>
    <row r="31584" spans="9:9" x14ac:dyDescent="0.3">
      <c r="I31584" s="101"/>
    </row>
    <row r="31585" spans="9:9" x14ac:dyDescent="0.3">
      <c r="I31585" s="101"/>
    </row>
    <row r="31586" spans="9:9" x14ac:dyDescent="0.3">
      <c r="I31586" s="101"/>
    </row>
    <row r="31587" spans="9:9" x14ac:dyDescent="0.3">
      <c r="I31587" s="101"/>
    </row>
    <row r="31588" spans="9:9" x14ac:dyDescent="0.3">
      <c r="I31588" s="101"/>
    </row>
    <row r="31589" spans="9:9" x14ac:dyDescent="0.3">
      <c r="I31589" s="101"/>
    </row>
    <row r="31590" spans="9:9" x14ac:dyDescent="0.3">
      <c r="I31590" s="101"/>
    </row>
    <row r="31591" spans="9:9" x14ac:dyDescent="0.3">
      <c r="I31591" s="101"/>
    </row>
    <row r="31592" spans="9:9" x14ac:dyDescent="0.3">
      <c r="I31592" s="101"/>
    </row>
    <row r="31593" spans="9:9" x14ac:dyDescent="0.3">
      <c r="I31593" s="101"/>
    </row>
    <row r="31594" spans="9:9" x14ac:dyDescent="0.3">
      <c r="I31594" s="101"/>
    </row>
    <row r="31595" spans="9:9" x14ac:dyDescent="0.3">
      <c r="I31595" s="101"/>
    </row>
    <row r="31596" spans="9:9" x14ac:dyDescent="0.3">
      <c r="I31596" s="101"/>
    </row>
    <row r="31597" spans="9:9" x14ac:dyDescent="0.3">
      <c r="I31597" s="101"/>
    </row>
    <row r="31598" spans="9:9" x14ac:dyDescent="0.3">
      <c r="I31598" s="101"/>
    </row>
    <row r="31599" spans="9:9" x14ac:dyDescent="0.3">
      <c r="I31599" s="101"/>
    </row>
    <row r="31600" spans="9:9" x14ac:dyDescent="0.3">
      <c r="I31600" s="101"/>
    </row>
    <row r="31601" spans="9:9" x14ac:dyDescent="0.3">
      <c r="I31601" s="101"/>
    </row>
    <row r="31602" spans="9:9" x14ac:dyDescent="0.3">
      <c r="I31602" s="101"/>
    </row>
    <row r="31603" spans="9:9" x14ac:dyDescent="0.3">
      <c r="I31603" s="101"/>
    </row>
    <row r="31604" spans="9:9" x14ac:dyDescent="0.3">
      <c r="I31604" s="101"/>
    </row>
    <row r="31605" spans="9:9" x14ac:dyDescent="0.3">
      <c r="I31605" s="101"/>
    </row>
    <row r="31606" spans="9:9" x14ac:dyDescent="0.3">
      <c r="I31606" s="101"/>
    </row>
    <row r="31607" spans="9:9" x14ac:dyDescent="0.3">
      <c r="I31607" s="101"/>
    </row>
    <row r="31608" spans="9:9" x14ac:dyDescent="0.3">
      <c r="I31608" s="101"/>
    </row>
    <row r="31609" spans="9:9" x14ac:dyDescent="0.3">
      <c r="I31609" s="101"/>
    </row>
    <row r="31610" spans="9:9" x14ac:dyDescent="0.3">
      <c r="I31610" s="101"/>
    </row>
    <row r="31611" spans="9:9" x14ac:dyDescent="0.3">
      <c r="I31611" s="101"/>
    </row>
    <row r="31612" spans="9:9" x14ac:dyDescent="0.3">
      <c r="I31612" s="101"/>
    </row>
    <row r="31613" spans="9:9" x14ac:dyDescent="0.3">
      <c r="I31613" s="101"/>
    </row>
    <row r="31614" spans="9:9" x14ac:dyDescent="0.3">
      <c r="I31614" s="101"/>
    </row>
    <row r="31615" spans="9:9" x14ac:dyDescent="0.3">
      <c r="I31615" s="101"/>
    </row>
    <row r="31616" spans="9:9" x14ac:dyDescent="0.3">
      <c r="I31616" s="101"/>
    </row>
    <row r="31617" spans="9:9" x14ac:dyDescent="0.3">
      <c r="I31617" s="101"/>
    </row>
    <row r="31618" spans="9:9" x14ac:dyDescent="0.3">
      <c r="I31618" s="101"/>
    </row>
    <row r="31619" spans="9:9" x14ac:dyDescent="0.3">
      <c r="I31619" s="101"/>
    </row>
    <row r="31620" spans="9:9" x14ac:dyDescent="0.3">
      <c r="I31620" s="101"/>
    </row>
    <row r="31621" spans="9:9" x14ac:dyDescent="0.3">
      <c r="I31621" s="101"/>
    </row>
    <row r="31622" spans="9:9" x14ac:dyDescent="0.3">
      <c r="I31622" s="101"/>
    </row>
    <row r="31623" spans="9:9" x14ac:dyDescent="0.3">
      <c r="I31623" s="101"/>
    </row>
    <row r="31624" spans="9:9" x14ac:dyDescent="0.3">
      <c r="I31624" s="101"/>
    </row>
    <row r="31625" spans="9:9" x14ac:dyDescent="0.3">
      <c r="I31625" s="101"/>
    </row>
    <row r="31626" spans="9:9" x14ac:dyDescent="0.3">
      <c r="I31626" s="101"/>
    </row>
    <row r="31627" spans="9:9" x14ac:dyDescent="0.3">
      <c r="I31627" s="101"/>
    </row>
    <row r="31628" spans="9:9" x14ac:dyDescent="0.3">
      <c r="I31628" s="101"/>
    </row>
    <row r="31629" spans="9:9" x14ac:dyDescent="0.3">
      <c r="I31629" s="101"/>
    </row>
    <row r="31630" spans="9:9" x14ac:dyDescent="0.3">
      <c r="I31630" s="101"/>
    </row>
    <row r="31631" spans="9:9" x14ac:dyDescent="0.3">
      <c r="I31631" s="101"/>
    </row>
    <row r="31632" spans="9:9" x14ac:dyDescent="0.3">
      <c r="I31632" s="101"/>
    </row>
    <row r="31633" spans="9:9" x14ac:dyDescent="0.3">
      <c r="I31633" s="101"/>
    </row>
    <row r="31634" spans="9:9" x14ac:dyDescent="0.3">
      <c r="I31634" s="101"/>
    </row>
    <row r="31635" spans="9:9" x14ac:dyDescent="0.3">
      <c r="I31635" s="101"/>
    </row>
    <row r="31636" spans="9:9" x14ac:dyDescent="0.3">
      <c r="I31636" s="101"/>
    </row>
    <row r="31637" spans="9:9" x14ac:dyDescent="0.3">
      <c r="I31637" s="101"/>
    </row>
    <row r="31638" spans="9:9" x14ac:dyDescent="0.3">
      <c r="I31638" s="101"/>
    </row>
    <row r="31639" spans="9:9" x14ac:dyDescent="0.3">
      <c r="I31639" s="101"/>
    </row>
    <row r="31640" spans="9:9" x14ac:dyDescent="0.3">
      <c r="I31640" s="101"/>
    </row>
    <row r="31641" spans="9:9" x14ac:dyDescent="0.3">
      <c r="I31641" s="101"/>
    </row>
    <row r="31642" spans="9:9" x14ac:dyDescent="0.3">
      <c r="I31642" s="101"/>
    </row>
    <row r="31643" spans="9:9" x14ac:dyDescent="0.3">
      <c r="I31643" s="101"/>
    </row>
    <row r="31644" spans="9:9" x14ac:dyDescent="0.3">
      <c r="I31644" s="101"/>
    </row>
    <row r="31645" spans="9:9" x14ac:dyDescent="0.3">
      <c r="I31645" s="101"/>
    </row>
    <row r="31646" spans="9:9" x14ac:dyDescent="0.3">
      <c r="I31646" s="101"/>
    </row>
    <row r="31647" spans="9:9" x14ac:dyDescent="0.3">
      <c r="I31647" s="101"/>
    </row>
    <row r="31648" spans="9:9" x14ac:dyDescent="0.3">
      <c r="I31648" s="101"/>
    </row>
    <row r="31649" spans="9:9" x14ac:dyDescent="0.3">
      <c r="I31649" s="101"/>
    </row>
    <row r="31650" spans="9:9" x14ac:dyDescent="0.3">
      <c r="I31650" s="101"/>
    </row>
    <row r="31651" spans="9:9" x14ac:dyDescent="0.3">
      <c r="I31651" s="101"/>
    </row>
    <row r="31652" spans="9:9" x14ac:dyDescent="0.3">
      <c r="I31652" s="101"/>
    </row>
    <row r="31653" spans="9:9" x14ac:dyDescent="0.3">
      <c r="I31653" s="101"/>
    </row>
    <row r="31654" spans="9:9" x14ac:dyDescent="0.3">
      <c r="I31654" s="101"/>
    </row>
    <row r="31655" spans="9:9" x14ac:dyDescent="0.3">
      <c r="I31655" s="101"/>
    </row>
    <row r="31656" spans="9:9" x14ac:dyDescent="0.3">
      <c r="I31656" s="101"/>
    </row>
    <row r="31657" spans="9:9" x14ac:dyDescent="0.3">
      <c r="I31657" s="101"/>
    </row>
    <row r="31658" spans="9:9" x14ac:dyDescent="0.3">
      <c r="I31658" s="101"/>
    </row>
    <row r="31659" spans="9:9" x14ac:dyDescent="0.3">
      <c r="I31659" s="101"/>
    </row>
    <row r="31660" spans="9:9" x14ac:dyDescent="0.3">
      <c r="I31660" s="101"/>
    </row>
    <row r="31661" spans="9:9" x14ac:dyDescent="0.3">
      <c r="I31661" s="101"/>
    </row>
    <row r="31662" spans="9:9" x14ac:dyDescent="0.3">
      <c r="I31662" s="101"/>
    </row>
    <row r="31663" spans="9:9" x14ac:dyDescent="0.3">
      <c r="I31663" s="101"/>
    </row>
    <row r="31664" spans="9:9" x14ac:dyDescent="0.3">
      <c r="I31664" s="101"/>
    </row>
    <row r="31665" spans="9:9" x14ac:dyDescent="0.3">
      <c r="I31665" s="101"/>
    </row>
    <row r="31666" spans="9:9" x14ac:dyDescent="0.3">
      <c r="I31666" s="101"/>
    </row>
    <row r="31667" spans="9:9" x14ac:dyDescent="0.3">
      <c r="I31667" s="101"/>
    </row>
    <row r="31668" spans="9:9" x14ac:dyDescent="0.3">
      <c r="I31668" s="101"/>
    </row>
    <row r="31669" spans="9:9" x14ac:dyDescent="0.3">
      <c r="I31669" s="101"/>
    </row>
    <row r="31670" spans="9:9" x14ac:dyDescent="0.3">
      <c r="I31670" s="101"/>
    </row>
    <row r="31671" spans="9:9" x14ac:dyDescent="0.3">
      <c r="I31671" s="101"/>
    </row>
    <row r="31672" spans="9:9" x14ac:dyDescent="0.3">
      <c r="I31672" s="101"/>
    </row>
    <row r="31673" spans="9:9" x14ac:dyDescent="0.3">
      <c r="I31673" s="101"/>
    </row>
    <row r="31674" spans="9:9" x14ac:dyDescent="0.3">
      <c r="I31674" s="101"/>
    </row>
    <row r="31675" spans="9:9" x14ac:dyDescent="0.3">
      <c r="I31675" s="101"/>
    </row>
    <row r="31676" spans="9:9" x14ac:dyDescent="0.3">
      <c r="I31676" s="101"/>
    </row>
    <row r="31677" spans="9:9" x14ac:dyDescent="0.3">
      <c r="I31677" s="101"/>
    </row>
    <row r="31678" spans="9:9" x14ac:dyDescent="0.3">
      <c r="I31678" s="101"/>
    </row>
    <row r="31679" spans="9:9" x14ac:dyDescent="0.3">
      <c r="I31679" s="101"/>
    </row>
    <row r="31680" spans="9:9" x14ac:dyDescent="0.3">
      <c r="I31680" s="101"/>
    </row>
    <row r="31681" spans="9:9" x14ac:dyDescent="0.3">
      <c r="I31681" s="101"/>
    </row>
    <row r="31682" spans="9:9" x14ac:dyDescent="0.3">
      <c r="I31682" s="101"/>
    </row>
    <row r="31683" spans="9:9" x14ac:dyDescent="0.3">
      <c r="I31683" s="101"/>
    </row>
    <row r="31684" spans="9:9" x14ac:dyDescent="0.3">
      <c r="I31684" s="101"/>
    </row>
    <row r="31685" spans="9:9" x14ac:dyDescent="0.3">
      <c r="I31685" s="101"/>
    </row>
    <row r="31686" spans="9:9" x14ac:dyDescent="0.3">
      <c r="I31686" s="101"/>
    </row>
    <row r="31687" spans="9:9" x14ac:dyDescent="0.3">
      <c r="I31687" s="101"/>
    </row>
    <row r="31688" spans="9:9" x14ac:dyDescent="0.3">
      <c r="I31688" s="101"/>
    </row>
    <row r="31689" spans="9:9" x14ac:dyDescent="0.3">
      <c r="I31689" s="101"/>
    </row>
    <row r="31690" spans="9:9" x14ac:dyDescent="0.3">
      <c r="I31690" s="101"/>
    </row>
    <row r="31691" spans="9:9" x14ac:dyDescent="0.3">
      <c r="I31691" s="101"/>
    </row>
    <row r="31692" spans="9:9" x14ac:dyDescent="0.3">
      <c r="I31692" s="101"/>
    </row>
    <row r="31693" spans="9:9" x14ac:dyDescent="0.3">
      <c r="I31693" s="101"/>
    </row>
    <row r="31694" spans="9:9" x14ac:dyDescent="0.3">
      <c r="I31694" s="101"/>
    </row>
    <row r="31695" spans="9:9" x14ac:dyDescent="0.3">
      <c r="I31695" s="101"/>
    </row>
    <row r="31696" spans="9:9" x14ac:dyDescent="0.3">
      <c r="I31696" s="101"/>
    </row>
    <row r="31697" spans="9:9" x14ac:dyDescent="0.3">
      <c r="I31697" s="101"/>
    </row>
    <row r="31698" spans="9:9" x14ac:dyDescent="0.3">
      <c r="I31698" s="101"/>
    </row>
    <row r="31699" spans="9:9" x14ac:dyDescent="0.3">
      <c r="I31699" s="101"/>
    </row>
    <row r="31700" spans="9:9" x14ac:dyDescent="0.3">
      <c r="I31700" s="101"/>
    </row>
    <row r="31701" spans="9:9" x14ac:dyDescent="0.3">
      <c r="I31701" s="101"/>
    </row>
    <row r="31702" spans="9:9" x14ac:dyDescent="0.3">
      <c r="I31702" s="101"/>
    </row>
    <row r="31703" spans="9:9" x14ac:dyDescent="0.3">
      <c r="I31703" s="101"/>
    </row>
    <row r="31704" spans="9:9" x14ac:dyDescent="0.3">
      <c r="I31704" s="101"/>
    </row>
    <row r="31705" spans="9:9" x14ac:dyDescent="0.3">
      <c r="I31705" s="101"/>
    </row>
    <row r="31706" spans="9:9" x14ac:dyDescent="0.3">
      <c r="I31706" s="101"/>
    </row>
    <row r="31707" spans="9:9" x14ac:dyDescent="0.3">
      <c r="I31707" s="101"/>
    </row>
    <row r="31708" spans="9:9" x14ac:dyDescent="0.3">
      <c r="I31708" s="101"/>
    </row>
    <row r="31709" spans="9:9" x14ac:dyDescent="0.3">
      <c r="I31709" s="101"/>
    </row>
    <row r="31710" spans="9:9" x14ac:dyDescent="0.3">
      <c r="I31710" s="101"/>
    </row>
    <row r="31711" spans="9:9" x14ac:dyDescent="0.3">
      <c r="I31711" s="101"/>
    </row>
    <row r="31712" spans="9:9" x14ac:dyDescent="0.3">
      <c r="I31712" s="101"/>
    </row>
    <row r="31713" spans="9:9" x14ac:dyDescent="0.3">
      <c r="I31713" s="101"/>
    </row>
    <row r="31714" spans="9:9" x14ac:dyDescent="0.3">
      <c r="I31714" s="101"/>
    </row>
    <row r="31715" spans="9:9" x14ac:dyDescent="0.3">
      <c r="I31715" s="101"/>
    </row>
    <row r="31716" spans="9:9" x14ac:dyDescent="0.3">
      <c r="I31716" s="101"/>
    </row>
    <row r="31717" spans="9:9" x14ac:dyDescent="0.3">
      <c r="I31717" s="101"/>
    </row>
    <row r="31718" spans="9:9" x14ac:dyDescent="0.3">
      <c r="I31718" s="101"/>
    </row>
    <row r="31719" spans="9:9" x14ac:dyDescent="0.3">
      <c r="I31719" s="101"/>
    </row>
    <row r="31720" spans="9:9" x14ac:dyDescent="0.3">
      <c r="I31720" s="101"/>
    </row>
    <row r="31721" spans="9:9" x14ac:dyDescent="0.3">
      <c r="I31721" s="101"/>
    </row>
    <row r="31722" spans="9:9" x14ac:dyDescent="0.3">
      <c r="I31722" s="101"/>
    </row>
    <row r="31723" spans="9:9" x14ac:dyDescent="0.3">
      <c r="I31723" s="101"/>
    </row>
    <row r="31724" spans="9:9" x14ac:dyDescent="0.3">
      <c r="I31724" s="101"/>
    </row>
    <row r="31725" spans="9:9" x14ac:dyDescent="0.3">
      <c r="I31725" s="101"/>
    </row>
    <row r="31726" spans="9:9" x14ac:dyDescent="0.3">
      <c r="I31726" s="101"/>
    </row>
    <row r="31727" spans="9:9" x14ac:dyDescent="0.3">
      <c r="I31727" s="101"/>
    </row>
    <row r="31728" spans="9:9" x14ac:dyDescent="0.3">
      <c r="I31728" s="101"/>
    </row>
    <row r="31729" spans="9:9" x14ac:dyDescent="0.3">
      <c r="I31729" s="101"/>
    </row>
    <row r="31730" spans="9:9" x14ac:dyDescent="0.3">
      <c r="I31730" s="101"/>
    </row>
    <row r="31731" spans="9:9" x14ac:dyDescent="0.3">
      <c r="I31731" s="101"/>
    </row>
    <row r="31732" spans="9:9" x14ac:dyDescent="0.3">
      <c r="I31732" s="101"/>
    </row>
    <row r="31733" spans="9:9" x14ac:dyDescent="0.3">
      <c r="I31733" s="101"/>
    </row>
    <row r="31734" spans="9:9" x14ac:dyDescent="0.3">
      <c r="I31734" s="101"/>
    </row>
    <row r="31735" spans="9:9" x14ac:dyDescent="0.3">
      <c r="I31735" s="101"/>
    </row>
    <row r="31736" spans="9:9" x14ac:dyDescent="0.3">
      <c r="I31736" s="101"/>
    </row>
    <row r="31737" spans="9:9" x14ac:dyDescent="0.3">
      <c r="I31737" s="101"/>
    </row>
    <row r="31738" spans="9:9" x14ac:dyDescent="0.3">
      <c r="I31738" s="101"/>
    </row>
    <row r="31739" spans="9:9" x14ac:dyDescent="0.3">
      <c r="I31739" s="101"/>
    </row>
    <row r="31740" spans="9:9" x14ac:dyDescent="0.3">
      <c r="I31740" s="101"/>
    </row>
    <row r="31741" spans="9:9" x14ac:dyDescent="0.3">
      <c r="I31741" s="101"/>
    </row>
    <row r="31742" spans="9:9" x14ac:dyDescent="0.3">
      <c r="I31742" s="101"/>
    </row>
    <row r="31743" spans="9:9" x14ac:dyDescent="0.3">
      <c r="I31743" s="101"/>
    </row>
    <row r="31744" spans="9:9" x14ac:dyDescent="0.3">
      <c r="I31744" s="101"/>
    </row>
    <row r="31745" spans="9:9" x14ac:dyDescent="0.3">
      <c r="I31745" s="101"/>
    </row>
    <row r="31746" spans="9:9" x14ac:dyDescent="0.3">
      <c r="I31746" s="101"/>
    </row>
    <row r="31747" spans="9:9" x14ac:dyDescent="0.3">
      <c r="I31747" s="101"/>
    </row>
    <row r="31748" spans="9:9" x14ac:dyDescent="0.3">
      <c r="I31748" s="101"/>
    </row>
    <row r="31749" spans="9:9" x14ac:dyDescent="0.3">
      <c r="I31749" s="101"/>
    </row>
    <row r="31750" spans="9:9" x14ac:dyDescent="0.3">
      <c r="I31750" s="101"/>
    </row>
    <row r="31751" spans="9:9" x14ac:dyDescent="0.3">
      <c r="I31751" s="101"/>
    </row>
    <row r="31752" spans="9:9" x14ac:dyDescent="0.3">
      <c r="I31752" s="101"/>
    </row>
    <row r="31753" spans="9:9" x14ac:dyDescent="0.3">
      <c r="I31753" s="101"/>
    </row>
    <row r="31754" spans="9:9" x14ac:dyDescent="0.3">
      <c r="I31754" s="101"/>
    </row>
    <row r="31755" spans="9:9" x14ac:dyDescent="0.3">
      <c r="I31755" s="101"/>
    </row>
    <row r="31756" spans="9:9" x14ac:dyDescent="0.3">
      <c r="I31756" s="101"/>
    </row>
    <row r="31757" spans="9:9" x14ac:dyDescent="0.3">
      <c r="I31757" s="101"/>
    </row>
    <row r="31758" spans="9:9" x14ac:dyDescent="0.3">
      <c r="I31758" s="101"/>
    </row>
    <row r="31759" spans="9:9" x14ac:dyDescent="0.3">
      <c r="I31759" s="101"/>
    </row>
    <row r="31760" spans="9:9" x14ac:dyDescent="0.3">
      <c r="I31760" s="101"/>
    </row>
    <row r="31761" spans="9:9" x14ac:dyDescent="0.3">
      <c r="I31761" s="101"/>
    </row>
    <row r="31762" spans="9:9" x14ac:dyDescent="0.3">
      <c r="I31762" s="101"/>
    </row>
    <row r="31763" spans="9:9" x14ac:dyDescent="0.3">
      <c r="I31763" s="101"/>
    </row>
    <row r="31764" spans="9:9" x14ac:dyDescent="0.3">
      <c r="I31764" s="101"/>
    </row>
    <row r="31765" spans="9:9" x14ac:dyDescent="0.3">
      <c r="I31765" s="101"/>
    </row>
    <row r="31766" spans="9:9" x14ac:dyDescent="0.3">
      <c r="I31766" s="101"/>
    </row>
    <row r="31767" spans="9:9" x14ac:dyDescent="0.3">
      <c r="I31767" s="101"/>
    </row>
    <row r="31768" spans="9:9" x14ac:dyDescent="0.3">
      <c r="I31768" s="101"/>
    </row>
    <row r="31769" spans="9:9" x14ac:dyDescent="0.3">
      <c r="I31769" s="101"/>
    </row>
    <row r="31770" spans="9:9" x14ac:dyDescent="0.3">
      <c r="I31770" s="101"/>
    </row>
    <row r="31771" spans="9:9" x14ac:dyDescent="0.3">
      <c r="I31771" s="101"/>
    </row>
    <row r="31772" spans="9:9" x14ac:dyDescent="0.3">
      <c r="I31772" s="101"/>
    </row>
    <row r="31773" spans="9:9" x14ac:dyDescent="0.3">
      <c r="I31773" s="101"/>
    </row>
    <row r="31774" spans="9:9" x14ac:dyDescent="0.3">
      <c r="I31774" s="101"/>
    </row>
    <row r="31775" spans="9:9" x14ac:dyDescent="0.3">
      <c r="I31775" s="101"/>
    </row>
    <row r="31776" spans="9:9" x14ac:dyDescent="0.3">
      <c r="I31776" s="101"/>
    </row>
    <row r="31777" spans="9:9" x14ac:dyDescent="0.3">
      <c r="I31777" s="101"/>
    </row>
    <row r="31778" spans="9:9" x14ac:dyDescent="0.3">
      <c r="I31778" s="101"/>
    </row>
    <row r="31779" spans="9:9" x14ac:dyDescent="0.3">
      <c r="I31779" s="101"/>
    </row>
    <row r="31780" spans="9:9" x14ac:dyDescent="0.3">
      <c r="I31780" s="101"/>
    </row>
    <row r="31781" spans="9:9" x14ac:dyDescent="0.3">
      <c r="I31781" s="101"/>
    </row>
    <row r="31782" spans="9:9" x14ac:dyDescent="0.3">
      <c r="I31782" s="101"/>
    </row>
    <row r="31783" spans="9:9" x14ac:dyDescent="0.3">
      <c r="I31783" s="101"/>
    </row>
    <row r="31784" spans="9:9" x14ac:dyDescent="0.3">
      <c r="I31784" s="101"/>
    </row>
    <row r="31785" spans="9:9" x14ac:dyDescent="0.3">
      <c r="I31785" s="101"/>
    </row>
    <row r="31786" spans="9:9" x14ac:dyDescent="0.3">
      <c r="I31786" s="101"/>
    </row>
    <row r="31787" spans="9:9" x14ac:dyDescent="0.3">
      <c r="I31787" s="101"/>
    </row>
    <row r="31788" spans="9:9" x14ac:dyDescent="0.3">
      <c r="I31788" s="101"/>
    </row>
    <row r="31789" spans="9:9" x14ac:dyDescent="0.3">
      <c r="I31789" s="101"/>
    </row>
    <row r="31790" spans="9:9" x14ac:dyDescent="0.3">
      <c r="I31790" s="101"/>
    </row>
    <row r="31791" spans="9:9" x14ac:dyDescent="0.3">
      <c r="I31791" s="101"/>
    </row>
    <row r="31792" spans="9:9" x14ac:dyDescent="0.3">
      <c r="I31792" s="101"/>
    </row>
    <row r="31793" spans="9:9" x14ac:dyDescent="0.3">
      <c r="I31793" s="101"/>
    </row>
    <row r="31794" spans="9:9" x14ac:dyDescent="0.3">
      <c r="I31794" s="101"/>
    </row>
    <row r="31795" spans="9:9" x14ac:dyDescent="0.3">
      <c r="I31795" s="101"/>
    </row>
    <row r="31796" spans="9:9" x14ac:dyDescent="0.3">
      <c r="I31796" s="101"/>
    </row>
    <row r="31797" spans="9:9" x14ac:dyDescent="0.3">
      <c r="I31797" s="101"/>
    </row>
    <row r="31798" spans="9:9" x14ac:dyDescent="0.3">
      <c r="I31798" s="101"/>
    </row>
    <row r="31799" spans="9:9" x14ac:dyDescent="0.3">
      <c r="I31799" s="101"/>
    </row>
    <row r="31800" spans="9:9" x14ac:dyDescent="0.3">
      <c r="I31800" s="101"/>
    </row>
    <row r="31801" spans="9:9" x14ac:dyDescent="0.3">
      <c r="I31801" s="101"/>
    </row>
    <row r="31802" spans="9:9" x14ac:dyDescent="0.3">
      <c r="I31802" s="101"/>
    </row>
    <row r="31803" spans="9:9" x14ac:dyDescent="0.3">
      <c r="I31803" s="101"/>
    </row>
    <row r="31804" spans="9:9" x14ac:dyDescent="0.3">
      <c r="I31804" s="101"/>
    </row>
    <row r="31805" spans="9:9" x14ac:dyDescent="0.3">
      <c r="I31805" s="101"/>
    </row>
    <row r="31806" spans="9:9" x14ac:dyDescent="0.3">
      <c r="I31806" s="101"/>
    </row>
    <row r="31807" spans="9:9" x14ac:dyDescent="0.3">
      <c r="I31807" s="101"/>
    </row>
    <row r="31808" spans="9:9" x14ac:dyDescent="0.3">
      <c r="I31808" s="101"/>
    </row>
    <row r="31809" spans="9:9" x14ac:dyDescent="0.3">
      <c r="I31809" s="101"/>
    </row>
    <row r="31810" spans="9:9" x14ac:dyDescent="0.3">
      <c r="I31810" s="101"/>
    </row>
    <row r="31811" spans="9:9" x14ac:dyDescent="0.3">
      <c r="I31811" s="101"/>
    </row>
    <row r="31812" spans="9:9" x14ac:dyDescent="0.3">
      <c r="I31812" s="101"/>
    </row>
    <row r="31813" spans="9:9" x14ac:dyDescent="0.3">
      <c r="I31813" s="101"/>
    </row>
    <row r="31814" spans="9:9" x14ac:dyDescent="0.3">
      <c r="I31814" s="101"/>
    </row>
    <row r="31815" spans="9:9" x14ac:dyDescent="0.3">
      <c r="I31815" s="101"/>
    </row>
    <row r="31816" spans="9:9" x14ac:dyDescent="0.3">
      <c r="I31816" s="101"/>
    </row>
    <row r="31817" spans="9:9" x14ac:dyDescent="0.3">
      <c r="I31817" s="101"/>
    </row>
    <row r="31818" spans="9:9" x14ac:dyDescent="0.3">
      <c r="I31818" s="101"/>
    </row>
    <row r="31819" spans="9:9" x14ac:dyDescent="0.3">
      <c r="I31819" s="101"/>
    </row>
    <row r="31820" spans="9:9" x14ac:dyDescent="0.3">
      <c r="I31820" s="101"/>
    </row>
    <row r="31821" spans="9:9" x14ac:dyDescent="0.3">
      <c r="I31821" s="101"/>
    </row>
    <row r="31822" spans="9:9" x14ac:dyDescent="0.3">
      <c r="I31822" s="101"/>
    </row>
    <row r="31823" spans="9:9" x14ac:dyDescent="0.3">
      <c r="I31823" s="101"/>
    </row>
    <row r="31824" spans="9:9" x14ac:dyDescent="0.3">
      <c r="I31824" s="101"/>
    </row>
    <row r="31825" spans="9:9" x14ac:dyDescent="0.3">
      <c r="I31825" s="101"/>
    </row>
    <row r="31826" spans="9:9" x14ac:dyDescent="0.3">
      <c r="I31826" s="101"/>
    </row>
    <row r="31827" spans="9:9" x14ac:dyDescent="0.3">
      <c r="I31827" s="101"/>
    </row>
    <row r="31828" spans="9:9" x14ac:dyDescent="0.3">
      <c r="I31828" s="101"/>
    </row>
    <row r="31829" spans="9:9" x14ac:dyDescent="0.3">
      <c r="I31829" s="101"/>
    </row>
    <row r="31830" spans="9:9" x14ac:dyDescent="0.3">
      <c r="I31830" s="101"/>
    </row>
    <row r="31831" spans="9:9" x14ac:dyDescent="0.3">
      <c r="I31831" s="101"/>
    </row>
    <row r="31832" spans="9:9" x14ac:dyDescent="0.3">
      <c r="I31832" s="101"/>
    </row>
    <row r="31833" spans="9:9" x14ac:dyDescent="0.3">
      <c r="I31833" s="101"/>
    </row>
    <row r="31834" spans="9:9" x14ac:dyDescent="0.3">
      <c r="I31834" s="101"/>
    </row>
    <row r="31835" spans="9:9" x14ac:dyDescent="0.3">
      <c r="I31835" s="101"/>
    </row>
    <row r="31836" spans="9:9" x14ac:dyDescent="0.3">
      <c r="I31836" s="101"/>
    </row>
    <row r="31837" spans="9:9" x14ac:dyDescent="0.3">
      <c r="I31837" s="101"/>
    </row>
    <row r="31838" spans="9:9" x14ac:dyDescent="0.3">
      <c r="I31838" s="101"/>
    </row>
    <row r="31839" spans="9:9" x14ac:dyDescent="0.3">
      <c r="I31839" s="101"/>
    </row>
    <row r="31840" spans="9:9" x14ac:dyDescent="0.3">
      <c r="I31840" s="101"/>
    </row>
    <row r="31841" spans="9:9" x14ac:dyDescent="0.3">
      <c r="I31841" s="101"/>
    </row>
    <row r="31842" spans="9:9" x14ac:dyDescent="0.3">
      <c r="I31842" s="101"/>
    </row>
    <row r="31843" spans="9:9" x14ac:dyDescent="0.3">
      <c r="I31843" s="101"/>
    </row>
    <row r="31844" spans="9:9" x14ac:dyDescent="0.3">
      <c r="I31844" s="101"/>
    </row>
    <row r="31845" spans="9:9" x14ac:dyDescent="0.3">
      <c r="I31845" s="101"/>
    </row>
    <row r="31846" spans="9:9" x14ac:dyDescent="0.3">
      <c r="I31846" s="101"/>
    </row>
    <row r="31847" spans="9:9" x14ac:dyDescent="0.3">
      <c r="I31847" s="101"/>
    </row>
    <row r="31848" spans="9:9" x14ac:dyDescent="0.3">
      <c r="I31848" s="101"/>
    </row>
    <row r="31849" spans="9:9" x14ac:dyDescent="0.3">
      <c r="I31849" s="101"/>
    </row>
    <row r="31850" spans="9:9" x14ac:dyDescent="0.3">
      <c r="I31850" s="101"/>
    </row>
    <row r="31851" spans="9:9" x14ac:dyDescent="0.3">
      <c r="I31851" s="101"/>
    </row>
    <row r="31852" spans="9:9" x14ac:dyDescent="0.3">
      <c r="I31852" s="101"/>
    </row>
    <row r="31853" spans="9:9" x14ac:dyDescent="0.3">
      <c r="I31853" s="101"/>
    </row>
    <row r="31854" spans="9:9" x14ac:dyDescent="0.3">
      <c r="I31854" s="101"/>
    </row>
    <row r="31855" spans="9:9" x14ac:dyDescent="0.3">
      <c r="I31855" s="101"/>
    </row>
    <row r="31856" spans="9:9" x14ac:dyDescent="0.3">
      <c r="I31856" s="101"/>
    </row>
    <row r="31857" spans="9:9" x14ac:dyDescent="0.3">
      <c r="I31857" s="101"/>
    </row>
    <row r="31858" spans="9:9" x14ac:dyDescent="0.3">
      <c r="I31858" s="101"/>
    </row>
    <row r="31859" spans="9:9" x14ac:dyDescent="0.3">
      <c r="I31859" s="101"/>
    </row>
    <row r="31860" spans="9:9" x14ac:dyDescent="0.3">
      <c r="I31860" s="101"/>
    </row>
    <row r="31861" spans="9:9" x14ac:dyDescent="0.3">
      <c r="I31861" s="101"/>
    </row>
    <row r="31862" spans="9:9" x14ac:dyDescent="0.3">
      <c r="I31862" s="101"/>
    </row>
    <row r="31863" spans="9:9" x14ac:dyDescent="0.3">
      <c r="I31863" s="101"/>
    </row>
    <row r="31864" spans="9:9" x14ac:dyDescent="0.3">
      <c r="I31864" s="101"/>
    </row>
    <row r="31865" spans="9:9" x14ac:dyDescent="0.3">
      <c r="I31865" s="101"/>
    </row>
    <row r="31866" spans="9:9" x14ac:dyDescent="0.3">
      <c r="I31866" s="101"/>
    </row>
    <row r="31867" spans="9:9" x14ac:dyDescent="0.3">
      <c r="I31867" s="101"/>
    </row>
    <row r="31868" spans="9:9" x14ac:dyDescent="0.3">
      <c r="I31868" s="101"/>
    </row>
    <row r="31869" spans="9:9" x14ac:dyDescent="0.3">
      <c r="I31869" s="101"/>
    </row>
    <row r="31870" spans="9:9" x14ac:dyDescent="0.3">
      <c r="I31870" s="101"/>
    </row>
    <row r="31871" spans="9:9" x14ac:dyDescent="0.3">
      <c r="I31871" s="101"/>
    </row>
    <row r="31872" spans="9:9" x14ac:dyDescent="0.3">
      <c r="I31872" s="101"/>
    </row>
    <row r="31873" spans="9:9" x14ac:dyDescent="0.3">
      <c r="I31873" s="101"/>
    </row>
    <row r="31874" spans="9:9" x14ac:dyDescent="0.3">
      <c r="I31874" s="101"/>
    </row>
    <row r="31875" spans="9:9" x14ac:dyDescent="0.3">
      <c r="I31875" s="101"/>
    </row>
    <row r="31876" spans="9:9" x14ac:dyDescent="0.3">
      <c r="I31876" s="101"/>
    </row>
    <row r="31877" spans="9:9" x14ac:dyDescent="0.3">
      <c r="I31877" s="101"/>
    </row>
    <row r="31878" spans="9:9" x14ac:dyDescent="0.3">
      <c r="I31878" s="101"/>
    </row>
    <row r="31879" spans="9:9" x14ac:dyDescent="0.3">
      <c r="I31879" s="101"/>
    </row>
    <row r="31880" spans="9:9" x14ac:dyDescent="0.3">
      <c r="I31880" s="101"/>
    </row>
    <row r="31881" spans="9:9" x14ac:dyDescent="0.3">
      <c r="I31881" s="101"/>
    </row>
    <row r="31882" spans="9:9" x14ac:dyDescent="0.3">
      <c r="I31882" s="101"/>
    </row>
    <row r="31883" spans="9:9" x14ac:dyDescent="0.3">
      <c r="I31883" s="101"/>
    </row>
    <row r="31884" spans="9:9" x14ac:dyDescent="0.3">
      <c r="I31884" s="101"/>
    </row>
    <row r="31885" spans="9:9" x14ac:dyDescent="0.3">
      <c r="I31885" s="101"/>
    </row>
    <row r="31886" spans="9:9" x14ac:dyDescent="0.3">
      <c r="I31886" s="101"/>
    </row>
    <row r="31887" spans="9:9" x14ac:dyDescent="0.3">
      <c r="I31887" s="101"/>
    </row>
    <row r="31888" spans="9:9" x14ac:dyDescent="0.3">
      <c r="I31888" s="101"/>
    </row>
    <row r="31889" spans="9:9" x14ac:dyDescent="0.3">
      <c r="I31889" s="101"/>
    </row>
    <row r="31890" spans="9:9" x14ac:dyDescent="0.3">
      <c r="I31890" s="101"/>
    </row>
    <row r="31891" spans="9:9" x14ac:dyDescent="0.3">
      <c r="I31891" s="101"/>
    </row>
    <row r="31892" spans="9:9" x14ac:dyDescent="0.3">
      <c r="I31892" s="101"/>
    </row>
    <row r="31893" spans="9:9" x14ac:dyDescent="0.3">
      <c r="I31893" s="101"/>
    </row>
    <row r="31894" spans="9:9" x14ac:dyDescent="0.3">
      <c r="I31894" s="101"/>
    </row>
    <row r="31895" spans="9:9" x14ac:dyDescent="0.3">
      <c r="I31895" s="101"/>
    </row>
    <row r="31896" spans="9:9" x14ac:dyDescent="0.3">
      <c r="I31896" s="101"/>
    </row>
    <row r="31897" spans="9:9" x14ac:dyDescent="0.3">
      <c r="I31897" s="101"/>
    </row>
    <row r="31898" spans="9:9" x14ac:dyDescent="0.3">
      <c r="I31898" s="101"/>
    </row>
    <row r="31899" spans="9:9" x14ac:dyDescent="0.3">
      <c r="I31899" s="101"/>
    </row>
    <row r="31900" spans="9:9" x14ac:dyDescent="0.3">
      <c r="I31900" s="101"/>
    </row>
    <row r="31901" spans="9:9" x14ac:dyDescent="0.3">
      <c r="I31901" s="101"/>
    </row>
    <row r="31902" spans="9:9" x14ac:dyDescent="0.3">
      <c r="I31902" s="101"/>
    </row>
    <row r="31903" spans="9:9" x14ac:dyDescent="0.3">
      <c r="I31903" s="101"/>
    </row>
    <row r="31904" spans="9:9" x14ac:dyDescent="0.3">
      <c r="I31904" s="101"/>
    </row>
    <row r="31905" spans="9:9" x14ac:dyDescent="0.3">
      <c r="I31905" s="101"/>
    </row>
    <row r="31906" spans="9:9" x14ac:dyDescent="0.3">
      <c r="I31906" s="101"/>
    </row>
    <row r="31907" spans="9:9" x14ac:dyDescent="0.3">
      <c r="I31907" s="101"/>
    </row>
    <row r="31908" spans="9:9" x14ac:dyDescent="0.3">
      <c r="I31908" s="101"/>
    </row>
    <row r="31909" spans="9:9" x14ac:dyDescent="0.3">
      <c r="I31909" s="101"/>
    </row>
    <row r="31910" spans="9:9" x14ac:dyDescent="0.3">
      <c r="I31910" s="101"/>
    </row>
    <row r="31911" spans="9:9" x14ac:dyDescent="0.3">
      <c r="I31911" s="101"/>
    </row>
    <row r="31912" spans="9:9" x14ac:dyDescent="0.3">
      <c r="I31912" s="101"/>
    </row>
    <row r="31913" spans="9:9" x14ac:dyDescent="0.3">
      <c r="I31913" s="101"/>
    </row>
    <row r="31914" spans="9:9" x14ac:dyDescent="0.3">
      <c r="I31914" s="101"/>
    </row>
    <row r="31915" spans="9:9" x14ac:dyDescent="0.3">
      <c r="I31915" s="101"/>
    </row>
    <row r="31916" spans="9:9" x14ac:dyDescent="0.3">
      <c r="I31916" s="101"/>
    </row>
    <row r="31917" spans="9:9" x14ac:dyDescent="0.3">
      <c r="I31917" s="101"/>
    </row>
    <row r="31918" spans="9:9" x14ac:dyDescent="0.3">
      <c r="I31918" s="101"/>
    </row>
    <row r="31919" spans="9:9" x14ac:dyDescent="0.3">
      <c r="I31919" s="101"/>
    </row>
    <row r="31920" spans="9:9" x14ac:dyDescent="0.3">
      <c r="I31920" s="101"/>
    </row>
    <row r="31921" spans="9:9" x14ac:dyDescent="0.3">
      <c r="I31921" s="101"/>
    </row>
    <row r="31922" spans="9:9" x14ac:dyDescent="0.3">
      <c r="I31922" s="101"/>
    </row>
    <row r="31923" spans="9:9" x14ac:dyDescent="0.3">
      <c r="I31923" s="101"/>
    </row>
    <row r="31924" spans="9:9" x14ac:dyDescent="0.3">
      <c r="I31924" s="101"/>
    </row>
    <row r="31925" spans="9:9" x14ac:dyDescent="0.3">
      <c r="I31925" s="101"/>
    </row>
    <row r="31926" spans="9:9" x14ac:dyDescent="0.3">
      <c r="I31926" s="101"/>
    </row>
    <row r="31927" spans="9:9" x14ac:dyDescent="0.3">
      <c r="I31927" s="101"/>
    </row>
    <row r="31928" spans="9:9" x14ac:dyDescent="0.3">
      <c r="I31928" s="101"/>
    </row>
    <row r="31929" spans="9:9" x14ac:dyDescent="0.3">
      <c r="I31929" s="101"/>
    </row>
    <row r="31930" spans="9:9" x14ac:dyDescent="0.3">
      <c r="I31930" s="101"/>
    </row>
    <row r="31931" spans="9:9" x14ac:dyDescent="0.3">
      <c r="I31931" s="101"/>
    </row>
    <row r="31932" spans="9:9" x14ac:dyDescent="0.3">
      <c r="I31932" s="101"/>
    </row>
    <row r="31933" spans="9:9" x14ac:dyDescent="0.3">
      <c r="I31933" s="101"/>
    </row>
    <row r="31934" spans="9:9" x14ac:dyDescent="0.3">
      <c r="I31934" s="101"/>
    </row>
    <row r="31935" spans="9:9" x14ac:dyDescent="0.3">
      <c r="I31935" s="101"/>
    </row>
    <row r="31936" spans="9:9" x14ac:dyDescent="0.3">
      <c r="I31936" s="101"/>
    </row>
    <row r="31937" spans="9:9" x14ac:dyDescent="0.3">
      <c r="I31937" s="101"/>
    </row>
    <row r="31938" spans="9:9" x14ac:dyDescent="0.3">
      <c r="I31938" s="101"/>
    </row>
    <row r="31939" spans="9:9" x14ac:dyDescent="0.3">
      <c r="I31939" s="101"/>
    </row>
    <row r="31940" spans="9:9" x14ac:dyDescent="0.3">
      <c r="I31940" s="101"/>
    </row>
    <row r="31941" spans="9:9" x14ac:dyDescent="0.3">
      <c r="I31941" s="101"/>
    </row>
    <row r="31942" spans="9:9" x14ac:dyDescent="0.3">
      <c r="I31942" s="101"/>
    </row>
    <row r="31943" spans="9:9" x14ac:dyDescent="0.3">
      <c r="I31943" s="101"/>
    </row>
    <row r="31944" spans="9:9" x14ac:dyDescent="0.3">
      <c r="I31944" s="101"/>
    </row>
    <row r="31945" spans="9:9" x14ac:dyDescent="0.3">
      <c r="I31945" s="101"/>
    </row>
    <row r="31946" spans="9:9" x14ac:dyDescent="0.3">
      <c r="I31946" s="101"/>
    </row>
    <row r="31947" spans="9:9" x14ac:dyDescent="0.3">
      <c r="I31947" s="101"/>
    </row>
    <row r="31948" spans="9:9" x14ac:dyDescent="0.3">
      <c r="I31948" s="101"/>
    </row>
    <row r="31949" spans="9:9" x14ac:dyDescent="0.3">
      <c r="I31949" s="101"/>
    </row>
    <row r="31950" spans="9:9" x14ac:dyDescent="0.3">
      <c r="I31950" s="101"/>
    </row>
    <row r="31951" spans="9:9" x14ac:dyDescent="0.3">
      <c r="I31951" s="101"/>
    </row>
    <row r="31952" spans="9:9" x14ac:dyDescent="0.3">
      <c r="I31952" s="101"/>
    </row>
    <row r="31953" spans="9:9" x14ac:dyDescent="0.3">
      <c r="I31953" s="101"/>
    </row>
    <row r="31954" spans="9:9" x14ac:dyDescent="0.3">
      <c r="I31954" s="101"/>
    </row>
    <row r="31955" spans="9:9" x14ac:dyDescent="0.3">
      <c r="I31955" s="101"/>
    </row>
    <row r="31956" spans="9:9" x14ac:dyDescent="0.3">
      <c r="I31956" s="101"/>
    </row>
    <row r="31957" spans="9:9" x14ac:dyDescent="0.3">
      <c r="I31957" s="101"/>
    </row>
    <row r="31958" spans="9:9" x14ac:dyDescent="0.3">
      <c r="I31958" s="101"/>
    </row>
    <row r="31959" spans="9:9" x14ac:dyDescent="0.3">
      <c r="I31959" s="101"/>
    </row>
    <row r="31960" spans="9:9" x14ac:dyDescent="0.3">
      <c r="I31960" s="101"/>
    </row>
    <row r="31961" spans="9:9" x14ac:dyDescent="0.3">
      <c r="I31961" s="101"/>
    </row>
    <row r="31962" spans="9:9" x14ac:dyDescent="0.3">
      <c r="I31962" s="101"/>
    </row>
    <row r="31963" spans="9:9" x14ac:dyDescent="0.3">
      <c r="I31963" s="101"/>
    </row>
    <row r="31964" spans="9:9" x14ac:dyDescent="0.3">
      <c r="I31964" s="101"/>
    </row>
    <row r="31965" spans="9:9" x14ac:dyDescent="0.3">
      <c r="I31965" s="101"/>
    </row>
    <row r="31966" spans="9:9" x14ac:dyDescent="0.3">
      <c r="I31966" s="101"/>
    </row>
    <row r="31967" spans="9:9" x14ac:dyDescent="0.3">
      <c r="I31967" s="101"/>
    </row>
    <row r="31968" spans="9:9" x14ac:dyDescent="0.3">
      <c r="I31968" s="101"/>
    </row>
    <row r="31969" spans="9:9" x14ac:dyDescent="0.3">
      <c r="I31969" s="101"/>
    </row>
    <row r="31970" spans="9:9" x14ac:dyDescent="0.3">
      <c r="I31970" s="101"/>
    </row>
    <row r="31971" spans="9:9" x14ac:dyDescent="0.3">
      <c r="I31971" s="101"/>
    </row>
    <row r="31972" spans="9:9" x14ac:dyDescent="0.3">
      <c r="I31972" s="101"/>
    </row>
    <row r="31973" spans="9:9" x14ac:dyDescent="0.3">
      <c r="I31973" s="101"/>
    </row>
    <row r="31974" spans="9:9" x14ac:dyDescent="0.3">
      <c r="I31974" s="101"/>
    </row>
    <row r="31975" spans="9:9" x14ac:dyDescent="0.3">
      <c r="I31975" s="101"/>
    </row>
    <row r="31976" spans="9:9" x14ac:dyDescent="0.3">
      <c r="I31976" s="101"/>
    </row>
    <row r="31977" spans="9:9" x14ac:dyDescent="0.3">
      <c r="I31977" s="101"/>
    </row>
    <row r="31978" spans="9:9" x14ac:dyDescent="0.3">
      <c r="I31978" s="101"/>
    </row>
    <row r="31979" spans="9:9" x14ac:dyDescent="0.3">
      <c r="I31979" s="101"/>
    </row>
    <row r="31980" spans="9:9" x14ac:dyDescent="0.3">
      <c r="I31980" s="101"/>
    </row>
    <row r="31981" spans="9:9" x14ac:dyDescent="0.3">
      <c r="I31981" s="101"/>
    </row>
    <row r="31982" spans="9:9" x14ac:dyDescent="0.3">
      <c r="I31982" s="101"/>
    </row>
    <row r="31983" spans="9:9" x14ac:dyDescent="0.3">
      <c r="I31983" s="101"/>
    </row>
    <row r="31984" spans="9:9" x14ac:dyDescent="0.3">
      <c r="I31984" s="101"/>
    </row>
    <row r="31985" spans="9:9" x14ac:dyDescent="0.3">
      <c r="I31985" s="101"/>
    </row>
    <row r="31986" spans="9:9" x14ac:dyDescent="0.3">
      <c r="I31986" s="101"/>
    </row>
    <row r="31987" spans="9:9" x14ac:dyDescent="0.3">
      <c r="I31987" s="101"/>
    </row>
    <row r="31988" spans="9:9" x14ac:dyDescent="0.3">
      <c r="I31988" s="101"/>
    </row>
    <row r="31989" spans="9:9" x14ac:dyDescent="0.3">
      <c r="I31989" s="101"/>
    </row>
    <row r="31990" spans="9:9" x14ac:dyDescent="0.3">
      <c r="I31990" s="101"/>
    </row>
    <row r="31991" spans="9:9" x14ac:dyDescent="0.3">
      <c r="I31991" s="101"/>
    </row>
    <row r="31992" spans="9:9" x14ac:dyDescent="0.3">
      <c r="I31992" s="101"/>
    </row>
    <row r="31993" spans="9:9" x14ac:dyDescent="0.3">
      <c r="I31993" s="101"/>
    </row>
    <row r="31994" spans="9:9" x14ac:dyDescent="0.3">
      <c r="I31994" s="101"/>
    </row>
    <row r="31995" spans="9:9" x14ac:dyDescent="0.3">
      <c r="I31995" s="101"/>
    </row>
    <row r="31996" spans="9:9" x14ac:dyDescent="0.3">
      <c r="I31996" s="101"/>
    </row>
    <row r="31997" spans="9:9" x14ac:dyDescent="0.3">
      <c r="I31997" s="101"/>
    </row>
    <row r="31998" spans="9:9" x14ac:dyDescent="0.3">
      <c r="I31998" s="101"/>
    </row>
    <row r="31999" spans="9:9" x14ac:dyDescent="0.3">
      <c r="I31999" s="101"/>
    </row>
    <row r="32000" spans="9:9" x14ac:dyDescent="0.3">
      <c r="I32000" s="101"/>
    </row>
    <row r="32001" spans="9:9" x14ac:dyDescent="0.3">
      <c r="I32001" s="101"/>
    </row>
    <row r="32002" spans="9:9" x14ac:dyDescent="0.3">
      <c r="I32002" s="101"/>
    </row>
    <row r="32003" spans="9:9" x14ac:dyDescent="0.3">
      <c r="I32003" s="101"/>
    </row>
    <row r="32004" spans="9:9" x14ac:dyDescent="0.3">
      <c r="I32004" s="101"/>
    </row>
    <row r="32005" spans="9:9" x14ac:dyDescent="0.3">
      <c r="I32005" s="101"/>
    </row>
    <row r="32006" spans="9:9" x14ac:dyDescent="0.3">
      <c r="I32006" s="101"/>
    </row>
    <row r="32007" spans="9:9" x14ac:dyDescent="0.3">
      <c r="I32007" s="101"/>
    </row>
    <row r="32008" spans="9:9" x14ac:dyDescent="0.3">
      <c r="I32008" s="101"/>
    </row>
    <row r="32009" spans="9:9" x14ac:dyDescent="0.3">
      <c r="I32009" s="101"/>
    </row>
    <row r="32010" spans="9:9" x14ac:dyDescent="0.3">
      <c r="I32010" s="101"/>
    </row>
    <row r="32011" spans="9:9" x14ac:dyDescent="0.3">
      <c r="I32011" s="101"/>
    </row>
    <row r="32012" spans="9:9" x14ac:dyDescent="0.3">
      <c r="I32012" s="101"/>
    </row>
    <row r="32013" spans="9:9" x14ac:dyDescent="0.3">
      <c r="I32013" s="101"/>
    </row>
    <row r="32014" spans="9:9" x14ac:dyDescent="0.3">
      <c r="I32014" s="101"/>
    </row>
    <row r="32015" spans="9:9" x14ac:dyDescent="0.3">
      <c r="I32015" s="101"/>
    </row>
    <row r="32016" spans="9:9" x14ac:dyDescent="0.3">
      <c r="I32016" s="101"/>
    </row>
    <row r="32017" spans="9:9" x14ac:dyDescent="0.3">
      <c r="I32017" s="101"/>
    </row>
    <row r="32018" spans="9:9" x14ac:dyDescent="0.3">
      <c r="I32018" s="101"/>
    </row>
    <row r="32019" spans="9:9" x14ac:dyDescent="0.3">
      <c r="I32019" s="101"/>
    </row>
    <row r="32020" spans="9:9" x14ac:dyDescent="0.3">
      <c r="I32020" s="101"/>
    </row>
    <row r="32021" spans="9:9" x14ac:dyDescent="0.3">
      <c r="I32021" s="101"/>
    </row>
    <row r="32022" spans="9:9" x14ac:dyDescent="0.3">
      <c r="I32022" s="101"/>
    </row>
    <row r="32023" spans="9:9" x14ac:dyDescent="0.3">
      <c r="I32023" s="101"/>
    </row>
    <row r="32024" spans="9:9" x14ac:dyDescent="0.3">
      <c r="I32024" s="101"/>
    </row>
    <row r="32025" spans="9:9" x14ac:dyDescent="0.3">
      <c r="I32025" s="101"/>
    </row>
    <row r="32026" spans="9:9" x14ac:dyDescent="0.3">
      <c r="I32026" s="101"/>
    </row>
    <row r="32027" spans="9:9" x14ac:dyDescent="0.3">
      <c r="I32027" s="101"/>
    </row>
    <row r="32028" spans="9:9" x14ac:dyDescent="0.3">
      <c r="I32028" s="101"/>
    </row>
    <row r="32029" spans="9:9" x14ac:dyDescent="0.3">
      <c r="I32029" s="101"/>
    </row>
    <row r="32030" spans="9:9" x14ac:dyDescent="0.3">
      <c r="I32030" s="101"/>
    </row>
    <row r="32031" spans="9:9" x14ac:dyDescent="0.3">
      <c r="I32031" s="101"/>
    </row>
    <row r="32032" spans="9:9" x14ac:dyDescent="0.3">
      <c r="I32032" s="101"/>
    </row>
    <row r="32033" spans="9:9" x14ac:dyDescent="0.3">
      <c r="I32033" s="101"/>
    </row>
    <row r="32034" spans="9:9" x14ac:dyDescent="0.3">
      <c r="I32034" s="101"/>
    </row>
    <row r="32035" spans="9:9" x14ac:dyDescent="0.3">
      <c r="I32035" s="101"/>
    </row>
    <row r="32036" spans="9:9" x14ac:dyDescent="0.3">
      <c r="I32036" s="101"/>
    </row>
    <row r="32037" spans="9:9" x14ac:dyDescent="0.3">
      <c r="I32037" s="101"/>
    </row>
    <row r="32038" spans="9:9" x14ac:dyDescent="0.3">
      <c r="I32038" s="101"/>
    </row>
    <row r="32039" spans="9:9" x14ac:dyDescent="0.3">
      <c r="I32039" s="101"/>
    </row>
    <row r="32040" spans="9:9" x14ac:dyDescent="0.3">
      <c r="I32040" s="101"/>
    </row>
    <row r="32041" spans="9:9" x14ac:dyDescent="0.3">
      <c r="I32041" s="101"/>
    </row>
    <row r="32042" spans="9:9" x14ac:dyDescent="0.3">
      <c r="I32042" s="101"/>
    </row>
    <row r="32043" spans="9:9" x14ac:dyDescent="0.3">
      <c r="I32043" s="101"/>
    </row>
    <row r="32044" spans="9:9" x14ac:dyDescent="0.3">
      <c r="I32044" s="101"/>
    </row>
    <row r="32045" spans="9:9" x14ac:dyDescent="0.3">
      <c r="I32045" s="101"/>
    </row>
    <row r="32046" spans="9:9" x14ac:dyDescent="0.3">
      <c r="I32046" s="101"/>
    </row>
    <row r="32047" spans="9:9" x14ac:dyDescent="0.3">
      <c r="I32047" s="101"/>
    </row>
    <row r="32048" spans="9:9" x14ac:dyDescent="0.3">
      <c r="I32048" s="101"/>
    </row>
    <row r="32049" spans="9:9" x14ac:dyDescent="0.3">
      <c r="I32049" s="101"/>
    </row>
    <row r="32050" spans="9:9" x14ac:dyDescent="0.3">
      <c r="I32050" s="101"/>
    </row>
    <row r="32051" spans="9:9" x14ac:dyDescent="0.3">
      <c r="I32051" s="101"/>
    </row>
    <row r="32052" spans="9:9" x14ac:dyDescent="0.3">
      <c r="I32052" s="101"/>
    </row>
    <row r="32053" spans="9:9" x14ac:dyDescent="0.3">
      <c r="I32053" s="101"/>
    </row>
    <row r="32054" spans="9:9" x14ac:dyDescent="0.3">
      <c r="I32054" s="101"/>
    </row>
    <row r="32055" spans="9:9" x14ac:dyDescent="0.3">
      <c r="I32055" s="101"/>
    </row>
    <row r="32056" spans="9:9" x14ac:dyDescent="0.3">
      <c r="I32056" s="101"/>
    </row>
    <row r="32057" spans="9:9" x14ac:dyDescent="0.3">
      <c r="I32057" s="101"/>
    </row>
    <row r="32058" spans="9:9" x14ac:dyDescent="0.3">
      <c r="I32058" s="101"/>
    </row>
    <row r="32059" spans="9:9" x14ac:dyDescent="0.3">
      <c r="I32059" s="101"/>
    </row>
    <row r="32060" spans="9:9" x14ac:dyDescent="0.3">
      <c r="I32060" s="101"/>
    </row>
    <row r="32061" spans="9:9" x14ac:dyDescent="0.3">
      <c r="I32061" s="101"/>
    </row>
    <row r="32062" spans="9:9" x14ac:dyDescent="0.3">
      <c r="I32062" s="101"/>
    </row>
    <row r="32063" spans="9:9" x14ac:dyDescent="0.3">
      <c r="I32063" s="101"/>
    </row>
    <row r="32064" spans="9:9" x14ac:dyDescent="0.3">
      <c r="I32064" s="101"/>
    </row>
    <row r="32065" spans="9:9" x14ac:dyDescent="0.3">
      <c r="I32065" s="101"/>
    </row>
    <row r="32066" spans="9:9" x14ac:dyDescent="0.3">
      <c r="I32066" s="101"/>
    </row>
    <row r="32067" spans="9:9" x14ac:dyDescent="0.3">
      <c r="I32067" s="101"/>
    </row>
    <row r="32068" spans="9:9" x14ac:dyDescent="0.3">
      <c r="I32068" s="101"/>
    </row>
    <row r="32069" spans="9:9" x14ac:dyDescent="0.3">
      <c r="I32069" s="101"/>
    </row>
    <row r="32070" spans="9:9" x14ac:dyDescent="0.3">
      <c r="I32070" s="101"/>
    </row>
    <row r="32071" spans="9:9" x14ac:dyDescent="0.3">
      <c r="I32071" s="101"/>
    </row>
    <row r="32072" spans="9:9" x14ac:dyDescent="0.3">
      <c r="I32072" s="101"/>
    </row>
    <row r="32073" spans="9:9" x14ac:dyDescent="0.3">
      <c r="I32073" s="101"/>
    </row>
    <row r="32074" spans="9:9" x14ac:dyDescent="0.3">
      <c r="I32074" s="101"/>
    </row>
    <row r="32075" spans="9:9" x14ac:dyDescent="0.3">
      <c r="I32075" s="101"/>
    </row>
    <row r="32076" spans="9:9" x14ac:dyDescent="0.3">
      <c r="I32076" s="101"/>
    </row>
    <row r="32077" spans="9:9" x14ac:dyDescent="0.3">
      <c r="I32077" s="101"/>
    </row>
    <row r="32078" spans="9:9" x14ac:dyDescent="0.3">
      <c r="I32078" s="101"/>
    </row>
    <row r="32079" spans="9:9" x14ac:dyDescent="0.3">
      <c r="I32079" s="101"/>
    </row>
    <row r="32080" spans="9:9" x14ac:dyDescent="0.3">
      <c r="I32080" s="101"/>
    </row>
    <row r="32081" spans="9:9" x14ac:dyDescent="0.3">
      <c r="I32081" s="101"/>
    </row>
    <row r="32082" spans="9:9" x14ac:dyDescent="0.3">
      <c r="I32082" s="101"/>
    </row>
    <row r="32083" spans="9:9" x14ac:dyDescent="0.3">
      <c r="I32083" s="101"/>
    </row>
    <row r="32084" spans="9:9" x14ac:dyDescent="0.3">
      <c r="I32084" s="101"/>
    </row>
    <row r="32085" spans="9:9" x14ac:dyDescent="0.3">
      <c r="I32085" s="101"/>
    </row>
    <row r="32086" spans="9:9" x14ac:dyDescent="0.3">
      <c r="I32086" s="101"/>
    </row>
    <row r="32087" spans="9:9" x14ac:dyDescent="0.3">
      <c r="I32087" s="101"/>
    </row>
    <row r="32088" spans="9:9" x14ac:dyDescent="0.3">
      <c r="I32088" s="101"/>
    </row>
    <row r="32089" spans="9:9" x14ac:dyDescent="0.3">
      <c r="I32089" s="101"/>
    </row>
    <row r="32090" spans="9:9" x14ac:dyDescent="0.3">
      <c r="I32090" s="101"/>
    </row>
    <row r="32091" spans="9:9" x14ac:dyDescent="0.3">
      <c r="I32091" s="101"/>
    </row>
    <row r="32092" spans="9:9" x14ac:dyDescent="0.3">
      <c r="I32092" s="101"/>
    </row>
    <row r="32093" spans="9:9" x14ac:dyDescent="0.3">
      <c r="I32093" s="101"/>
    </row>
    <row r="32094" spans="9:9" x14ac:dyDescent="0.3">
      <c r="I32094" s="101"/>
    </row>
    <row r="32095" spans="9:9" x14ac:dyDescent="0.3">
      <c r="I32095" s="101"/>
    </row>
    <row r="32096" spans="9:9" x14ac:dyDescent="0.3">
      <c r="I32096" s="101"/>
    </row>
    <row r="32097" spans="9:9" x14ac:dyDescent="0.3">
      <c r="I32097" s="101"/>
    </row>
    <row r="32098" spans="9:9" x14ac:dyDescent="0.3">
      <c r="I32098" s="101"/>
    </row>
    <row r="32099" spans="9:9" x14ac:dyDescent="0.3">
      <c r="I32099" s="101"/>
    </row>
    <row r="32100" spans="9:9" x14ac:dyDescent="0.3">
      <c r="I32100" s="101"/>
    </row>
    <row r="32101" spans="9:9" x14ac:dyDescent="0.3">
      <c r="I32101" s="101"/>
    </row>
    <row r="32102" spans="9:9" x14ac:dyDescent="0.3">
      <c r="I32102" s="101"/>
    </row>
    <row r="32103" spans="9:9" x14ac:dyDescent="0.3">
      <c r="I32103" s="101"/>
    </row>
    <row r="32104" spans="9:9" x14ac:dyDescent="0.3">
      <c r="I32104" s="101"/>
    </row>
    <row r="32105" spans="9:9" x14ac:dyDescent="0.3">
      <c r="I32105" s="101"/>
    </row>
    <row r="32106" spans="9:9" x14ac:dyDescent="0.3">
      <c r="I32106" s="101"/>
    </row>
    <row r="32107" spans="9:9" x14ac:dyDescent="0.3">
      <c r="I32107" s="101"/>
    </row>
    <row r="32108" spans="9:9" x14ac:dyDescent="0.3">
      <c r="I32108" s="101"/>
    </row>
    <row r="32109" spans="9:9" x14ac:dyDescent="0.3">
      <c r="I32109" s="101"/>
    </row>
    <row r="32110" spans="9:9" x14ac:dyDescent="0.3">
      <c r="I32110" s="101"/>
    </row>
    <row r="32111" spans="9:9" x14ac:dyDescent="0.3">
      <c r="I32111" s="101"/>
    </row>
    <row r="32112" spans="9:9" x14ac:dyDescent="0.3">
      <c r="I32112" s="101"/>
    </row>
    <row r="32113" spans="9:9" x14ac:dyDescent="0.3">
      <c r="I32113" s="101"/>
    </row>
    <row r="32114" spans="9:9" x14ac:dyDescent="0.3">
      <c r="I32114" s="101"/>
    </row>
    <row r="32115" spans="9:9" x14ac:dyDescent="0.3">
      <c r="I32115" s="101"/>
    </row>
    <row r="32116" spans="9:9" x14ac:dyDescent="0.3">
      <c r="I32116" s="101"/>
    </row>
    <row r="32117" spans="9:9" x14ac:dyDescent="0.3">
      <c r="I32117" s="101"/>
    </row>
    <row r="32118" spans="9:9" x14ac:dyDescent="0.3">
      <c r="I32118" s="101"/>
    </row>
    <row r="32119" spans="9:9" x14ac:dyDescent="0.3">
      <c r="I32119" s="101"/>
    </row>
    <row r="32120" spans="9:9" x14ac:dyDescent="0.3">
      <c r="I32120" s="101"/>
    </row>
    <row r="32121" spans="9:9" x14ac:dyDescent="0.3">
      <c r="I32121" s="101"/>
    </row>
    <row r="32122" spans="9:9" x14ac:dyDescent="0.3">
      <c r="I32122" s="101"/>
    </row>
    <row r="32123" spans="9:9" x14ac:dyDescent="0.3">
      <c r="I32123" s="101"/>
    </row>
    <row r="32124" spans="9:9" x14ac:dyDescent="0.3">
      <c r="I32124" s="101"/>
    </row>
    <row r="32125" spans="9:9" x14ac:dyDescent="0.3">
      <c r="I32125" s="101"/>
    </row>
    <row r="32126" spans="9:9" x14ac:dyDescent="0.3">
      <c r="I32126" s="101"/>
    </row>
    <row r="32127" spans="9:9" x14ac:dyDescent="0.3">
      <c r="I32127" s="101"/>
    </row>
    <row r="32128" spans="9:9" x14ac:dyDescent="0.3">
      <c r="I32128" s="101"/>
    </row>
    <row r="32129" spans="9:9" x14ac:dyDescent="0.3">
      <c r="I32129" s="101"/>
    </row>
    <row r="32130" spans="9:9" x14ac:dyDescent="0.3">
      <c r="I32130" s="101"/>
    </row>
    <row r="32131" spans="9:9" x14ac:dyDescent="0.3">
      <c r="I32131" s="101"/>
    </row>
    <row r="32132" spans="9:9" x14ac:dyDescent="0.3">
      <c r="I32132" s="101"/>
    </row>
    <row r="32133" spans="9:9" x14ac:dyDescent="0.3">
      <c r="I32133" s="101"/>
    </row>
    <row r="32134" spans="9:9" x14ac:dyDescent="0.3">
      <c r="I32134" s="101"/>
    </row>
    <row r="32135" spans="9:9" x14ac:dyDescent="0.3">
      <c r="I32135" s="101"/>
    </row>
    <row r="32136" spans="9:9" x14ac:dyDescent="0.3">
      <c r="I32136" s="101"/>
    </row>
    <row r="32137" spans="9:9" x14ac:dyDescent="0.3">
      <c r="I32137" s="101"/>
    </row>
    <row r="32138" spans="9:9" x14ac:dyDescent="0.3">
      <c r="I32138" s="101"/>
    </row>
    <row r="32139" spans="9:9" x14ac:dyDescent="0.3">
      <c r="I32139" s="101"/>
    </row>
    <row r="32140" spans="9:9" x14ac:dyDescent="0.3">
      <c r="I32140" s="101"/>
    </row>
    <row r="32141" spans="9:9" x14ac:dyDescent="0.3">
      <c r="I32141" s="101"/>
    </row>
    <row r="32142" spans="9:9" x14ac:dyDescent="0.3">
      <c r="I32142" s="101"/>
    </row>
    <row r="32143" spans="9:9" x14ac:dyDescent="0.3">
      <c r="I32143" s="101"/>
    </row>
    <row r="32144" spans="9:9" x14ac:dyDescent="0.3">
      <c r="I32144" s="101"/>
    </row>
    <row r="32145" spans="9:9" x14ac:dyDescent="0.3">
      <c r="I32145" s="101"/>
    </row>
    <row r="32146" spans="9:9" x14ac:dyDescent="0.3">
      <c r="I32146" s="101"/>
    </row>
    <row r="32147" spans="9:9" x14ac:dyDescent="0.3">
      <c r="I32147" s="101"/>
    </row>
    <row r="32148" spans="9:9" x14ac:dyDescent="0.3">
      <c r="I32148" s="101"/>
    </row>
    <row r="32149" spans="9:9" x14ac:dyDescent="0.3">
      <c r="I32149" s="101"/>
    </row>
    <row r="32150" spans="9:9" x14ac:dyDescent="0.3">
      <c r="I32150" s="101"/>
    </row>
    <row r="32151" spans="9:9" x14ac:dyDescent="0.3">
      <c r="I32151" s="101"/>
    </row>
    <row r="32152" spans="9:9" x14ac:dyDescent="0.3">
      <c r="I32152" s="101"/>
    </row>
    <row r="32153" spans="9:9" x14ac:dyDescent="0.3">
      <c r="I32153" s="101"/>
    </row>
    <row r="32154" spans="9:9" x14ac:dyDescent="0.3">
      <c r="I32154" s="101"/>
    </row>
    <row r="32155" spans="9:9" x14ac:dyDescent="0.3">
      <c r="I32155" s="101"/>
    </row>
    <row r="32156" spans="9:9" x14ac:dyDescent="0.3">
      <c r="I32156" s="101"/>
    </row>
    <row r="32157" spans="9:9" x14ac:dyDescent="0.3">
      <c r="I32157" s="101"/>
    </row>
    <row r="32158" spans="9:9" x14ac:dyDescent="0.3">
      <c r="I32158" s="101"/>
    </row>
    <row r="32159" spans="9:9" x14ac:dyDescent="0.3">
      <c r="I32159" s="101"/>
    </row>
    <row r="32160" spans="9:9" x14ac:dyDescent="0.3">
      <c r="I32160" s="101"/>
    </row>
    <row r="32161" spans="9:9" x14ac:dyDescent="0.3">
      <c r="I32161" s="101"/>
    </row>
    <row r="32162" spans="9:9" x14ac:dyDescent="0.3">
      <c r="I32162" s="101"/>
    </row>
    <row r="32163" spans="9:9" x14ac:dyDescent="0.3">
      <c r="I32163" s="101"/>
    </row>
    <row r="32164" spans="9:9" x14ac:dyDescent="0.3">
      <c r="I32164" s="101"/>
    </row>
    <row r="32165" spans="9:9" x14ac:dyDescent="0.3">
      <c r="I32165" s="101"/>
    </row>
    <row r="32166" spans="9:9" x14ac:dyDescent="0.3">
      <c r="I32166" s="101"/>
    </row>
    <row r="32167" spans="9:9" x14ac:dyDescent="0.3">
      <c r="I32167" s="101"/>
    </row>
    <row r="32168" spans="9:9" x14ac:dyDescent="0.3">
      <c r="I32168" s="101"/>
    </row>
    <row r="32169" spans="9:9" x14ac:dyDescent="0.3">
      <c r="I32169" s="101"/>
    </row>
    <row r="32170" spans="9:9" x14ac:dyDescent="0.3">
      <c r="I32170" s="101"/>
    </row>
    <row r="32171" spans="9:9" x14ac:dyDescent="0.3">
      <c r="I32171" s="101"/>
    </row>
    <row r="32172" spans="9:9" x14ac:dyDescent="0.3">
      <c r="I32172" s="101"/>
    </row>
    <row r="32173" spans="9:9" x14ac:dyDescent="0.3">
      <c r="I32173" s="101"/>
    </row>
    <row r="32174" spans="9:9" x14ac:dyDescent="0.3">
      <c r="I32174" s="101"/>
    </row>
    <row r="32175" spans="9:9" x14ac:dyDescent="0.3">
      <c r="I32175" s="101"/>
    </row>
    <row r="32176" spans="9:9" x14ac:dyDescent="0.3">
      <c r="I32176" s="101"/>
    </row>
    <row r="32177" spans="9:9" x14ac:dyDescent="0.3">
      <c r="I32177" s="101"/>
    </row>
    <row r="32178" spans="9:9" x14ac:dyDescent="0.3">
      <c r="I32178" s="101"/>
    </row>
    <row r="32179" spans="9:9" x14ac:dyDescent="0.3">
      <c r="I32179" s="101"/>
    </row>
    <row r="32180" spans="9:9" x14ac:dyDescent="0.3">
      <c r="I32180" s="101"/>
    </row>
    <row r="32181" spans="9:9" x14ac:dyDescent="0.3">
      <c r="I32181" s="101"/>
    </row>
    <row r="32182" spans="9:9" x14ac:dyDescent="0.3">
      <c r="I32182" s="101"/>
    </row>
    <row r="32183" spans="9:9" x14ac:dyDescent="0.3">
      <c r="I32183" s="101"/>
    </row>
    <row r="32184" spans="9:9" x14ac:dyDescent="0.3">
      <c r="I32184" s="101"/>
    </row>
    <row r="32185" spans="9:9" x14ac:dyDescent="0.3">
      <c r="I32185" s="101"/>
    </row>
    <row r="32186" spans="9:9" x14ac:dyDescent="0.3">
      <c r="I32186" s="101"/>
    </row>
    <row r="32187" spans="9:9" x14ac:dyDescent="0.3">
      <c r="I32187" s="101"/>
    </row>
    <row r="32188" spans="9:9" x14ac:dyDescent="0.3">
      <c r="I32188" s="101"/>
    </row>
    <row r="32189" spans="9:9" x14ac:dyDescent="0.3">
      <c r="I32189" s="101"/>
    </row>
    <row r="32190" spans="9:9" x14ac:dyDescent="0.3">
      <c r="I32190" s="101"/>
    </row>
    <row r="32191" spans="9:9" x14ac:dyDescent="0.3">
      <c r="I32191" s="101"/>
    </row>
    <row r="32192" spans="9:9" x14ac:dyDescent="0.3">
      <c r="I32192" s="101"/>
    </row>
    <row r="32193" spans="9:9" x14ac:dyDescent="0.3">
      <c r="I32193" s="101"/>
    </row>
    <row r="32194" spans="9:9" x14ac:dyDescent="0.3">
      <c r="I32194" s="101"/>
    </row>
    <row r="32195" spans="9:9" x14ac:dyDescent="0.3">
      <c r="I32195" s="101"/>
    </row>
    <row r="32196" spans="9:9" x14ac:dyDescent="0.3">
      <c r="I32196" s="101"/>
    </row>
    <row r="32197" spans="9:9" x14ac:dyDescent="0.3">
      <c r="I32197" s="101"/>
    </row>
    <row r="32198" spans="9:9" x14ac:dyDescent="0.3">
      <c r="I32198" s="101"/>
    </row>
    <row r="32199" spans="9:9" x14ac:dyDescent="0.3">
      <c r="I32199" s="101"/>
    </row>
    <row r="32200" spans="9:9" x14ac:dyDescent="0.3">
      <c r="I32200" s="101"/>
    </row>
    <row r="32201" spans="9:9" x14ac:dyDescent="0.3">
      <c r="I32201" s="101"/>
    </row>
    <row r="32202" spans="9:9" x14ac:dyDescent="0.3">
      <c r="I32202" s="101"/>
    </row>
    <row r="32203" spans="9:9" x14ac:dyDescent="0.3">
      <c r="I32203" s="101"/>
    </row>
    <row r="32204" spans="9:9" x14ac:dyDescent="0.3">
      <c r="I32204" s="101"/>
    </row>
    <row r="32205" spans="9:9" x14ac:dyDescent="0.3">
      <c r="I32205" s="101"/>
    </row>
    <row r="32206" spans="9:9" x14ac:dyDescent="0.3">
      <c r="I32206" s="101"/>
    </row>
    <row r="32207" spans="9:9" x14ac:dyDescent="0.3">
      <c r="I32207" s="101"/>
    </row>
    <row r="32208" spans="9:9" x14ac:dyDescent="0.3">
      <c r="I32208" s="101"/>
    </row>
    <row r="32209" spans="9:9" x14ac:dyDescent="0.3">
      <c r="I32209" s="101"/>
    </row>
    <row r="32210" spans="9:9" x14ac:dyDescent="0.3">
      <c r="I32210" s="101"/>
    </row>
    <row r="32211" spans="9:9" x14ac:dyDescent="0.3">
      <c r="I32211" s="101"/>
    </row>
    <row r="32212" spans="9:9" x14ac:dyDescent="0.3">
      <c r="I32212" s="101"/>
    </row>
    <row r="32213" spans="9:9" x14ac:dyDescent="0.3">
      <c r="I32213" s="101"/>
    </row>
    <row r="32214" spans="9:9" x14ac:dyDescent="0.3">
      <c r="I32214" s="101"/>
    </row>
    <row r="32215" spans="9:9" x14ac:dyDescent="0.3">
      <c r="I32215" s="101"/>
    </row>
    <row r="32216" spans="9:9" x14ac:dyDescent="0.3">
      <c r="I32216" s="101"/>
    </row>
    <row r="32217" spans="9:9" x14ac:dyDescent="0.3">
      <c r="I32217" s="101"/>
    </row>
    <row r="32218" spans="9:9" x14ac:dyDescent="0.3">
      <c r="I32218" s="101"/>
    </row>
    <row r="32219" spans="9:9" x14ac:dyDescent="0.3">
      <c r="I32219" s="101"/>
    </row>
    <row r="32220" spans="9:9" x14ac:dyDescent="0.3">
      <c r="I32220" s="101"/>
    </row>
    <row r="32221" spans="9:9" x14ac:dyDescent="0.3">
      <c r="I32221" s="101"/>
    </row>
    <row r="32222" spans="9:9" x14ac:dyDescent="0.3">
      <c r="I32222" s="101"/>
    </row>
    <row r="32223" spans="9:9" x14ac:dyDescent="0.3">
      <c r="I32223" s="101"/>
    </row>
    <row r="32224" spans="9:9" x14ac:dyDescent="0.3">
      <c r="I32224" s="101"/>
    </row>
    <row r="32225" spans="9:9" x14ac:dyDescent="0.3">
      <c r="I32225" s="101"/>
    </row>
    <row r="32226" spans="9:9" x14ac:dyDescent="0.3">
      <c r="I32226" s="101"/>
    </row>
    <row r="32227" spans="9:9" x14ac:dyDescent="0.3">
      <c r="I32227" s="101"/>
    </row>
    <row r="32228" spans="9:9" x14ac:dyDescent="0.3">
      <c r="I32228" s="101"/>
    </row>
    <row r="32229" spans="9:9" x14ac:dyDescent="0.3">
      <c r="I32229" s="101"/>
    </row>
    <row r="32230" spans="9:9" x14ac:dyDescent="0.3">
      <c r="I32230" s="101"/>
    </row>
    <row r="32231" spans="9:9" x14ac:dyDescent="0.3">
      <c r="I32231" s="101"/>
    </row>
    <row r="32232" spans="9:9" x14ac:dyDescent="0.3">
      <c r="I32232" s="101"/>
    </row>
    <row r="32233" spans="9:9" x14ac:dyDescent="0.3">
      <c r="I32233" s="101"/>
    </row>
    <row r="32234" spans="9:9" x14ac:dyDescent="0.3">
      <c r="I32234" s="101"/>
    </row>
    <row r="32235" spans="9:9" x14ac:dyDescent="0.3">
      <c r="I32235" s="101"/>
    </row>
    <row r="32236" spans="9:9" x14ac:dyDescent="0.3">
      <c r="I32236" s="101"/>
    </row>
    <row r="32237" spans="9:9" x14ac:dyDescent="0.3">
      <c r="I32237" s="101"/>
    </row>
    <row r="32238" spans="9:9" x14ac:dyDescent="0.3">
      <c r="I32238" s="101"/>
    </row>
    <row r="32239" spans="9:9" x14ac:dyDescent="0.3">
      <c r="I32239" s="101"/>
    </row>
    <row r="32240" spans="9:9" x14ac:dyDescent="0.3">
      <c r="I32240" s="101"/>
    </row>
    <row r="32241" spans="9:9" x14ac:dyDescent="0.3">
      <c r="I32241" s="101"/>
    </row>
    <row r="32242" spans="9:9" x14ac:dyDescent="0.3">
      <c r="I32242" s="101"/>
    </row>
    <row r="32243" spans="9:9" x14ac:dyDescent="0.3">
      <c r="I32243" s="101"/>
    </row>
    <row r="32244" spans="9:9" x14ac:dyDescent="0.3">
      <c r="I32244" s="101"/>
    </row>
    <row r="32245" spans="9:9" x14ac:dyDescent="0.3">
      <c r="I32245" s="101"/>
    </row>
    <row r="32246" spans="9:9" x14ac:dyDescent="0.3">
      <c r="I32246" s="101"/>
    </row>
    <row r="32247" spans="9:9" x14ac:dyDescent="0.3">
      <c r="I32247" s="101"/>
    </row>
    <row r="32248" spans="9:9" x14ac:dyDescent="0.3">
      <c r="I32248" s="101"/>
    </row>
    <row r="32249" spans="9:9" x14ac:dyDescent="0.3">
      <c r="I32249" s="101"/>
    </row>
    <row r="32250" spans="9:9" x14ac:dyDescent="0.3">
      <c r="I32250" s="101"/>
    </row>
    <row r="32251" spans="9:9" x14ac:dyDescent="0.3">
      <c r="I32251" s="101"/>
    </row>
    <row r="32252" spans="9:9" x14ac:dyDescent="0.3">
      <c r="I32252" s="101"/>
    </row>
    <row r="32253" spans="9:9" x14ac:dyDescent="0.3">
      <c r="I32253" s="101"/>
    </row>
    <row r="32254" spans="9:9" x14ac:dyDescent="0.3">
      <c r="I32254" s="101"/>
    </row>
    <row r="32255" spans="9:9" x14ac:dyDescent="0.3">
      <c r="I32255" s="101"/>
    </row>
    <row r="32256" spans="9:9" x14ac:dyDescent="0.3">
      <c r="I32256" s="101"/>
    </row>
    <row r="32257" spans="9:9" x14ac:dyDescent="0.3">
      <c r="I32257" s="101"/>
    </row>
    <row r="32258" spans="9:9" x14ac:dyDescent="0.3">
      <c r="I32258" s="101"/>
    </row>
    <row r="32259" spans="9:9" x14ac:dyDescent="0.3">
      <c r="I32259" s="101"/>
    </row>
    <row r="32260" spans="9:9" x14ac:dyDescent="0.3">
      <c r="I32260" s="101"/>
    </row>
    <row r="32261" spans="9:9" x14ac:dyDescent="0.3">
      <c r="I32261" s="101"/>
    </row>
    <row r="32262" spans="9:9" x14ac:dyDescent="0.3">
      <c r="I32262" s="101"/>
    </row>
    <row r="32263" spans="9:9" x14ac:dyDescent="0.3">
      <c r="I32263" s="101"/>
    </row>
    <row r="32264" spans="9:9" x14ac:dyDescent="0.3">
      <c r="I32264" s="101"/>
    </row>
    <row r="32265" spans="9:9" x14ac:dyDescent="0.3">
      <c r="I32265" s="101"/>
    </row>
    <row r="32266" spans="9:9" x14ac:dyDescent="0.3">
      <c r="I32266" s="101"/>
    </row>
    <row r="32267" spans="9:9" x14ac:dyDescent="0.3">
      <c r="I32267" s="101"/>
    </row>
    <row r="32268" spans="9:9" x14ac:dyDescent="0.3">
      <c r="I32268" s="101"/>
    </row>
    <row r="32269" spans="9:9" x14ac:dyDescent="0.3">
      <c r="I32269" s="101"/>
    </row>
    <row r="32270" spans="9:9" x14ac:dyDescent="0.3">
      <c r="I32270" s="101"/>
    </row>
    <row r="32271" spans="9:9" x14ac:dyDescent="0.3">
      <c r="I32271" s="101"/>
    </row>
    <row r="32272" spans="9:9" x14ac:dyDescent="0.3">
      <c r="I32272" s="101"/>
    </row>
    <row r="32273" spans="9:9" x14ac:dyDescent="0.3">
      <c r="I32273" s="101"/>
    </row>
    <row r="32274" spans="9:9" x14ac:dyDescent="0.3">
      <c r="I32274" s="101"/>
    </row>
    <row r="32275" spans="9:9" x14ac:dyDescent="0.3">
      <c r="I32275" s="101"/>
    </row>
    <row r="32276" spans="9:9" x14ac:dyDescent="0.3">
      <c r="I32276" s="101"/>
    </row>
    <row r="32277" spans="9:9" x14ac:dyDescent="0.3">
      <c r="I32277" s="101"/>
    </row>
    <row r="32278" spans="9:9" x14ac:dyDescent="0.3">
      <c r="I32278" s="101"/>
    </row>
    <row r="32279" spans="9:9" x14ac:dyDescent="0.3">
      <c r="I32279" s="101"/>
    </row>
    <row r="32280" spans="9:9" x14ac:dyDescent="0.3">
      <c r="I32280" s="101"/>
    </row>
    <row r="32281" spans="9:9" x14ac:dyDescent="0.3">
      <c r="I32281" s="101"/>
    </row>
    <row r="32282" spans="9:9" x14ac:dyDescent="0.3">
      <c r="I32282" s="101"/>
    </row>
    <row r="32283" spans="9:9" x14ac:dyDescent="0.3">
      <c r="I32283" s="101"/>
    </row>
    <row r="32284" spans="9:9" x14ac:dyDescent="0.3">
      <c r="I32284" s="101"/>
    </row>
    <row r="32285" spans="9:9" x14ac:dyDescent="0.3">
      <c r="I32285" s="101"/>
    </row>
    <row r="32286" spans="9:9" x14ac:dyDescent="0.3">
      <c r="I32286" s="101"/>
    </row>
    <row r="32287" spans="9:9" x14ac:dyDescent="0.3">
      <c r="I32287" s="101"/>
    </row>
    <row r="32288" spans="9:9" x14ac:dyDescent="0.3">
      <c r="I32288" s="101"/>
    </row>
    <row r="32289" spans="9:9" x14ac:dyDescent="0.3">
      <c r="I32289" s="101"/>
    </row>
    <row r="32290" spans="9:9" x14ac:dyDescent="0.3">
      <c r="I32290" s="101"/>
    </row>
    <row r="32291" spans="9:9" x14ac:dyDescent="0.3">
      <c r="I32291" s="101"/>
    </row>
    <row r="32292" spans="9:9" x14ac:dyDescent="0.3">
      <c r="I32292" s="101"/>
    </row>
    <row r="32293" spans="9:9" x14ac:dyDescent="0.3">
      <c r="I32293" s="101"/>
    </row>
    <row r="32294" spans="9:9" x14ac:dyDescent="0.3">
      <c r="I32294" s="101"/>
    </row>
    <row r="32295" spans="9:9" x14ac:dyDescent="0.3">
      <c r="I32295" s="101"/>
    </row>
    <row r="32296" spans="9:9" x14ac:dyDescent="0.3">
      <c r="I32296" s="101"/>
    </row>
    <row r="32297" spans="9:9" x14ac:dyDescent="0.3">
      <c r="I32297" s="101"/>
    </row>
    <row r="32298" spans="9:9" x14ac:dyDescent="0.3">
      <c r="I32298" s="101"/>
    </row>
    <row r="32299" spans="9:9" x14ac:dyDescent="0.3">
      <c r="I32299" s="101"/>
    </row>
    <row r="32300" spans="9:9" x14ac:dyDescent="0.3">
      <c r="I32300" s="101"/>
    </row>
    <row r="32301" spans="9:9" x14ac:dyDescent="0.3">
      <c r="I32301" s="101"/>
    </row>
    <row r="32302" spans="9:9" x14ac:dyDescent="0.3">
      <c r="I32302" s="101"/>
    </row>
    <row r="32303" spans="9:9" x14ac:dyDescent="0.3">
      <c r="I32303" s="101"/>
    </row>
    <row r="32304" spans="9:9" x14ac:dyDescent="0.3">
      <c r="I32304" s="101"/>
    </row>
    <row r="32305" spans="9:9" x14ac:dyDescent="0.3">
      <c r="I32305" s="101"/>
    </row>
    <row r="32306" spans="9:9" x14ac:dyDescent="0.3">
      <c r="I32306" s="101"/>
    </row>
    <row r="32307" spans="9:9" x14ac:dyDescent="0.3">
      <c r="I32307" s="101"/>
    </row>
    <row r="32308" spans="9:9" x14ac:dyDescent="0.3">
      <c r="I32308" s="101"/>
    </row>
    <row r="32309" spans="9:9" x14ac:dyDescent="0.3">
      <c r="I32309" s="101"/>
    </row>
    <row r="32310" spans="9:9" x14ac:dyDescent="0.3">
      <c r="I32310" s="101"/>
    </row>
    <row r="32311" spans="9:9" x14ac:dyDescent="0.3">
      <c r="I32311" s="101"/>
    </row>
    <row r="32312" spans="9:9" x14ac:dyDescent="0.3">
      <c r="I32312" s="101"/>
    </row>
    <row r="32313" spans="9:9" x14ac:dyDescent="0.3">
      <c r="I32313" s="101"/>
    </row>
    <row r="32314" spans="9:9" x14ac:dyDescent="0.3">
      <c r="I32314" s="101"/>
    </row>
    <row r="32315" spans="9:9" x14ac:dyDescent="0.3">
      <c r="I32315" s="101"/>
    </row>
    <row r="32316" spans="9:9" x14ac:dyDescent="0.3">
      <c r="I32316" s="101"/>
    </row>
    <row r="32317" spans="9:9" x14ac:dyDescent="0.3">
      <c r="I32317" s="101"/>
    </row>
    <row r="32318" spans="9:9" x14ac:dyDescent="0.3">
      <c r="I32318" s="101"/>
    </row>
    <row r="32319" spans="9:9" x14ac:dyDescent="0.3">
      <c r="I32319" s="101"/>
    </row>
    <row r="32320" spans="9:9" x14ac:dyDescent="0.3">
      <c r="I32320" s="101"/>
    </row>
    <row r="32321" spans="9:9" x14ac:dyDescent="0.3">
      <c r="I32321" s="101"/>
    </row>
    <row r="32322" spans="9:9" x14ac:dyDescent="0.3">
      <c r="I32322" s="101"/>
    </row>
    <row r="32323" spans="9:9" x14ac:dyDescent="0.3">
      <c r="I32323" s="101"/>
    </row>
    <row r="32324" spans="9:9" x14ac:dyDescent="0.3">
      <c r="I32324" s="101"/>
    </row>
    <row r="32325" spans="9:9" x14ac:dyDescent="0.3">
      <c r="I32325" s="101"/>
    </row>
    <row r="32326" spans="9:9" x14ac:dyDescent="0.3">
      <c r="I32326" s="101"/>
    </row>
    <row r="32327" spans="9:9" x14ac:dyDescent="0.3">
      <c r="I32327" s="101"/>
    </row>
    <row r="32328" spans="9:9" x14ac:dyDescent="0.3">
      <c r="I32328" s="101"/>
    </row>
    <row r="32329" spans="9:9" x14ac:dyDescent="0.3">
      <c r="I32329" s="101"/>
    </row>
    <row r="32330" spans="9:9" x14ac:dyDescent="0.3">
      <c r="I32330" s="101"/>
    </row>
    <row r="32331" spans="9:9" x14ac:dyDescent="0.3">
      <c r="I32331" s="101"/>
    </row>
    <row r="32332" spans="9:9" x14ac:dyDescent="0.3">
      <c r="I32332" s="101"/>
    </row>
    <row r="32333" spans="9:9" x14ac:dyDescent="0.3">
      <c r="I32333" s="101"/>
    </row>
    <row r="32334" spans="9:9" x14ac:dyDescent="0.3">
      <c r="I32334" s="101"/>
    </row>
    <row r="32335" spans="9:9" x14ac:dyDescent="0.3">
      <c r="I32335" s="101"/>
    </row>
    <row r="32336" spans="9:9" x14ac:dyDescent="0.3">
      <c r="I32336" s="101"/>
    </row>
    <row r="32337" spans="9:9" x14ac:dyDescent="0.3">
      <c r="I32337" s="101"/>
    </row>
    <row r="32338" spans="9:9" x14ac:dyDescent="0.3">
      <c r="I32338" s="101"/>
    </row>
    <row r="32339" spans="9:9" x14ac:dyDescent="0.3">
      <c r="I32339" s="101"/>
    </row>
    <row r="32340" spans="9:9" x14ac:dyDescent="0.3">
      <c r="I32340" s="101"/>
    </row>
    <row r="32341" spans="9:9" x14ac:dyDescent="0.3">
      <c r="I32341" s="101"/>
    </row>
    <row r="32342" spans="9:9" x14ac:dyDescent="0.3">
      <c r="I32342" s="101"/>
    </row>
    <row r="32343" spans="9:9" x14ac:dyDescent="0.3">
      <c r="I32343" s="101"/>
    </row>
    <row r="32344" spans="9:9" x14ac:dyDescent="0.3">
      <c r="I32344" s="101"/>
    </row>
    <row r="32345" spans="9:9" x14ac:dyDescent="0.3">
      <c r="I32345" s="101"/>
    </row>
    <row r="32346" spans="9:9" x14ac:dyDescent="0.3">
      <c r="I32346" s="101"/>
    </row>
    <row r="32347" spans="9:9" x14ac:dyDescent="0.3">
      <c r="I32347" s="101"/>
    </row>
    <row r="32348" spans="9:9" x14ac:dyDescent="0.3">
      <c r="I32348" s="101"/>
    </row>
    <row r="32349" spans="9:9" x14ac:dyDescent="0.3">
      <c r="I32349" s="101"/>
    </row>
    <row r="32350" spans="9:9" x14ac:dyDescent="0.3">
      <c r="I32350" s="101"/>
    </row>
    <row r="32351" spans="9:9" x14ac:dyDescent="0.3">
      <c r="I32351" s="101"/>
    </row>
    <row r="32352" spans="9:9" x14ac:dyDescent="0.3">
      <c r="I32352" s="101"/>
    </row>
    <row r="32353" spans="9:9" x14ac:dyDescent="0.3">
      <c r="I32353" s="101"/>
    </row>
    <row r="32354" spans="9:9" x14ac:dyDescent="0.3">
      <c r="I32354" s="101"/>
    </row>
    <row r="32355" spans="9:9" x14ac:dyDescent="0.3">
      <c r="I32355" s="101"/>
    </row>
    <row r="32356" spans="9:9" x14ac:dyDescent="0.3">
      <c r="I32356" s="101"/>
    </row>
    <row r="32357" spans="9:9" x14ac:dyDescent="0.3">
      <c r="I32357" s="101"/>
    </row>
    <row r="32358" spans="9:9" x14ac:dyDescent="0.3">
      <c r="I32358" s="101"/>
    </row>
    <row r="32359" spans="9:9" x14ac:dyDescent="0.3">
      <c r="I32359" s="101"/>
    </row>
    <row r="32360" spans="9:9" x14ac:dyDescent="0.3">
      <c r="I32360" s="101"/>
    </row>
    <row r="32361" spans="9:9" x14ac:dyDescent="0.3">
      <c r="I32361" s="101"/>
    </row>
    <row r="32362" spans="9:9" x14ac:dyDescent="0.3">
      <c r="I32362" s="101"/>
    </row>
    <row r="32363" spans="9:9" x14ac:dyDescent="0.3">
      <c r="I32363" s="101"/>
    </row>
    <row r="32364" spans="9:9" x14ac:dyDescent="0.3">
      <c r="I32364" s="101"/>
    </row>
    <row r="32365" spans="9:9" x14ac:dyDescent="0.3">
      <c r="I32365" s="101"/>
    </row>
    <row r="32366" spans="9:9" x14ac:dyDescent="0.3">
      <c r="I32366" s="101"/>
    </row>
    <row r="32367" spans="9:9" x14ac:dyDescent="0.3">
      <c r="I32367" s="101"/>
    </row>
    <row r="32368" spans="9:9" x14ac:dyDescent="0.3">
      <c r="I32368" s="101"/>
    </row>
    <row r="32369" spans="9:9" x14ac:dyDescent="0.3">
      <c r="I32369" s="101"/>
    </row>
    <row r="32370" spans="9:9" x14ac:dyDescent="0.3">
      <c r="I32370" s="101"/>
    </row>
    <row r="32371" spans="9:9" x14ac:dyDescent="0.3">
      <c r="I32371" s="101"/>
    </row>
    <row r="32372" spans="9:9" x14ac:dyDescent="0.3">
      <c r="I32372" s="101"/>
    </row>
    <row r="32373" spans="9:9" x14ac:dyDescent="0.3">
      <c r="I32373" s="101"/>
    </row>
    <row r="32374" spans="9:9" x14ac:dyDescent="0.3">
      <c r="I32374" s="101"/>
    </row>
    <row r="32375" spans="9:9" x14ac:dyDescent="0.3">
      <c r="I32375" s="101"/>
    </row>
    <row r="32376" spans="9:9" x14ac:dyDescent="0.3">
      <c r="I32376" s="101"/>
    </row>
    <row r="32377" spans="9:9" x14ac:dyDescent="0.3">
      <c r="I32377" s="101"/>
    </row>
    <row r="32378" spans="9:9" x14ac:dyDescent="0.3">
      <c r="I32378" s="101"/>
    </row>
    <row r="32379" spans="9:9" x14ac:dyDescent="0.3">
      <c r="I32379" s="101"/>
    </row>
    <row r="32380" spans="9:9" x14ac:dyDescent="0.3">
      <c r="I32380" s="101"/>
    </row>
    <row r="32381" spans="9:9" x14ac:dyDescent="0.3">
      <c r="I32381" s="101"/>
    </row>
    <row r="32382" spans="9:9" x14ac:dyDescent="0.3">
      <c r="I32382" s="101"/>
    </row>
    <row r="32383" spans="9:9" x14ac:dyDescent="0.3">
      <c r="I32383" s="101"/>
    </row>
    <row r="32384" spans="9:9" x14ac:dyDescent="0.3">
      <c r="I32384" s="101"/>
    </row>
    <row r="32385" spans="9:9" x14ac:dyDescent="0.3">
      <c r="I32385" s="101"/>
    </row>
    <row r="32386" spans="9:9" x14ac:dyDescent="0.3">
      <c r="I32386" s="101"/>
    </row>
    <row r="32387" spans="9:9" x14ac:dyDescent="0.3">
      <c r="I32387" s="101"/>
    </row>
    <row r="32388" spans="9:9" x14ac:dyDescent="0.3">
      <c r="I32388" s="101"/>
    </row>
    <row r="32389" spans="9:9" x14ac:dyDescent="0.3">
      <c r="I32389" s="101"/>
    </row>
    <row r="32390" spans="9:9" x14ac:dyDescent="0.3">
      <c r="I32390" s="101"/>
    </row>
    <row r="32391" spans="9:9" x14ac:dyDescent="0.3">
      <c r="I32391" s="101"/>
    </row>
    <row r="32392" spans="9:9" x14ac:dyDescent="0.3">
      <c r="I32392" s="101"/>
    </row>
    <row r="32393" spans="9:9" x14ac:dyDescent="0.3">
      <c r="I32393" s="101"/>
    </row>
    <row r="32394" spans="9:9" x14ac:dyDescent="0.3">
      <c r="I32394" s="101"/>
    </row>
    <row r="32395" spans="9:9" x14ac:dyDescent="0.3">
      <c r="I32395" s="101"/>
    </row>
    <row r="32396" spans="9:9" x14ac:dyDescent="0.3">
      <c r="I32396" s="101"/>
    </row>
    <row r="32397" spans="9:9" x14ac:dyDescent="0.3">
      <c r="I32397" s="101"/>
    </row>
    <row r="32398" spans="9:9" x14ac:dyDescent="0.3">
      <c r="I32398" s="101"/>
    </row>
    <row r="32399" spans="9:9" x14ac:dyDescent="0.3">
      <c r="I32399" s="101"/>
    </row>
    <row r="32400" spans="9:9" x14ac:dyDescent="0.3">
      <c r="I32400" s="101"/>
    </row>
    <row r="32401" spans="9:9" x14ac:dyDescent="0.3">
      <c r="I32401" s="101"/>
    </row>
    <row r="32402" spans="9:9" x14ac:dyDescent="0.3">
      <c r="I32402" s="101"/>
    </row>
    <row r="32403" spans="9:9" x14ac:dyDescent="0.3">
      <c r="I32403" s="101"/>
    </row>
    <row r="32404" spans="9:9" x14ac:dyDescent="0.3">
      <c r="I32404" s="101"/>
    </row>
    <row r="32405" spans="9:9" x14ac:dyDescent="0.3">
      <c r="I32405" s="101"/>
    </row>
    <row r="32406" spans="9:9" x14ac:dyDescent="0.3">
      <c r="I32406" s="101"/>
    </row>
    <row r="32407" spans="9:9" x14ac:dyDescent="0.3">
      <c r="I32407" s="101"/>
    </row>
    <row r="32408" spans="9:9" x14ac:dyDescent="0.3">
      <c r="I32408" s="101"/>
    </row>
    <row r="32409" spans="9:9" x14ac:dyDescent="0.3">
      <c r="I32409" s="101"/>
    </row>
    <row r="32410" spans="9:9" x14ac:dyDescent="0.3">
      <c r="I32410" s="101"/>
    </row>
    <row r="32411" spans="9:9" x14ac:dyDescent="0.3">
      <c r="I32411" s="101"/>
    </row>
    <row r="32412" spans="9:9" x14ac:dyDescent="0.3">
      <c r="I32412" s="101"/>
    </row>
    <row r="32413" spans="9:9" x14ac:dyDescent="0.3">
      <c r="I32413" s="101"/>
    </row>
    <row r="32414" spans="9:9" x14ac:dyDescent="0.3">
      <c r="I32414" s="101"/>
    </row>
    <row r="32415" spans="9:9" x14ac:dyDescent="0.3">
      <c r="I32415" s="101"/>
    </row>
    <row r="32416" spans="9:9" x14ac:dyDescent="0.3">
      <c r="I32416" s="101"/>
    </row>
    <row r="32417" spans="9:9" x14ac:dyDescent="0.3">
      <c r="I32417" s="101"/>
    </row>
    <row r="32418" spans="9:9" x14ac:dyDescent="0.3">
      <c r="I32418" s="101"/>
    </row>
    <row r="32419" spans="9:9" x14ac:dyDescent="0.3">
      <c r="I32419" s="101"/>
    </row>
    <row r="32420" spans="9:9" x14ac:dyDescent="0.3">
      <c r="I32420" s="101"/>
    </row>
    <row r="32421" spans="9:9" x14ac:dyDescent="0.3">
      <c r="I32421" s="101"/>
    </row>
    <row r="32422" spans="9:9" x14ac:dyDescent="0.3">
      <c r="I32422" s="101"/>
    </row>
    <row r="32423" spans="9:9" x14ac:dyDescent="0.3">
      <c r="I32423" s="101"/>
    </row>
    <row r="32424" spans="9:9" x14ac:dyDescent="0.3">
      <c r="I32424" s="101"/>
    </row>
    <row r="32425" spans="9:9" x14ac:dyDescent="0.3">
      <c r="I32425" s="101"/>
    </row>
    <row r="32426" spans="9:9" x14ac:dyDescent="0.3">
      <c r="I32426" s="101"/>
    </row>
    <row r="32427" spans="9:9" x14ac:dyDescent="0.3">
      <c r="I32427" s="101"/>
    </row>
    <row r="32428" spans="9:9" x14ac:dyDescent="0.3">
      <c r="I32428" s="101"/>
    </row>
    <row r="32429" spans="9:9" x14ac:dyDescent="0.3">
      <c r="I32429" s="101"/>
    </row>
    <row r="32430" spans="9:9" x14ac:dyDescent="0.3">
      <c r="I32430" s="101"/>
    </row>
    <row r="32431" spans="9:9" x14ac:dyDescent="0.3">
      <c r="I32431" s="101"/>
    </row>
    <row r="32432" spans="9:9" x14ac:dyDescent="0.3">
      <c r="I32432" s="101"/>
    </row>
    <row r="32433" spans="9:9" x14ac:dyDescent="0.3">
      <c r="I32433" s="101"/>
    </row>
    <row r="32434" spans="9:9" x14ac:dyDescent="0.3">
      <c r="I32434" s="101"/>
    </row>
    <row r="32435" spans="9:9" x14ac:dyDescent="0.3">
      <c r="I32435" s="101"/>
    </row>
    <row r="32436" spans="9:9" x14ac:dyDescent="0.3">
      <c r="I32436" s="101"/>
    </row>
    <row r="32437" spans="9:9" x14ac:dyDescent="0.3">
      <c r="I32437" s="101"/>
    </row>
    <row r="32438" spans="9:9" x14ac:dyDescent="0.3">
      <c r="I32438" s="101"/>
    </row>
    <row r="32439" spans="9:9" x14ac:dyDescent="0.3">
      <c r="I32439" s="101"/>
    </row>
    <row r="32440" spans="9:9" x14ac:dyDescent="0.3">
      <c r="I32440" s="101"/>
    </row>
    <row r="32441" spans="9:9" x14ac:dyDescent="0.3">
      <c r="I32441" s="101"/>
    </row>
    <row r="32442" spans="9:9" x14ac:dyDescent="0.3">
      <c r="I32442" s="101"/>
    </row>
    <row r="32443" spans="9:9" x14ac:dyDescent="0.3">
      <c r="I32443" s="101"/>
    </row>
    <row r="32444" spans="9:9" x14ac:dyDescent="0.3">
      <c r="I32444" s="101"/>
    </row>
    <row r="32445" spans="9:9" x14ac:dyDescent="0.3">
      <c r="I32445" s="101"/>
    </row>
    <row r="32446" spans="9:9" x14ac:dyDescent="0.3">
      <c r="I32446" s="101"/>
    </row>
    <row r="32447" spans="9:9" x14ac:dyDescent="0.3">
      <c r="I32447" s="101"/>
    </row>
    <row r="32448" spans="9:9" x14ac:dyDescent="0.3">
      <c r="I32448" s="101"/>
    </row>
    <row r="32449" spans="9:9" x14ac:dyDescent="0.3">
      <c r="I32449" s="101"/>
    </row>
    <row r="32450" spans="9:9" x14ac:dyDescent="0.3">
      <c r="I32450" s="101"/>
    </row>
    <row r="32451" spans="9:9" x14ac:dyDescent="0.3">
      <c r="I32451" s="101"/>
    </row>
    <row r="32452" spans="9:9" x14ac:dyDescent="0.3">
      <c r="I32452" s="101"/>
    </row>
    <row r="32453" spans="9:9" x14ac:dyDescent="0.3">
      <c r="I32453" s="101"/>
    </row>
    <row r="32454" spans="9:9" x14ac:dyDescent="0.3">
      <c r="I32454" s="101"/>
    </row>
    <row r="32455" spans="9:9" x14ac:dyDescent="0.3">
      <c r="I32455" s="101"/>
    </row>
    <row r="32456" spans="9:9" x14ac:dyDescent="0.3">
      <c r="I32456" s="101"/>
    </row>
    <row r="32457" spans="9:9" x14ac:dyDescent="0.3">
      <c r="I32457" s="101"/>
    </row>
    <row r="32458" spans="9:9" x14ac:dyDescent="0.3">
      <c r="I32458" s="101"/>
    </row>
    <row r="32459" spans="9:9" x14ac:dyDescent="0.3">
      <c r="I32459" s="101"/>
    </row>
    <row r="32460" spans="9:9" x14ac:dyDescent="0.3">
      <c r="I32460" s="101"/>
    </row>
    <row r="32461" spans="9:9" x14ac:dyDescent="0.3">
      <c r="I32461" s="101"/>
    </row>
    <row r="32462" spans="9:9" x14ac:dyDescent="0.3">
      <c r="I32462" s="101"/>
    </row>
    <row r="32463" spans="9:9" x14ac:dyDescent="0.3">
      <c r="I32463" s="101"/>
    </row>
    <row r="32464" spans="9:9" x14ac:dyDescent="0.3">
      <c r="I32464" s="101"/>
    </row>
    <row r="32465" spans="9:9" x14ac:dyDescent="0.3">
      <c r="I32465" s="101"/>
    </row>
    <row r="32466" spans="9:9" x14ac:dyDescent="0.3">
      <c r="I32466" s="101"/>
    </row>
    <row r="32467" spans="9:9" x14ac:dyDescent="0.3">
      <c r="I32467" s="101"/>
    </row>
    <row r="32468" spans="9:9" x14ac:dyDescent="0.3">
      <c r="I32468" s="101"/>
    </row>
    <row r="32469" spans="9:9" x14ac:dyDescent="0.3">
      <c r="I32469" s="101"/>
    </row>
    <row r="32470" spans="9:9" x14ac:dyDescent="0.3">
      <c r="I32470" s="101"/>
    </row>
    <row r="32471" spans="9:9" x14ac:dyDescent="0.3">
      <c r="I32471" s="101"/>
    </row>
    <row r="32472" spans="9:9" x14ac:dyDescent="0.3">
      <c r="I32472" s="101"/>
    </row>
    <row r="32473" spans="9:9" x14ac:dyDescent="0.3">
      <c r="I32473" s="101"/>
    </row>
    <row r="32474" spans="9:9" x14ac:dyDescent="0.3">
      <c r="I32474" s="101"/>
    </row>
    <row r="32475" spans="9:9" x14ac:dyDescent="0.3">
      <c r="I32475" s="101"/>
    </row>
    <row r="32476" spans="9:9" x14ac:dyDescent="0.3">
      <c r="I32476" s="101"/>
    </row>
    <row r="32477" spans="9:9" x14ac:dyDescent="0.3">
      <c r="I32477" s="101"/>
    </row>
    <row r="32478" spans="9:9" x14ac:dyDescent="0.3">
      <c r="I32478" s="101"/>
    </row>
    <row r="32479" spans="9:9" x14ac:dyDescent="0.3">
      <c r="I32479" s="101"/>
    </row>
    <row r="32480" spans="9:9" x14ac:dyDescent="0.3">
      <c r="I32480" s="101"/>
    </row>
    <row r="32481" spans="9:9" x14ac:dyDescent="0.3">
      <c r="I32481" s="101"/>
    </row>
    <row r="32482" spans="9:9" x14ac:dyDescent="0.3">
      <c r="I32482" s="101"/>
    </row>
    <row r="32483" spans="9:9" x14ac:dyDescent="0.3">
      <c r="I32483" s="101"/>
    </row>
    <row r="32484" spans="9:9" x14ac:dyDescent="0.3">
      <c r="I32484" s="101"/>
    </row>
    <row r="32485" spans="9:9" x14ac:dyDescent="0.3">
      <c r="I32485" s="101"/>
    </row>
    <row r="32486" spans="9:9" x14ac:dyDescent="0.3">
      <c r="I32486" s="101"/>
    </row>
    <row r="32487" spans="9:9" x14ac:dyDescent="0.3">
      <c r="I32487" s="101"/>
    </row>
    <row r="32488" spans="9:9" x14ac:dyDescent="0.3">
      <c r="I32488" s="101"/>
    </row>
    <row r="32489" spans="9:9" x14ac:dyDescent="0.3">
      <c r="I32489" s="101"/>
    </row>
    <row r="32490" spans="9:9" x14ac:dyDescent="0.3">
      <c r="I32490" s="101"/>
    </row>
    <row r="32491" spans="9:9" x14ac:dyDescent="0.3">
      <c r="I32491" s="101"/>
    </row>
    <row r="32492" spans="9:9" x14ac:dyDescent="0.3">
      <c r="I32492" s="101"/>
    </row>
    <row r="32493" spans="9:9" x14ac:dyDescent="0.3">
      <c r="I32493" s="101"/>
    </row>
    <row r="32494" spans="9:9" x14ac:dyDescent="0.3">
      <c r="I32494" s="101"/>
    </row>
    <row r="32495" spans="9:9" x14ac:dyDescent="0.3">
      <c r="I32495" s="101"/>
    </row>
    <row r="32496" spans="9:9" x14ac:dyDescent="0.3">
      <c r="I32496" s="101"/>
    </row>
    <row r="32497" spans="9:9" x14ac:dyDescent="0.3">
      <c r="I32497" s="101"/>
    </row>
    <row r="32498" spans="9:9" x14ac:dyDescent="0.3">
      <c r="I32498" s="101"/>
    </row>
    <row r="32499" spans="9:9" x14ac:dyDescent="0.3">
      <c r="I32499" s="101"/>
    </row>
    <row r="32500" spans="9:9" x14ac:dyDescent="0.3">
      <c r="I32500" s="101"/>
    </row>
    <row r="32501" spans="9:9" x14ac:dyDescent="0.3">
      <c r="I32501" s="101"/>
    </row>
    <row r="32502" spans="9:9" x14ac:dyDescent="0.3">
      <c r="I32502" s="101"/>
    </row>
    <row r="32503" spans="9:9" x14ac:dyDescent="0.3">
      <c r="I32503" s="101"/>
    </row>
    <row r="32504" spans="9:9" x14ac:dyDescent="0.3">
      <c r="I32504" s="101"/>
    </row>
    <row r="32505" spans="9:9" x14ac:dyDescent="0.3">
      <c r="I32505" s="101"/>
    </row>
    <row r="32506" spans="9:9" x14ac:dyDescent="0.3">
      <c r="I32506" s="101"/>
    </row>
    <row r="32507" spans="9:9" x14ac:dyDescent="0.3">
      <c r="I32507" s="101"/>
    </row>
    <row r="32508" spans="9:9" x14ac:dyDescent="0.3">
      <c r="I32508" s="101"/>
    </row>
    <row r="32509" spans="9:9" x14ac:dyDescent="0.3">
      <c r="I32509" s="101"/>
    </row>
    <row r="32510" spans="9:9" x14ac:dyDescent="0.3">
      <c r="I32510" s="101"/>
    </row>
    <row r="32511" spans="9:9" x14ac:dyDescent="0.3">
      <c r="I32511" s="101"/>
    </row>
    <row r="32512" spans="9:9" x14ac:dyDescent="0.3">
      <c r="I32512" s="101"/>
    </row>
    <row r="32513" spans="9:9" x14ac:dyDescent="0.3">
      <c r="I32513" s="101"/>
    </row>
    <row r="32514" spans="9:9" x14ac:dyDescent="0.3">
      <c r="I32514" s="101"/>
    </row>
    <row r="32515" spans="9:9" x14ac:dyDescent="0.3">
      <c r="I32515" s="101"/>
    </row>
    <row r="32516" spans="9:9" x14ac:dyDescent="0.3">
      <c r="I32516" s="101"/>
    </row>
    <row r="32517" spans="9:9" x14ac:dyDescent="0.3">
      <c r="I32517" s="101"/>
    </row>
    <row r="32518" spans="9:9" x14ac:dyDescent="0.3">
      <c r="I32518" s="101"/>
    </row>
    <row r="32519" spans="9:9" x14ac:dyDescent="0.3">
      <c r="I32519" s="101"/>
    </row>
    <row r="32520" spans="9:9" x14ac:dyDescent="0.3">
      <c r="I32520" s="101"/>
    </row>
    <row r="32521" spans="9:9" x14ac:dyDescent="0.3">
      <c r="I32521" s="101"/>
    </row>
    <row r="32522" spans="9:9" x14ac:dyDescent="0.3">
      <c r="I32522" s="101"/>
    </row>
    <row r="32523" spans="9:9" x14ac:dyDescent="0.3">
      <c r="I32523" s="101"/>
    </row>
    <row r="32524" spans="9:9" x14ac:dyDescent="0.3">
      <c r="I32524" s="101"/>
    </row>
    <row r="32525" spans="9:9" x14ac:dyDescent="0.3">
      <c r="I32525" s="101"/>
    </row>
    <row r="32526" spans="9:9" x14ac:dyDescent="0.3">
      <c r="I32526" s="101"/>
    </row>
    <row r="32527" spans="9:9" x14ac:dyDescent="0.3">
      <c r="I32527" s="101"/>
    </row>
    <row r="32528" spans="9:9" x14ac:dyDescent="0.3">
      <c r="I32528" s="101"/>
    </row>
    <row r="32529" spans="9:9" x14ac:dyDescent="0.3">
      <c r="I32529" s="101"/>
    </row>
    <row r="32530" spans="9:9" x14ac:dyDescent="0.3">
      <c r="I32530" s="101"/>
    </row>
    <row r="32531" spans="9:9" x14ac:dyDescent="0.3">
      <c r="I32531" s="101"/>
    </row>
    <row r="32532" spans="9:9" x14ac:dyDescent="0.3">
      <c r="I32532" s="101"/>
    </row>
    <row r="32533" spans="9:9" x14ac:dyDescent="0.3">
      <c r="I32533" s="101"/>
    </row>
    <row r="32534" spans="9:9" x14ac:dyDescent="0.3">
      <c r="I32534" s="101"/>
    </row>
    <row r="32535" spans="9:9" x14ac:dyDescent="0.3">
      <c r="I32535" s="101"/>
    </row>
    <row r="32536" spans="9:9" x14ac:dyDescent="0.3">
      <c r="I32536" s="101"/>
    </row>
    <row r="32537" spans="9:9" x14ac:dyDescent="0.3">
      <c r="I32537" s="101"/>
    </row>
    <row r="32538" spans="9:9" x14ac:dyDescent="0.3">
      <c r="I32538" s="101"/>
    </row>
    <row r="32539" spans="9:9" x14ac:dyDescent="0.3">
      <c r="I32539" s="101"/>
    </row>
    <row r="32540" spans="9:9" x14ac:dyDescent="0.3">
      <c r="I32540" s="101"/>
    </row>
    <row r="32541" spans="9:9" x14ac:dyDescent="0.3">
      <c r="I32541" s="101"/>
    </row>
    <row r="32542" spans="9:9" x14ac:dyDescent="0.3">
      <c r="I32542" s="101"/>
    </row>
    <row r="32543" spans="9:9" x14ac:dyDescent="0.3">
      <c r="I32543" s="101"/>
    </row>
    <row r="32544" spans="9:9" x14ac:dyDescent="0.3">
      <c r="I32544" s="101"/>
    </row>
    <row r="32545" spans="9:9" x14ac:dyDescent="0.3">
      <c r="I32545" s="101"/>
    </row>
    <row r="32546" spans="9:9" x14ac:dyDescent="0.3">
      <c r="I32546" s="101"/>
    </row>
    <row r="32547" spans="9:9" x14ac:dyDescent="0.3">
      <c r="I32547" s="101"/>
    </row>
    <row r="32548" spans="9:9" x14ac:dyDescent="0.3">
      <c r="I32548" s="101"/>
    </row>
    <row r="32549" spans="9:9" x14ac:dyDescent="0.3">
      <c r="I32549" s="101"/>
    </row>
    <row r="32550" spans="9:9" x14ac:dyDescent="0.3">
      <c r="I32550" s="101"/>
    </row>
    <row r="32551" spans="9:9" x14ac:dyDescent="0.3">
      <c r="I32551" s="101"/>
    </row>
    <row r="32552" spans="9:9" x14ac:dyDescent="0.3">
      <c r="I32552" s="101"/>
    </row>
    <row r="32553" spans="9:9" x14ac:dyDescent="0.3">
      <c r="I32553" s="101"/>
    </row>
    <row r="32554" spans="9:9" x14ac:dyDescent="0.3">
      <c r="I32554" s="101"/>
    </row>
    <row r="32555" spans="9:9" x14ac:dyDescent="0.3">
      <c r="I32555" s="101"/>
    </row>
    <row r="32556" spans="9:9" x14ac:dyDescent="0.3">
      <c r="I32556" s="101"/>
    </row>
    <row r="32557" spans="9:9" x14ac:dyDescent="0.3">
      <c r="I32557" s="101"/>
    </row>
    <row r="32558" spans="9:9" x14ac:dyDescent="0.3">
      <c r="I32558" s="101"/>
    </row>
    <row r="32559" spans="9:9" x14ac:dyDescent="0.3">
      <c r="I32559" s="101"/>
    </row>
    <row r="32560" spans="9:9" x14ac:dyDescent="0.3">
      <c r="I32560" s="101"/>
    </row>
    <row r="32561" spans="9:9" x14ac:dyDescent="0.3">
      <c r="I32561" s="101"/>
    </row>
    <row r="32562" spans="9:9" x14ac:dyDescent="0.3">
      <c r="I32562" s="101"/>
    </row>
    <row r="32563" spans="9:9" x14ac:dyDescent="0.3">
      <c r="I32563" s="101"/>
    </row>
    <row r="32564" spans="9:9" x14ac:dyDescent="0.3">
      <c r="I32564" s="101"/>
    </row>
    <row r="32565" spans="9:9" x14ac:dyDescent="0.3">
      <c r="I32565" s="101"/>
    </row>
    <row r="32566" spans="9:9" x14ac:dyDescent="0.3">
      <c r="I32566" s="101"/>
    </row>
    <row r="32567" spans="9:9" x14ac:dyDescent="0.3">
      <c r="I32567" s="101"/>
    </row>
    <row r="32568" spans="9:9" x14ac:dyDescent="0.3">
      <c r="I32568" s="101"/>
    </row>
    <row r="32569" spans="9:9" x14ac:dyDescent="0.3">
      <c r="I32569" s="101"/>
    </row>
    <row r="32570" spans="9:9" x14ac:dyDescent="0.3">
      <c r="I32570" s="101"/>
    </row>
    <row r="32571" spans="9:9" x14ac:dyDescent="0.3">
      <c r="I32571" s="101"/>
    </row>
    <row r="32572" spans="9:9" x14ac:dyDescent="0.3">
      <c r="I32572" s="101"/>
    </row>
    <row r="32573" spans="9:9" x14ac:dyDescent="0.3">
      <c r="I32573" s="101"/>
    </row>
    <row r="32574" spans="9:9" x14ac:dyDescent="0.3">
      <c r="I32574" s="101"/>
    </row>
    <row r="32575" spans="9:9" x14ac:dyDescent="0.3">
      <c r="I32575" s="101"/>
    </row>
    <row r="32576" spans="9:9" x14ac:dyDescent="0.3">
      <c r="I32576" s="101"/>
    </row>
    <row r="32577" spans="9:9" x14ac:dyDescent="0.3">
      <c r="I32577" s="101"/>
    </row>
    <row r="32578" spans="9:9" x14ac:dyDescent="0.3">
      <c r="I32578" s="101"/>
    </row>
    <row r="32579" spans="9:9" x14ac:dyDescent="0.3">
      <c r="I32579" s="101"/>
    </row>
    <row r="32580" spans="9:9" x14ac:dyDescent="0.3">
      <c r="I32580" s="101"/>
    </row>
    <row r="32581" spans="9:9" x14ac:dyDescent="0.3">
      <c r="I32581" s="101"/>
    </row>
    <row r="32582" spans="9:9" x14ac:dyDescent="0.3">
      <c r="I32582" s="101"/>
    </row>
    <row r="32583" spans="9:9" x14ac:dyDescent="0.3">
      <c r="I32583" s="101"/>
    </row>
    <row r="32584" spans="9:9" x14ac:dyDescent="0.3">
      <c r="I32584" s="101"/>
    </row>
    <row r="32585" spans="9:9" x14ac:dyDescent="0.3">
      <c r="I32585" s="101"/>
    </row>
    <row r="32586" spans="9:9" x14ac:dyDescent="0.3">
      <c r="I32586" s="101"/>
    </row>
    <row r="32587" spans="9:9" x14ac:dyDescent="0.3">
      <c r="I32587" s="101"/>
    </row>
    <row r="32588" spans="9:9" x14ac:dyDescent="0.3">
      <c r="I32588" s="101"/>
    </row>
    <row r="32589" spans="9:9" x14ac:dyDescent="0.3">
      <c r="I32589" s="101"/>
    </row>
    <row r="32590" spans="9:9" x14ac:dyDescent="0.3">
      <c r="I32590" s="101"/>
    </row>
    <row r="32591" spans="9:9" x14ac:dyDescent="0.3">
      <c r="I32591" s="101"/>
    </row>
    <row r="32592" spans="9:9" x14ac:dyDescent="0.3">
      <c r="I32592" s="101"/>
    </row>
    <row r="32593" spans="9:9" x14ac:dyDescent="0.3">
      <c r="I32593" s="101"/>
    </row>
    <row r="32594" spans="9:9" x14ac:dyDescent="0.3">
      <c r="I32594" s="101"/>
    </row>
    <row r="32595" spans="9:9" x14ac:dyDescent="0.3">
      <c r="I32595" s="101"/>
    </row>
    <row r="32596" spans="9:9" x14ac:dyDescent="0.3">
      <c r="I32596" s="101"/>
    </row>
    <row r="32597" spans="9:9" x14ac:dyDescent="0.3">
      <c r="I32597" s="101"/>
    </row>
    <row r="32598" spans="9:9" x14ac:dyDescent="0.3">
      <c r="I32598" s="101"/>
    </row>
    <row r="32599" spans="9:9" x14ac:dyDescent="0.3">
      <c r="I32599" s="101"/>
    </row>
    <row r="32600" spans="9:9" x14ac:dyDescent="0.3">
      <c r="I32600" s="101"/>
    </row>
    <row r="32601" spans="9:9" x14ac:dyDescent="0.3">
      <c r="I32601" s="101"/>
    </row>
    <row r="32602" spans="9:9" x14ac:dyDescent="0.3">
      <c r="I32602" s="101"/>
    </row>
    <row r="32603" spans="9:9" x14ac:dyDescent="0.3">
      <c r="I32603" s="101"/>
    </row>
    <row r="32604" spans="9:9" x14ac:dyDescent="0.3">
      <c r="I32604" s="101"/>
    </row>
    <row r="32605" spans="9:9" x14ac:dyDescent="0.3">
      <c r="I32605" s="101"/>
    </row>
    <row r="32606" spans="9:9" x14ac:dyDescent="0.3">
      <c r="I32606" s="101"/>
    </row>
    <row r="32607" spans="9:9" x14ac:dyDescent="0.3">
      <c r="I32607" s="101"/>
    </row>
    <row r="32608" spans="9:9" x14ac:dyDescent="0.3">
      <c r="I32608" s="101"/>
    </row>
    <row r="32609" spans="9:9" x14ac:dyDescent="0.3">
      <c r="I32609" s="101"/>
    </row>
    <row r="32610" spans="9:9" x14ac:dyDescent="0.3">
      <c r="I32610" s="101"/>
    </row>
    <row r="32611" spans="9:9" x14ac:dyDescent="0.3">
      <c r="I32611" s="101"/>
    </row>
    <row r="32612" spans="9:9" x14ac:dyDescent="0.3">
      <c r="I32612" s="101"/>
    </row>
    <row r="32613" spans="9:9" x14ac:dyDescent="0.3">
      <c r="I32613" s="101"/>
    </row>
    <row r="32614" spans="9:9" x14ac:dyDescent="0.3">
      <c r="I32614" s="101"/>
    </row>
    <row r="32615" spans="9:9" x14ac:dyDescent="0.3">
      <c r="I32615" s="101"/>
    </row>
    <row r="32616" spans="9:9" x14ac:dyDescent="0.3">
      <c r="I32616" s="101"/>
    </row>
    <row r="32617" spans="9:9" x14ac:dyDescent="0.3">
      <c r="I32617" s="101"/>
    </row>
    <row r="32618" spans="9:9" x14ac:dyDescent="0.3">
      <c r="I32618" s="101"/>
    </row>
    <row r="32619" spans="9:9" x14ac:dyDescent="0.3">
      <c r="I32619" s="101"/>
    </row>
    <row r="32620" spans="9:9" x14ac:dyDescent="0.3">
      <c r="I32620" s="101"/>
    </row>
    <row r="32621" spans="9:9" x14ac:dyDescent="0.3">
      <c r="I32621" s="101"/>
    </row>
    <row r="32622" spans="9:9" x14ac:dyDescent="0.3">
      <c r="I32622" s="101"/>
    </row>
    <row r="32623" spans="9:9" x14ac:dyDescent="0.3">
      <c r="I32623" s="101"/>
    </row>
    <row r="32624" spans="9:9" x14ac:dyDescent="0.3">
      <c r="I32624" s="101"/>
    </row>
    <row r="32625" spans="9:9" x14ac:dyDescent="0.3">
      <c r="I32625" s="101"/>
    </row>
    <row r="32626" spans="9:9" x14ac:dyDescent="0.3">
      <c r="I32626" s="101"/>
    </row>
    <row r="32627" spans="9:9" x14ac:dyDescent="0.3">
      <c r="I32627" s="101"/>
    </row>
    <row r="32628" spans="9:9" x14ac:dyDescent="0.3">
      <c r="I32628" s="101"/>
    </row>
    <row r="32629" spans="9:9" x14ac:dyDescent="0.3">
      <c r="I32629" s="101"/>
    </row>
    <row r="32630" spans="9:9" x14ac:dyDescent="0.3">
      <c r="I32630" s="101"/>
    </row>
    <row r="32631" spans="9:9" x14ac:dyDescent="0.3">
      <c r="I32631" s="101"/>
    </row>
    <row r="32632" spans="9:9" x14ac:dyDescent="0.3">
      <c r="I32632" s="101"/>
    </row>
    <row r="32633" spans="9:9" x14ac:dyDescent="0.3">
      <c r="I32633" s="101"/>
    </row>
    <row r="32634" spans="9:9" x14ac:dyDescent="0.3">
      <c r="I32634" s="101"/>
    </row>
    <row r="32635" spans="9:9" x14ac:dyDescent="0.3">
      <c r="I32635" s="101"/>
    </row>
    <row r="32636" spans="9:9" x14ac:dyDescent="0.3">
      <c r="I32636" s="101"/>
    </row>
    <row r="32637" spans="9:9" x14ac:dyDescent="0.3">
      <c r="I32637" s="101"/>
    </row>
    <row r="32638" spans="9:9" x14ac:dyDescent="0.3">
      <c r="I32638" s="101"/>
    </row>
    <row r="32639" spans="9:9" x14ac:dyDescent="0.3">
      <c r="I32639" s="101"/>
    </row>
    <row r="32640" spans="9:9" x14ac:dyDescent="0.3">
      <c r="I32640" s="101"/>
    </row>
    <row r="32641" spans="9:9" x14ac:dyDescent="0.3">
      <c r="I32641" s="101"/>
    </row>
    <row r="32642" spans="9:9" x14ac:dyDescent="0.3">
      <c r="I32642" s="101"/>
    </row>
    <row r="32643" spans="9:9" x14ac:dyDescent="0.3">
      <c r="I32643" s="101"/>
    </row>
    <row r="32644" spans="9:9" x14ac:dyDescent="0.3">
      <c r="I32644" s="101"/>
    </row>
    <row r="32645" spans="9:9" x14ac:dyDescent="0.3">
      <c r="I32645" s="101"/>
    </row>
    <row r="32646" spans="9:9" x14ac:dyDescent="0.3">
      <c r="I32646" s="101"/>
    </row>
    <row r="32647" spans="9:9" x14ac:dyDescent="0.3">
      <c r="I32647" s="101"/>
    </row>
    <row r="32648" spans="9:9" x14ac:dyDescent="0.3">
      <c r="I32648" s="101"/>
    </row>
    <row r="32649" spans="9:9" x14ac:dyDescent="0.3">
      <c r="I32649" s="101"/>
    </row>
    <row r="32650" spans="9:9" x14ac:dyDescent="0.3">
      <c r="I32650" s="101"/>
    </row>
    <row r="32651" spans="9:9" x14ac:dyDescent="0.3">
      <c r="I32651" s="101"/>
    </row>
    <row r="32652" spans="9:9" x14ac:dyDescent="0.3">
      <c r="I32652" s="101"/>
    </row>
    <row r="32653" spans="9:9" x14ac:dyDescent="0.3">
      <c r="I32653" s="101"/>
    </row>
    <row r="32654" spans="9:9" x14ac:dyDescent="0.3">
      <c r="I32654" s="101"/>
    </row>
    <row r="32655" spans="9:9" x14ac:dyDescent="0.3">
      <c r="I32655" s="101"/>
    </row>
    <row r="32656" spans="9:9" x14ac:dyDescent="0.3">
      <c r="I32656" s="101"/>
    </row>
    <row r="32657" spans="9:9" x14ac:dyDescent="0.3">
      <c r="I32657" s="101"/>
    </row>
    <row r="32658" spans="9:9" x14ac:dyDescent="0.3">
      <c r="I32658" s="101"/>
    </row>
    <row r="32659" spans="9:9" x14ac:dyDescent="0.3">
      <c r="I32659" s="101"/>
    </row>
    <row r="32660" spans="9:9" x14ac:dyDescent="0.3">
      <c r="I32660" s="101"/>
    </row>
    <row r="32661" spans="9:9" x14ac:dyDescent="0.3">
      <c r="I32661" s="101"/>
    </row>
    <row r="32662" spans="9:9" x14ac:dyDescent="0.3">
      <c r="I32662" s="101"/>
    </row>
    <row r="32663" spans="9:9" x14ac:dyDescent="0.3">
      <c r="I32663" s="101"/>
    </row>
    <row r="32664" spans="9:9" x14ac:dyDescent="0.3">
      <c r="I32664" s="101"/>
    </row>
    <row r="32665" spans="9:9" x14ac:dyDescent="0.3">
      <c r="I32665" s="101"/>
    </row>
    <row r="32666" spans="9:9" x14ac:dyDescent="0.3">
      <c r="I32666" s="101"/>
    </row>
    <row r="32667" spans="9:9" x14ac:dyDescent="0.3">
      <c r="I32667" s="101"/>
    </row>
    <row r="32668" spans="9:9" x14ac:dyDescent="0.3">
      <c r="I32668" s="101"/>
    </row>
    <row r="32669" spans="9:9" x14ac:dyDescent="0.3">
      <c r="I32669" s="101"/>
    </row>
    <row r="32670" spans="9:9" x14ac:dyDescent="0.3">
      <c r="I32670" s="101"/>
    </row>
    <row r="32671" spans="9:9" x14ac:dyDescent="0.3">
      <c r="I32671" s="101"/>
    </row>
    <row r="32672" spans="9:9" x14ac:dyDescent="0.3">
      <c r="I32672" s="101"/>
    </row>
    <row r="32673" spans="9:9" x14ac:dyDescent="0.3">
      <c r="I32673" s="101"/>
    </row>
    <row r="32674" spans="9:9" x14ac:dyDescent="0.3">
      <c r="I32674" s="101"/>
    </row>
    <row r="32675" spans="9:9" x14ac:dyDescent="0.3">
      <c r="I32675" s="101"/>
    </row>
    <row r="32676" spans="9:9" x14ac:dyDescent="0.3">
      <c r="I32676" s="101"/>
    </row>
    <row r="32677" spans="9:9" x14ac:dyDescent="0.3">
      <c r="I32677" s="101"/>
    </row>
    <row r="32678" spans="9:9" x14ac:dyDescent="0.3">
      <c r="I32678" s="101"/>
    </row>
    <row r="32679" spans="9:9" x14ac:dyDescent="0.3">
      <c r="I32679" s="101"/>
    </row>
    <row r="32680" spans="9:9" x14ac:dyDescent="0.3">
      <c r="I32680" s="101"/>
    </row>
    <row r="32681" spans="9:9" x14ac:dyDescent="0.3">
      <c r="I32681" s="101"/>
    </row>
    <row r="32682" spans="9:9" x14ac:dyDescent="0.3">
      <c r="I32682" s="101"/>
    </row>
    <row r="32683" spans="9:9" x14ac:dyDescent="0.3">
      <c r="I32683" s="101"/>
    </row>
    <row r="32684" spans="9:9" x14ac:dyDescent="0.3">
      <c r="I32684" s="101"/>
    </row>
    <row r="32685" spans="9:9" x14ac:dyDescent="0.3">
      <c r="I32685" s="101"/>
    </row>
    <row r="32686" spans="9:9" x14ac:dyDescent="0.3">
      <c r="I32686" s="101"/>
    </row>
    <row r="32687" spans="9:9" x14ac:dyDescent="0.3">
      <c r="I32687" s="101"/>
    </row>
    <row r="32688" spans="9:9" x14ac:dyDescent="0.3">
      <c r="I32688" s="101"/>
    </row>
    <row r="32689" spans="9:9" x14ac:dyDescent="0.3">
      <c r="I32689" s="101"/>
    </row>
    <row r="32690" spans="9:9" x14ac:dyDescent="0.3">
      <c r="I32690" s="101"/>
    </row>
    <row r="32691" spans="9:9" x14ac:dyDescent="0.3">
      <c r="I32691" s="101"/>
    </row>
    <row r="32692" spans="9:9" x14ac:dyDescent="0.3">
      <c r="I32692" s="101"/>
    </row>
    <row r="32693" spans="9:9" x14ac:dyDescent="0.3">
      <c r="I32693" s="101"/>
    </row>
    <row r="32694" spans="9:9" x14ac:dyDescent="0.3">
      <c r="I32694" s="101"/>
    </row>
    <row r="32695" spans="9:9" x14ac:dyDescent="0.3">
      <c r="I32695" s="101"/>
    </row>
    <row r="32696" spans="9:9" x14ac:dyDescent="0.3">
      <c r="I32696" s="101"/>
    </row>
    <row r="32697" spans="9:9" x14ac:dyDescent="0.3">
      <c r="I32697" s="101"/>
    </row>
    <row r="32698" spans="9:9" x14ac:dyDescent="0.3">
      <c r="I32698" s="101"/>
    </row>
    <row r="32699" spans="9:9" x14ac:dyDescent="0.3">
      <c r="I32699" s="101"/>
    </row>
    <row r="32700" spans="9:9" x14ac:dyDescent="0.3">
      <c r="I32700" s="101"/>
    </row>
    <row r="32701" spans="9:9" x14ac:dyDescent="0.3">
      <c r="I32701" s="101"/>
    </row>
    <row r="32702" spans="9:9" x14ac:dyDescent="0.3">
      <c r="I32702" s="101"/>
    </row>
    <row r="32703" spans="9:9" x14ac:dyDescent="0.3">
      <c r="I32703" s="101"/>
    </row>
    <row r="32704" spans="9:9" x14ac:dyDescent="0.3">
      <c r="I32704" s="101"/>
    </row>
    <row r="32705" spans="9:9" x14ac:dyDescent="0.3">
      <c r="I32705" s="101"/>
    </row>
    <row r="32706" spans="9:9" x14ac:dyDescent="0.3">
      <c r="I32706" s="101"/>
    </row>
    <row r="32707" spans="9:9" x14ac:dyDescent="0.3">
      <c r="I32707" s="101"/>
    </row>
    <row r="32708" spans="9:9" x14ac:dyDescent="0.3">
      <c r="I32708" s="101"/>
    </row>
    <row r="32709" spans="9:9" x14ac:dyDescent="0.3">
      <c r="I32709" s="101"/>
    </row>
    <row r="32710" spans="9:9" x14ac:dyDescent="0.3">
      <c r="I32710" s="101"/>
    </row>
    <row r="32711" spans="9:9" x14ac:dyDescent="0.3">
      <c r="I32711" s="101"/>
    </row>
    <row r="32712" spans="9:9" x14ac:dyDescent="0.3">
      <c r="I32712" s="101"/>
    </row>
    <row r="32713" spans="9:9" x14ac:dyDescent="0.3">
      <c r="I32713" s="101"/>
    </row>
    <row r="32714" spans="9:9" x14ac:dyDescent="0.3">
      <c r="I32714" s="101"/>
    </row>
    <row r="32715" spans="9:9" x14ac:dyDescent="0.3">
      <c r="I32715" s="101"/>
    </row>
    <row r="32716" spans="9:9" x14ac:dyDescent="0.3">
      <c r="I32716" s="101"/>
    </row>
    <row r="32717" spans="9:9" x14ac:dyDescent="0.3">
      <c r="I32717" s="101"/>
    </row>
    <row r="32718" spans="9:9" x14ac:dyDescent="0.3">
      <c r="I32718" s="101"/>
    </row>
    <row r="32719" spans="9:9" x14ac:dyDescent="0.3">
      <c r="I32719" s="101"/>
    </row>
    <row r="32720" spans="9:9" x14ac:dyDescent="0.3">
      <c r="I32720" s="101"/>
    </row>
    <row r="32721" spans="9:9" x14ac:dyDescent="0.3">
      <c r="I32721" s="101"/>
    </row>
    <row r="32722" spans="9:9" x14ac:dyDescent="0.3">
      <c r="I32722" s="101"/>
    </row>
    <row r="32723" spans="9:9" x14ac:dyDescent="0.3">
      <c r="I32723" s="101"/>
    </row>
    <row r="32724" spans="9:9" x14ac:dyDescent="0.3">
      <c r="I32724" s="101"/>
    </row>
    <row r="32725" spans="9:9" x14ac:dyDescent="0.3">
      <c r="I32725" s="101"/>
    </row>
    <row r="32726" spans="9:9" x14ac:dyDescent="0.3">
      <c r="I32726" s="101"/>
    </row>
    <row r="32727" spans="9:9" x14ac:dyDescent="0.3">
      <c r="I32727" s="101"/>
    </row>
    <row r="32728" spans="9:9" x14ac:dyDescent="0.3">
      <c r="I32728" s="101"/>
    </row>
    <row r="32729" spans="9:9" x14ac:dyDescent="0.3">
      <c r="I32729" s="101"/>
    </row>
    <row r="32730" spans="9:9" x14ac:dyDescent="0.3">
      <c r="I32730" s="101"/>
    </row>
    <row r="32731" spans="9:9" x14ac:dyDescent="0.3">
      <c r="I32731" s="101"/>
    </row>
    <row r="32732" spans="9:9" x14ac:dyDescent="0.3">
      <c r="I32732" s="101"/>
    </row>
    <row r="32733" spans="9:9" x14ac:dyDescent="0.3">
      <c r="I32733" s="101"/>
    </row>
    <row r="32734" spans="9:9" x14ac:dyDescent="0.3">
      <c r="I32734" s="101"/>
    </row>
    <row r="32735" spans="9:9" x14ac:dyDescent="0.3">
      <c r="I32735" s="101"/>
    </row>
    <row r="32736" spans="9:9" x14ac:dyDescent="0.3">
      <c r="I32736" s="101"/>
    </row>
    <row r="32737" spans="9:9" x14ac:dyDescent="0.3">
      <c r="I32737" s="101"/>
    </row>
    <row r="32738" spans="9:9" x14ac:dyDescent="0.3">
      <c r="I32738" s="101"/>
    </row>
    <row r="32739" spans="9:9" x14ac:dyDescent="0.3">
      <c r="I32739" s="101"/>
    </row>
    <row r="32740" spans="9:9" x14ac:dyDescent="0.3">
      <c r="I32740" s="101"/>
    </row>
    <row r="32741" spans="9:9" x14ac:dyDescent="0.3">
      <c r="I32741" s="101"/>
    </row>
    <row r="32742" spans="9:9" x14ac:dyDescent="0.3">
      <c r="I32742" s="101"/>
    </row>
    <row r="32743" spans="9:9" x14ac:dyDescent="0.3">
      <c r="I32743" s="101"/>
    </row>
    <row r="32744" spans="9:9" x14ac:dyDescent="0.3">
      <c r="I32744" s="101"/>
    </row>
    <row r="32745" spans="9:9" x14ac:dyDescent="0.3">
      <c r="I32745" s="101"/>
    </row>
    <row r="32746" spans="9:9" x14ac:dyDescent="0.3">
      <c r="I32746" s="101"/>
    </row>
    <row r="32747" spans="9:9" x14ac:dyDescent="0.3">
      <c r="I32747" s="101"/>
    </row>
    <row r="32748" spans="9:9" x14ac:dyDescent="0.3">
      <c r="I32748" s="101"/>
    </row>
    <row r="32749" spans="9:9" x14ac:dyDescent="0.3">
      <c r="I32749" s="101"/>
    </row>
    <row r="32750" spans="9:9" x14ac:dyDescent="0.3">
      <c r="I32750" s="101"/>
    </row>
    <row r="32751" spans="9:9" x14ac:dyDescent="0.3">
      <c r="I32751" s="101"/>
    </row>
    <row r="32752" spans="9:9" x14ac:dyDescent="0.3">
      <c r="I32752" s="101"/>
    </row>
    <row r="32753" spans="9:9" x14ac:dyDescent="0.3">
      <c r="I32753" s="101"/>
    </row>
    <row r="32754" spans="9:9" x14ac:dyDescent="0.3">
      <c r="I32754" s="101"/>
    </row>
    <row r="32755" spans="9:9" x14ac:dyDescent="0.3">
      <c r="I32755" s="101"/>
    </row>
    <row r="32756" spans="9:9" x14ac:dyDescent="0.3">
      <c r="I32756" s="101"/>
    </row>
    <row r="32757" spans="9:9" x14ac:dyDescent="0.3">
      <c r="I32757" s="101"/>
    </row>
    <row r="32758" spans="9:9" x14ac:dyDescent="0.3">
      <c r="I32758" s="101"/>
    </row>
    <row r="32759" spans="9:9" x14ac:dyDescent="0.3">
      <c r="I32759" s="101"/>
    </row>
    <row r="32760" spans="9:9" x14ac:dyDescent="0.3">
      <c r="I32760" s="101"/>
    </row>
    <row r="32761" spans="9:9" x14ac:dyDescent="0.3">
      <c r="I32761" s="101"/>
    </row>
    <row r="32762" spans="9:9" x14ac:dyDescent="0.3">
      <c r="I32762" s="101"/>
    </row>
    <row r="32763" spans="9:9" x14ac:dyDescent="0.3">
      <c r="I32763" s="101"/>
    </row>
    <row r="32764" spans="9:9" x14ac:dyDescent="0.3">
      <c r="I32764" s="101"/>
    </row>
    <row r="32765" spans="9:9" x14ac:dyDescent="0.3">
      <c r="I32765" s="101"/>
    </row>
    <row r="32766" spans="9:9" x14ac:dyDescent="0.3">
      <c r="I32766" s="101"/>
    </row>
    <row r="32767" spans="9:9" x14ac:dyDescent="0.3">
      <c r="I32767" s="101"/>
    </row>
    <row r="32768" spans="9:9" x14ac:dyDescent="0.3">
      <c r="I32768" s="101"/>
    </row>
    <row r="32769" spans="9:9" x14ac:dyDescent="0.3">
      <c r="I32769" s="101"/>
    </row>
    <row r="32770" spans="9:9" x14ac:dyDescent="0.3">
      <c r="I32770" s="101"/>
    </row>
    <row r="32771" spans="9:9" x14ac:dyDescent="0.3">
      <c r="I32771" s="101"/>
    </row>
    <row r="32772" spans="9:9" x14ac:dyDescent="0.3">
      <c r="I32772" s="101"/>
    </row>
    <row r="32773" spans="9:9" x14ac:dyDescent="0.3">
      <c r="I32773" s="101"/>
    </row>
    <row r="32774" spans="9:9" x14ac:dyDescent="0.3">
      <c r="I32774" s="101"/>
    </row>
    <row r="32775" spans="9:9" x14ac:dyDescent="0.3">
      <c r="I32775" s="101"/>
    </row>
    <row r="32776" spans="9:9" x14ac:dyDescent="0.3">
      <c r="I32776" s="101"/>
    </row>
    <row r="32777" spans="9:9" x14ac:dyDescent="0.3">
      <c r="I32777" s="101"/>
    </row>
    <row r="32778" spans="9:9" x14ac:dyDescent="0.3">
      <c r="I32778" s="101"/>
    </row>
    <row r="32779" spans="9:9" x14ac:dyDescent="0.3">
      <c r="I32779" s="101"/>
    </row>
    <row r="32780" spans="9:9" x14ac:dyDescent="0.3">
      <c r="I32780" s="101"/>
    </row>
    <row r="32781" spans="9:9" x14ac:dyDescent="0.3">
      <c r="I32781" s="101"/>
    </row>
    <row r="32782" spans="9:9" x14ac:dyDescent="0.3">
      <c r="I32782" s="101"/>
    </row>
    <row r="32783" spans="9:9" x14ac:dyDescent="0.3">
      <c r="I32783" s="101"/>
    </row>
    <row r="32784" spans="9:9" x14ac:dyDescent="0.3">
      <c r="I32784" s="101"/>
    </row>
    <row r="32785" spans="9:9" x14ac:dyDescent="0.3">
      <c r="I32785" s="101"/>
    </row>
    <row r="32786" spans="9:9" x14ac:dyDescent="0.3">
      <c r="I32786" s="101"/>
    </row>
    <row r="32787" spans="9:9" x14ac:dyDescent="0.3">
      <c r="I32787" s="101"/>
    </row>
    <row r="32788" spans="9:9" x14ac:dyDescent="0.3">
      <c r="I32788" s="101"/>
    </row>
    <row r="32789" spans="9:9" x14ac:dyDescent="0.3">
      <c r="I32789" s="101"/>
    </row>
    <row r="32790" spans="9:9" x14ac:dyDescent="0.3">
      <c r="I32790" s="101"/>
    </row>
    <row r="32791" spans="9:9" x14ac:dyDescent="0.3">
      <c r="I32791" s="101"/>
    </row>
    <row r="32792" spans="9:9" x14ac:dyDescent="0.3">
      <c r="I32792" s="101"/>
    </row>
    <row r="32793" spans="9:9" x14ac:dyDescent="0.3">
      <c r="I32793" s="101"/>
    </row>
    <row r="32794" spans="9:9" x14ac:dyDescent="0.3">
      <c r="I32794" s="101"/>
    </row>
    <row r="32795" spans="9:9" x14ac:dyDescent="0.3">
      <c r="I32795" s="101"/>
    </row>
    <row r="32796" spans="9:9" x14ac:dyDescent="0.3">
      <c r="I32796" s="101"/>
    </row>
    <row r="32797" spans="9:9" x14ac:dyDescent="0.3">
      <c r="I32797" s="101"/>
    </row>
    <row r="32798" spans="9:9" x14ac:dyDescent="0.3">
      <c r="I32798" s="101"/>
    </row>
    <row r="32799" spans="9:9" x14ac:dyDescent="0.3">
      <c r="I32799" s="101"/>
    </row>
    <row r="32800" spans="9:9" x14ac:dyDescent="0.3">
      <c r="I32800" s="101"/>
    </row>
    <row r="32801" spans="9:9" x14ac:dyDescent="0.3">
      <c r="I32801" s="101"/>
    </row>
    <row r="32802" spans="9:9" x14ac:dyDescent="0.3">
      <c r="I32802" s="101"/>
    </row>
    <row r="32803" spans="9:9" x14ac:dyDescent="0.3">
      <c r="I32803" s="101"/>
    </row>
    <row r="32804" spans="9:9" x14ac:dyDescent="0.3">
      <c r="I32804" s="101"/>
    </row>
    <row r="32805" spans="9:9" x14ac:dyDescent="0.3">
      <c r="I32805" s="101"/>
    </row>
    <row r="32806" spans="9:9" x14ac:dyDescent="0.3">
      <c r="I32806" s="101"/>
    </row>
    <row r="32807" spans="9:9" x14ac:dyDescent="0.3">
      <c r="I32807" s="101"/>
    </row>
    <row r="32808" spans="9:9" x14ac:dyDescent="0.3">
      <c r="I32808" s="101"/>
    </row>
    <row r="32809" spans="9:9" x14ac:dyDescent="0.3">
      <c r="I32809" s="101"/>
    </row>
    <row r="32810" spans="9:9" x14ac:dyDescent="0.3">
      <c r="I32810" s="101"/>
    </row>
    <row r="32811" spans="9:9" x14ac:dyDescent="0.3">
      <c r="I32811" s="101"/>
    </row>
    <row r="32812" spans="9:9" x14ac:dyDescent="0.3">
      <c r="I32812" s="101"/>
    </row>
    <row r="32813" spans="9:9" x14ac:dyDescent="0.3">
      <c r="I32813" s="101"/>
    </row>
    <row r="32814" spans="9:9" x14ac:dyDescent="0.3">
      <c r="I32814" s="101"/>
    </row>
    <row r="32815" spans="9:9" x14ac:dyDescent="0.3">
      <c r="I32815" s="101"/>
    </row>
    <row r="32816" spans="9:9" x14ac:dyDescent="0.3">
      <c r="I32816" s="101"/>
    </row>
    <row r="32817" spans="9:9" x14ac:dyDescent="0.3">
      <c r="I32817" s="101"/>
    </row>
    <row r="32818" spans="9:9" x14ac:dyDescent="0.3">
      <c r="I32818" s="101"/>
    </row>
    <row r="32819" spans="9:9" x14ac:dyDescent="0.3">
      <c r="I32819" s="101"/>
    </row>
    <row r="32820" spans="9:9" x14ac:dyDescent="0.3">
      <c r="I32820" s="101"/>
    </row>
    <row r="32821" spans="9:9" x14ac:dyDescent="0.3">
      <c r="I32821" s="101"/>
    </row>
    <row r="32822" spans="9:9" x14ac:dyDescent="0.3">
      <c r="I32822" s="101"/>
    </row>
    <row r="32823" spans="9:9" x14ac:dyDescent="0.3">
      <c r="I32823" s="101"/>
    </row>
    <row r="32824" spans="9:9" x14ac:dyDescent="0.3">
      <c r="I32824" s="101"/>
    </row>
    <row r="32825" spans="9:9" x14ac:dyDescent="0.3">
      <c r="I32825" s="101"/>
    </row>
    <row r="32826" spans="9:9" x14ac:dyDescent="0.3">
      <c r="I32826" s="101"/>
    </row>
    <row r="32827" spans="9:9" x14ac:dyDescent="0.3">
      <c r="I32827" s="101"/>
    </row>
    <row r="32828" spans="9:9" x14ac:dyDescent="0.3">
      <c r="I32828" s="101"/>
    </row>
    <row r="32829" spans="9:9" x14ac:dyDescent="0.3">
      <c r="I32829" s="101"/>
    </row>
    <row r="32830" spans="9:9" x14ac:dyDescent="0.3">
      <c r="I32830" s="101"/>
    </row>
    <row r="32831" spans="9:9" x14ac:dyDescent="0.3">
      <c r="I32831" s="101"/>
    </row>
    <row r="32832" spans="9:9" x14ac:dyDescent="0.3">
      <c r="I32832" s="101"/>
    </row>
    <row r="32833" spans="9:9" x14ac:dyDescent="0.3">
      <c r="I32833" s="101"/>
    </row>
    <row r="32834" spans="9:9" x14ac:dyDescent="0.3">
      <c r="I32834" s="101"/>
    </row>
    <row r="32835" spans="9:9" x14ac:dyDescent="0.3">
      <c r="I32835" s="101"/>
    </row>
    <row r="32836" spans="9:9" x14ac:dyDescent="0.3">
      <c r="I32836" s="101"/>
    </row>
    <row r="32837" spans="9:9" x14ac:dyDescent="0.3">
      <c r="I32837" s="101"/>
    </row>
    <row r="32838" spans="9:9" x14ac:dyDescent="0.3">
      <c r="I32838" s="101"/>
    </row>
    <row r="32839" spans="9:9" x14ac:dyDescent="0.3">
      <c r="I32839" s="101"/>
    </row>
    <row r="32840" spans="9:9" x14ac:dyDescent="0.3">
      <c r="I32840" s="101"/>
    </row>
    <row r="32841" spans="9:9" x14ac:dyDescent="0.3">
      <c r="I32841" s="101"/>
    </row>
    <row r="32842" spans="9:9" x14ac:dyDescent="0.3">
      <c r="I32842" s="101"/>
    </row>
    <row r="32843" spans="9:9" x14ac:dyDescent="0.3">
      <c r="I32843" s="101"/>
    </row>
    <row r="32844" spans="9:9" x14ac:dyDescent="0.3">
      <c r="I32844" s="101"/>
    </row>
    <row r="32845" spans="9:9" x14ac:dyDescent="0.3">
      <c r="I32845" s="101"/>
    </row>
    <row r="32846" spans="9:9" x14ac:dyDescent="0.3">
      <c r="I32846" s="101"/>
    </row>
    <row r="32847" spans="9:9" x14ac:dyDescent="0.3">
      <c r="I32847" s="101"/>
    </row>
    <row r="32848" spans="9:9" x14ac:dyDescent="0.3">
      <c r="I32848" s="101"/>
    </row>
    <row r="32849" spans="9:9" x14ac:dyDescent="0.3">
      <c r="I32849" s="101"/>
    </row>
    <row r="32850" spans="9:9" x14ac:dyDescent="0.3">
      <c r="I32850" s="101"/>
    </row>
    <row r="32851" spans="9:9" x14ac:dyDescent="0.3">
      <c r="I32851" s="101"/>
    </row>
    <row r="32852" spans="9:9" x14ac:dyDescent="0.3">
      <c r="I32852" s="101"/>
    </row>
    <row r="32853" spans="9:9" x14ac:dyDescent="0.3">
      <c r="I32853" s="101"/>
    </row>
    <row r="32854" spans="9:9" x14ac:dyDescent="0.3">
      <c r="I32854" s="101"/>
    </row>
    <row r="32855" spans="9:9" x14ac:dyDescent="0.3">
      <c r="I32855" s="101"/>
    </row>
    <row r="32856" spans="9:9" x14ac:dyDescent="0.3">
      <c r="I32856" s="101"/>
    </row>
    <row r="32857" spans="9:9" x14ac:dyDescent="0.3">
      <c r="I32857" s="101"/>
    </row>
    <row r="32858" spans="9:9" x14ac:dyDescent="0.3">
      <c r="I32858" s="101"/>
    </row>
    <row r="32859" spans="9:9" x14ac:dyDescent="0.3">
      <c r="I32859" s="101"/>
    </row>
    <row r="32860" spans="9:9" x14ac:dyDescent="0.3">
      <c r="I32860" s="101"/>
    </row>
    <row r="32861" spans="9:9" x14ac:dyDescent="0.3">
      <c r="I32861" s="101"/>
    </row>
    <row r="32862" spans="9:9" x14ac:dyDescent="0.3">
      <c r="I32862" s="101"/>
    </row>
    <row r="32863" spans="9:9" x14ac:dyDescent="0.3">
      <c r="I32863" s="101"/>
    </row>
    <row r="32864" spans="9:9" x14ac:dyDescent="0.3">
      <c r="I32864" s="101"/>
    </row>
    <row r="32865" spans="9:9" x14ac:dyDescent="0.3">
      <c r="I32865" s="101"/>
    </row>
    <row r="32866" spans="9:9" x14ac:dyDescent="0.3">
      <c r="I32866" s="101"/>
    </row>
    <row r="32867" spans="9:9" x14ac:dyDescent="0.3">
      <c r="I32867" s="101"/>
    </row>
    <row r="32868" spans="9:9" x14ac:dyDescent="0.3">
      <c r="I32868" s="101"/>
    </row>
    <row r="32869" spans="9:9" x14ac:dyDescent="0.3">
      <c r="I32869" s="101"/>
    </row>
    <row r="32870" spans="9:9" x14ac:dyDescent="0.3">
      <c r="I32870" s="101"/>
    </row>
    <row r="32871" spans="9:9" x14ac:dyDescent="0.3">
      <c r="I32871" s="101"/>
    </row>
    <row r="32872" spans="9:9" x14ac:dyDescent="0.3">
      <c r="I32872" s="101"/>
    </row>
    <row r="32873" spans="9:9" x14ac:dyDescent="0.3">
      <c r="I32873" s="101"/>
    </row>
    <row r="32874" spans="9:9" x14ac:dyDescent="0.3">
      <c r="I32874" s="101"/>
    </row>
    <row r="32875" spans="9:9" x14ac:dyDescent="0.3">
      <c r="I32875" s="101"/>
    </row>
    <row r="32876" spans="9:9" x14ac:dyDescent="0.3">
      <c r="I32876" s="101"/>
    </row>
    <row r="32877" spans="9:9" x14ac:dyDescent="0.3">
      <c r="I32877" s="101"/>
    </row>
    <row r="32878" spans="9:9" x14ac:dyDescent="0.3">
      <c r="I32878" s="101"/>
    </row>
    <row r="32879" spans="9:9" x14ac:dyDescent="0.3">
      <c r="I32879" s="101"/>
    </row>
    <row r="32880" spans="9:9" x14ac:dyDescent="0.3">
      <c r="I32880" s="101"/>
    </row>
    <row r="32881" spans="9:9" x14ac:dyDescent="0.3">
      <c r="I32881" s="101"/>
    </row>
    <row r="32882" spans="9:9" x14ac:dyDescent="0.3">
      <c r="I32882" s="101"/>
    </row>
    <row r="32883" spans="9:9" x14ac:dyDescent="0.3">
      <c r="I32883" s="101"/>
    </row>
    <row r="32884" spans="9:9" x14ac:dyDescent="0.3">
      <c r="I32884" s="101"/>
    </row>
    <row r="32885" spans="9:9" x14ac:dyDescent="0.3">
      <c r="I32885" s="101"/>
    </row>
    <row r="32886" spans="9:9" x14ac:dyDescent="0.3">
      <c r="I32886" s="101"/>
    </row>
    <row r="32887" spans="9:9" x14ac:dyDescent="0.3">
      <c r="I32887" s="101"/>
    </row>
    <row r="32888" spans="9:9" x14ac:dyDescent="0.3">
      <c r="I32888" s="101"/>
    </row>
    <row r="32889" spans="9:9" x14ac:dyDescent="0.3">
      <c r="I32889" s="101"/>
    </row>
    <row r="32890" spans="9:9" x14ac:dyDescent="0.3">
      <c r="I32890" s="101"/>
    </row>
    <row r="32891" spans="9:9" x14ac:dyDescent="0.3">
      <c r="I32891" s="101"/>
    </row>
    <row r="32892" spans="9:9" x14ac:dyDescent="0.3">
      <c r="I32892" s="101"/>
    </row>
    <row r="32893" spans="9:9" x14ac:dyDescent="0.3">
      <c r="I32893" s="101"/>
    </row>
    <row r="32894" spans="9:9" x14ac:dyDescent="0.3">
      <c r="I32894" s="101"/>
    </row>
    <row r="32895" spans="9:9" x14ac:dyDescent="0.3">
      <c r="I32895" s="101"/>
    </row>
    <row r="32896" spans="9:9" x14ac:dyDescent="0.3">
      <c r="I32896" s="101"/>
    </row>
    <row r="32897" spans="9:9" x14ac:dyDescent="0.3">
      <c r="I32897" s="101"/>
    </row>
    <row r="32898" spans="9:9" x14ac:dyDescent="0.3">
      <c r="I32898" s="101"/>
    </row>
    <row r="32899" spans="9:9" x14ac:dyDescent="0.3">
      <c r="I32899" s="101"/>
    </row>
    <row r="32900" spans="9:9" x14ac:dyDescent="0.3">
      <c r="I32900" s="101"/>
    </row>
    <row r="32901" spans="9:9" x14ac:dyDescent="0.3">
      <c r="I32901" s="101"/>
    </row>
    <row r="32902" spans="9:9" x14ac:dyDescent="0.3">
      <c r="I32902" s="101"/>
    </row>
    <row r="32903" spans="9:9" x14ac:dyDescent="0.3">
      <c r="I32903" s="101"/>
    </row>
    <row r="32904" spans="9:9" x14ac:dyDescent="0.3">
      <c r="I32904" s="101"/>
    </row>
    <row r="32905" spans="9:9" x14ac:dyDescent="0.3">
      <c r="I32905" s="101"/>
    </row>
    <row r="32906" spans="9:9" x14ac:dyDescent="0.3">
      <c r="I32906" s="101"/>
    </row>
    <row r="32907" spans="9:9" x14ac:dyDescent="0.3">
      <c r="I32907" s="101"/>
    </row>
    <row r="32908" spans="9:9" x14ac:dyDescent="0.3">
      <c r="I32908" s="101"/>
    </row>
    <row r="32909" spans="9:9" x14ac:dyDescent="0.3">
      <c r="I32909" s="101"/>
    </row>
    <row r="32910" spans="9:9" x14ac:dyDescent="0.3">
      <c r="I32910" s="101"/>
    </row>
    <row r="32911" spans="9:9" x14ac:dyDescent="0.3">
      <c r="I32911" s="101"/>
    </row>
    <row r="32912" spans="9:9" x14ac:dyDescent="0.3">
      <c r="I32912" s="101"/>
    </row>
    <row r="32913" spans="9:9" x14ac:dyDescent="0.3">
      <c r="I32913" s="101"/>
    </row>
    <row r="32914" spans="9:9" x14ac:dyDescent="0.3">
      <c r="I32914" s="101"/>
    </row>
    <row r="32915" spans="9:9" x14ac:dyDescent="0.3">
      <c r="I32915" s="101"/>
    </row>
    <row r="32916" spans="9:9" x14ac:dyDescent="0.3">
      <c r="I32916" s="101"/>
    </row>
    <row r="32917" spans="9:9" x14ac:dyDescent="0.3">
      <c r="I32917" s="101"/>
    </row>
    <row r="32918" spans="9:9" x14ac:dyDescent="0.3">
      <c r="I32918" s="101"/>
    </row>
    <row r="32919" spans="9:9" x14ac:dyDescent="0.3">
      <c r="I32919" s="101"/>
    </row>
    <row r="32920" spans="9:9" x14ac:dyDescent="0.3">
      <c r="I32920" s="101"/>
    </row>
    <row r="32921" spans="9:9" x14ac:dyDescent="0.3">
      <c r="I32921" s="101"/>
    </row>
    <row r="32922" spans="9:9" x14ac:dyDescent="0.3">
      <c r="I32922" s="101"/>
    </row>
    <row r="32923" spans="9:9" x14ac:dyDescent="0.3">
      <c r="I32923" s="101"/>
    </row>
    <row r="32924" spans="9:9" x14ac:dyDescent="0.3">
      <c r="I32924" s="101"/>
    </row>
    <row r="32925" spans="9:9" x14ac:dyDescent="0.3">
      <c r="I32925" s="101"/>
    </row>
    <row r="32926" spans="9:9" x14ac:dyDescent="0.3">
      <c r="I32926" s="101"/>
    </row>
    <row r="32927" spans="9:9" x14ac:dyDescent="0.3">
      <c r="I32927" s="101"/>
    </row>
    <row r="32928" spans="9:9" x14ac:dyDescent="0.3">
      <c r="I32928" s="101"/>
    </row>
    <row r="32929" spans="9:9" x14ac:dyDescent="0.3">
      <c r="I32929" s="101"/>
    </row>
    <row r="32930" spans="9:9" x14ac:dyDescent="0.3">
      <c r="I32930" s="101"/>
    </row>
    <row r="32931" spans="9:9" x14ac:dyDescent="0.3">
      <c r="I32931" s="101"/>
    </row>
    <row r="32932" spans="9:9" x14ac:dyDescent="0.3">
      <c r="I32932" s="101"/>
    </row>
    <row r="32933" spans="9:9" x14ac:dyDescent="0.3">
      <c r="I32933" s="101"/>
    </row>
    <row r="32934" spans="9:9" x14ac:dyDescent="0.3">
      <c r="I32934" s="101"/>
    </row>
    <row r="32935" spans="9:9" x14ac:dyDescent="0.3">
      <c r="I32935" s="101"/>
    </row>
    <row r="32936" spans="9:9" x14ac:dyDescent="0.3">
      <c r="I32936" s="101"/>
    </row>
    <row r="32937" spans="9:9" x14ac:dyDescent="0.3">
      <c r="I32937" s="101"/>
    </row>
    <row r="32938" spans="9:9" x14ac:dyDescent="0.3">
      <c r="I32938" s="101"/>
    </row>
    <row r="32939" spans="9:9" x14ac:dyDescent="0.3">
      <c r="I32939" s="101"/>
    </row>
    <row r="32940" spans="9:9" x14ac:dyDescent="0.3">
      <c r="I32940" s="101"/>
    </row>
    <row r="32941" spans="9:9" x14ac:dyDescent="0.3">
      <c r="I32941" s="101"/>
    </row>
    <row r="32942" spans="9:9" x14ac:dyDescent="0.3">
      <c r="I32942" s="101"/>
    </row>
    <row r="32943" spans="9:9" x14ac:dyDescent="0.3">
      <c r="I32943" s="101"/>
    </row>
    <row r="32944" spans="9:9" x14ac:dyDescent="0.3">
      <c r="I32944" s="101"/>
    </row>
    <row r="32945" spans="9:9" x14ac:dyDescent="0.3">
      <c r="I32945" s="101"/>
    </row>
    <row r="32946" spans="9:9" x14ac:dyDescent="0.3">
      <c r="I32946" s="101"/>
    </row>
    <row r="32947" spans="9:9" x14ac:dyDescent="0.3">
      <c r="I32947" s="101"/>
    </row>
    <row r="32948" spans="9:9" x14ac:dyDescent="0.3">
      <c r="I32948" s="101"/>
    </row>
    <row r="32949" spans="9:9" x14ac:dyDescent="0.3">
      <c r="I32949" s="101"/>
    </row>
    <row r="32950" spans="9:9" x14ac:dyDescent="0.3">
      <c r="I32950" s="101"/>
    </row>
    <row r="32951" spans="9:9" x14ac:dyDescent="0.3">
      <c r="I32951" s="101"/>
    </row>
    <row r="32952" spans="9:9" x14ac:dyDescent="0.3">
      <c r="I32952" s="101"/>
    </row>
    <row r="32953" spans="9:9" x14ac:dyDescent="0.3">
      <c r="I32953" s="101"/>
    </row>
    <row r="32954" spans="9:9" x14ac:dyDescent="0.3">
      <c r="I32954" s="101"/>
    </row>
    <row r="32955" spans="9:9" x14ac:dyDescent="0.3">
      <c r="I32955" s="101"/>
    </row>
    <row r="32956" spans="9:9" x14ac:dyDescent="0.3">
      <c r="I32956" s="101"/>
    </row>
    <row r="32957" spans="9:9" x14ac:dyDescent="0.3">
      <c r="I32957" s="101"/>
    </row>
    <row r="32958" spans="9:9" x14ac:dyDescent="0.3">
      <c r="I32958" s="101"/>
    </row>
    <row r="32959" spans="9:9" x14ac:dyDescent="0.3">
      <c r="I32959" s="101"/>
    </row>
    <row r="32960" spans="9:9" x14ac:dyDescent="0.3">
      <c r="I32960" s="101"/>
    </row>
    <row r="32961" spans="9:9" x14ac:dyDescent="0.3">
      <c r="I32961" s="101"/>
    </row>
    <row r="32962" spans="9:9" x14ac:dyDescent="0.3">
      <c r="I32962" s="101"/>
    </row>
    <row r="32963" spans="9:9" x14ac:dyDescent="0.3">
      <c r="I32963" s="101"/>
    </row>
    <row r="32964" spans="9:9" x14ac:dyDescent="0.3">
      <c r="I32964" s="101"/>
    </row>
    <row r="32965" spans="9:9" x14ac:dyDescent="0.3">
      <c r="I32965" s="101"/>
    </row>
    <row r="32966" spans="9:9" x14ac:dyDescent="0.3">
      <c r="I32966" s="101"/>
    </row>
    <row r="32967" spans="9:9" x14ac:dyDescent="0.3">
      <c r="I32967" s="101"/>
    </row>
    <row r="32968" spans="9:9" x14ac:dyDescent="0.3">
      <c r="I32968" s="101"/>
    </row>
    <row r="32969" spans="9:9" x14ac:dyDescent="0.3">
      <c r="I32969" s="101"/>
    </row>
    <row r="32970" spans="9:9" x14ac:dyDescent="0.3">
      <c r="I32970" s="101"/>
    </row>
    <row r="32971" spans="9:9" x14ac:dyDescent="0.3">
      <c r="I32971" s="101"/>
    </row>
    <row r="32972" spans="9:9" x14ac:dyDescent="0.3">
      <c r="I32972" s="101"/>
    </row>
    <row r="32973" spans="9:9" x14ac:dyDescent="0.3">
      <c r="I32973" s="101"/>
    </row>
    <row r="32974" spans="9:9" x14ac:dyDescent="0.3">
      <c r="I32974" s="101"/>
    </row>
    <row r="32975" spans="9:9" x14ac:dyDescent="0.3">
      <c r="I32975" s="101"/>
    </row>
    <row r="32976" spans="9:9" x14ac:dyDescent="0.3">
      <c r="I32976" s="101"/>
    </row>
    <row r="32977" spans="9:9" x14ac:dyDescent="0.3">
      <c r="I32977" s="101"/>
    </row>
    <row r="32978" spans="9:9" x14ac:dyDescent="0.3">
      <c r="I32978" s="101"/>
    </row>
    <row r="32979" spans="9:9" x14ac:dyDescent="0.3">
      <c r="I32979" s="101"/>
    </row>
    <row r="32980" spans="9:9" x14ac:dyDescent="0.3">
      <c r="I32980" s="101"/>
    </row>
    <row r="32981" spans="9:9" x14ac:dyDescent="0.3">
      <c r="I32981" s="101"/>
    </row>
    <row r="32982" spans="9:9" x14ac:dyDescent="0.3">
      <c r="I32982" s="101"/>
    </row>
    <row r="32983" spans="9:9" x14ac:dyDescent="0.3">
      <c r="I32983" s="101"/>
    </row>
    <row r="32984" spans="9:9" x14ac:dyDescent="0.3">
      <c r="I32984" s="101"/>
    </row>
    <row r="32985" spans="9:9" x14ac:dyDescent="0.3">
      <c r="I32985" s="101"/>
    </row>
    <row r="32986" spans="9:9" x14ac:dyDescent="0.3">
      <c r="I32986" s="101"/>
    </row>
    <row r="32987" spans="9:9" x14ac:dyDescent="0.3">
      <c r="I32987" s="101"/>
    </row>
    <row r="32988" spans="9:9" x14ac:dyDescent="0.3">
      <c r="I32988" s="101"/>
    </row>
    <row r="32989" spans="9:9" x14ac:dyDescent="0.3">
      <c r="I32989" s="101"/>
    </row>
    <row r="32990" spans="9:9" x14ac:dyDescent="0.3">
      <c r="I32990" s="101"/>
    </row>
    <row r="32991" spans="9:9" x14ac:dyDescent="0.3">
      <c r="I32991" s="101"/>
    </row>
    <row r="32992" spans="9:9" x14ac:dyDescent="0.3">
      <c r="I32992" s="101"/>
    </row>
    <row r="32993" spans="9:9" x14ac:dyDescent="0.3">
      <c r="I32993" s="101"/>
    </row>
    <row r="32994" spans="9:9" x14ac:dyDescent="0.3">
      <c r="I32994" s="101"/>
    </row>
    <row r="32995" spans="9:9" x14ac:dyDescent="0.3">
      <c r="I32995" s="101"/>
    </row>
    <row r="32996" spans="9:9" x14ac:dyDescent="0.3">
      <c r="I32996" s="101"/>
    </row>
    <row r="32997" spans="9:9" x14ac:dyDescent="0.3">
      <c r="I32997" s="101"/>
    </row>
    <row r="32998" spans="9:9" x14ac:dyDescent="0.3">
      <c r="I32998" s="101"/>
    </row>
    <row r="32999" spans="9:9" x14ac:dyDescent="0.3">
      <c r="I32999" s="101"/>
    </row>
    <row r="33000" spans="9:9" x14ac:dyDescent="0.3">
      <c r="I33000" s="101"/>
    </row>
    <row r="33001" spans="9:9" x14ac:dyDescent="0.3">
      <c r="I33001" s="101"/>
    </row>
    <row r="33002" spans="9:9" x14ac:dyDescent="0.3">
      <c r="I33002" s="101"/>
    </row>
    <row r="33003" spans="9:9" x14ac:dyDescent="0.3">
      <c r="I33003" s="101"/>
    </row>
    <row r="33004" spans="9:9" x14ac:dyDescent="0.3">
      <c r="I33004" s="101"/>
    </row>
    <row r="33005" spans="9:9" x14ac:dyDescent="0.3">
      <c r="I33005" s="101"/>
    </row>
    <row r="33006" spans="9:9" x14ac:dyDescent="0.3">
      <c r="I33006" s="101"/>
    </row>
    <row r="33007" spans="9:9" x14ac:dyDescent="0.3">
      <c r="I33007" s="101"/>
    </row>
    <row r="33008" spans="9:9" x14ac:dyDescent="0.3">
      <c r="I33008" s="101"/>
    </row>
    <row r="33009" spans="9:9" x14ac:dyDescent="0.3">
      <c r="I33009" s="101"/>
    </row>
    <row r="33010" spans="9:9" x14ac:dyDescent="0.3">
      <c r="I33010" s="101"/>
    </row>
    <row r="33011" spans="9:9" x14ac:dyDescent="0.3">
      <c r="I33011" s="101"/>
    </row>
    <row r="33012" spans="9:9" x14ac:dyDescent="0.3">
      <c r="I33012" s="101"/>
    </row>
    <row r="33013" spans="9:9" x14ac:dyDescent="0.3">
      <c r="I33013" s="101"/>
    </row>
    <row r="33014" spans="9:9" x14ac:dyDescent="0.3">
      <c r="I33014" s="101"/>
    </row>
    <row r="33015" spans="9:9" x14ac:dyDescent="0.3">
      <c r="I33015" s="101"/>
    </row>
    <row r="33016" spans="9:9" x14ac:dyDescent="0.3">
      <c r="I33016" s="101"/>
    </row>
    <row r="33017" spans="9:9" x14ac:dyDescent="0.3">
      <c r="I33017" s="101"/>
    </row>
    <row r="33018" spans="9:9" x14ac:dyDescent="0.3">
      <c r="I33018" s="101"/>
    </row>
    <row r="33019" spans="9:9" x14ac:dyDescent="0.3">
      <c r="I33019" s="101"/>
    </row>
    <row r="33020" spans="9:9" x14ac:dyDescent="0.3">
      <c r="I33020" s="101"/>
    </row>
    <row r="33021" spans="9:9" x14ac:dyDescent="0.3">
      <c r="I33021" s="101"/>
    </row>
    <row r="33022" spans="9:9" x14ac:dyDescent="0.3">
      <c r="I33022" s="101"/>
    </row>
    <row r="33023" spans="9:9" x14ac:dyDescent="0.3">
      <c r="I33023" s="101"/>
    </row>
    <row r="33024" spans="9:9" x14ac:dyDescent="0.3">
      <c r="I33024" s="101"/>
    </row>
    <row r="33025" spans="9:9" x14ac:dyDescent="0.3">
      <c r="I33025" s="101"/>
    </row>
    <row r="33026" spans="9:9" x14ac:dyDescent="0.3">
      <c r="I33026" s="101"/>
    </row>
    <row r="33027" spans="9:9" x14ac:dyDescent="0.3">
      <c r="I33027" s="101"/>
    </row>
    <row r="33028" spans="9:9" x14ac:dyDescent="0.3">
      <c r="I33028" s="101"/>
    </row>
    <row r="33029" spans="9:9" x14ac:dyDescent="0.3">
      <c r="I33029" s="101"/>
    </row>
    <row r="33030" spans="9:9" x14ac:dyDescent="0.3">
      <c r="I33030" s="101"/>
    </row>
    <row r="33031" spans="9:9" x14ac:dyDescent="0.3">
      <c r="I33031" s="101"/>
    </row>
    <row r="33032" spans="9:9" x14ac:dyDescent="0.3">
      <c r="I33032" s="101"/>
    </row>
    <row r="33033" spans="9:9" x14ac:dyDescent="0.3">
      <c r="I33033" s="101"/>
    </row>
    <row r="33034" spans="9:9" x14ac:dyDescent="0.3">
      <c r="I33034" s="101"/>
    </row>
    <row r="33035" spans="9:9" x14ac:dyDescent="0.3">
      <c r="I33035" s="101"/>
    </row>
    <row r="33036" spans="9:9" x14ac:dyDescent="0.3">
      <c r="I33036" s="101"/>
    </row>
    <row r="33037" spans="9:9" x14ac:dyDescent="0.3">
      <c r="I33037" s="101"/>
    </row>
    <row r="33038" spans="9:9" x14ac:dyDescent="0.3">
      <c r="I33038" s="101"/>
    </row>
    <row r="33039" spans="9:9" x14ac:dyDescent="0.3">
      <c r="I33039" s="101"/>
    </row>
    <row r="33040" spans="9:9" x14ac:dyDescent="0.3">
      <c r="I33040" s="101"/>
    </row>
    <row r="33041" spans="9:9" x14ac:dyDescent="0.3">
      <c r="I33041" s="101"/>
    </row>
    <row r="33042" spans="9:9" x14ac:dyDescent="0.3">
      <c r="I33042" s="101"/>
    </row>
    <row r="33043" spans="9:9" x14ac:dyDescent="0.3">
      <c r="I33043" s="101"/>
    </row>
    <row r="33044" spans="9:9" x14ac:dyDescent="0.3">
      <c r="I33044" s="101"/>
    </row>
    <row r="33045" spans="9:9" x14ac:dyDescent="0.3">
      <c r="I33045" s="101"/>
    </row>
    <row r="33046" spans="9:9" x14ac:dyDescent="0.3">
      <c r="I33046" s="101"/>
    </row>
    <row r="33047" spans="9:9" x14ac:dyDescent="0.3">
      <c r="I33047" s="101"/>
    </row>
    <row r="33048" spans="9:9" x14ac:dyDescent="0.3">
      <c r="I33048" s="101"/>
    </row>
    <row r="33049" spans="9:9" x14ac:dyDescent="0.3">
      <c r="I33049" s="101"/>
    </row>
    <row r="33050" spans="9:9" x14ac:dyDescent="0.3">
      <c r="I33050" s="101"/>
    </row>
    <row r="33051" spans="9:9" x14ac:dyDescent="0.3">
      <c r="I33051" s="101"/>
    </row>
    <row r="33052" spans="9:9" x14ac:dyDescent="0.3">
      <c r="I33052" s="101"/>
    </row>
    <row r="33053" spans="9:9" x14ac:dyDescent="0.3">
      <c r="I33053" s="101"/>
    </row>
    <row r="33054" spans="9:9" x14ac:dyDescent="0.3">
      <c r="I33054" s="101"/>
    </row>
    <row r="33055" spans="9:9" x14ac:dyDescent="0.3">
      <c r="I33055" s="101"/>
    </row>
    <row r="33056" spans="9:9" x14ac:dyDescent="0.3">
      <c r="I33056" s="101"/>
    </row>
    <row r="33057" spans="9:9" x14ac:dyDescent="0.3">
      <c r="I33057" s="101"/>
    </row>
    <row r="33058" spans="9:9" x14ac:dyDescent="0.3">
      <c r="I33058" s="101"/>
    </row>
    <row r="33059" spans="9:9" x14ac:dyDescent="0.3">
      <c r="I33059" s="101"/>
    </row>
    <row r="33060" spans="9:9" x14ac:dyDescent="0.3">
      <c r="I33060" s="101"/>
    </row>
    <row r="33061" spans="9:9" x14ac:dyDescent="0.3">
      <c r="I33061" s="101"/>
    </row>
    <row r="33062" spans="9:9" x14ac:dyDescent="0.3">
      <c r="I33062" s="101"/>
    </row>
    <row r="33063" spans="9:9" x14ac:dyDescent="0.3">
      <c r="I33063" s="101"/>
    </row>
    <row r="33064" spans="9:9" x14ac:dyDescent="0.3">
      <c r="I33064" s="101"/>
    </row>
    <row r="33065" spans="9:9" x14ac:dyDescent="0.3">
      <c r="I33065" s="101"/>
    </row>
    <row r="33066" spans="9:9" x14ac:dyDescent="0.3">
      <c r="I33066" s="101"/>
    </row>
    <row r="33067" spans="9:9" x14ac:dyDescent="0.3">
      <c r="I33067" s="101"/>
    </row>
    <row r="33068" spans="9:9" x14ac:dyDescent="0.3">
      <c r="I33068" s="101"/>
    </row>
    <row r="33069" spans="9:9" x14ac:dyDescent="0.3">
      <c r="I33069" s="101"/>
    </row>
    <row r="33070" spans="9:9" x14ac:dyDescent="0.3">
      <c r="I33070" s="101"/>
    </row>
    <row r="33071" spans="9:9" x14ac:dyDescent="0.3">
      <c r="I33071" s="101"/>
    </row>
    <row r="33072" spans="9:9" x14ac:dyDescent="0.3">
      <c r="I33072" s="101"/>
    </row>
    <row r="33073" spans="9:9" x14ac:dyDescent="0.3">
      <c r="I33073" s="101"/>
    </row>
    <row r="33074" spans="9:9" x14ac:dyDescent="0.3">
      <c r="I33074" s="101"/>
    </row>
    <row r="33075" spans="9:9" x14ac:dyDescent="0.3">
      <c r="I33075" s="101"/>
    </row>
    <row r="33076" spans="9:9" x14ac:dyDescent="0.3">
      <c r="I33076" s="101"/>
    </row>
    <row r="33077" spans="9:9" x14ac:dyDescent="0.3">
      <c r="I33077" s="101"/>
    </row>
    <row r="33078" spans="9:9" x14ac:dyDescent="0.3">
      <c r="I33078" s="101"/>
    </row>
    <row r="33079" spans="9:9" x14ac:dyDescent="0.3">
      <c r="I33079" s="101"/>
    </row>
    <row r="33080" spans="9:9" x14ac:dyDescent="0.3">
      <c r="I33080" s="101"/>
    </row>
    <row r="33081" spans="9:9" x14ac:dyDescent="0.3">
      <c r="I33081" s="101"/>
    </row>
    <row r="33082" spans="9:9" x14ac:dyDescent="0.3">
      <c r="I33082" s="101"/>
    </row>
    <row r="33083" spans="9:9" x14ac:dyDescent="0.3">
      <c r="I33083" s="101"/>
    </row>
    <row r="33084" spans="9:9" x14ac:dyDescent="0.3">
      <c r="I33084" s="101"/>
    </row>
    <row r="33085" spans="9:9" x14ac:dyDescent="0.3">
      <c r="I33085" s="101"/>
    </row>
    <row r="33086" spans="9:9" x14ac:dyDescent="0.3">
      <c r="I33086" s="101"/>
    </row>
    <row r="33087" spans="9:9" x14ac:dyDescent="0.3">
      <c r="I33087" s="101"/>
    </row>
    <row r="33088" spans="9:9" x14ac:dyDescent="0.3">
      <c r="I33088" s="101"/>
    </row>
    <row r="33089" spans="9:9" x14ac:dyDescent="0.3">
      <c r="I33089" s="101"/>
    </row>
    <row r="33090" spans="9:9" x14ac:dyDescent="0.3">
      <c r="I33090" s="101"/>
    </row>
    <row r="33091" spans="9:9" x14ac:dyDescent="0.3">
      <c r="I33091" s="101"/>
    </row>
    <row r="33092" spans="9:9" x14ac:dyDescent="0.3">
      <c r="I33092" s="101"/>
    </row>
    <row r="33093" spans="9:9" x14ac:dyDescent="0.3">
      <c r="I33093" s="101"/>
    </row>
    <row r="33094" spans="9:9" x14ac:dyDescent="0.3">
      <c r="I33094" s="101"/>
    </row>
    <row r="33095" spans="9:9" x14ac:dyDescent="0.3">
      <c r="I33095" s="101"/>
    </row>
    <row r="33096" spans="9:9" x14ac:dyDescent="0.3">
      <c r="I33096" s="101"/>
    </row>
    <row r="33097" spans="9:9" x14ac:dyDescent="0.3">
      <c r="I33097" s="101"/>
    </row>
    <row r="33098" spans="9:9" x14ac:dyDescent="0.3">
      <c r="I33098" s="101"/>
    </row>
    <row r="33099" spans="9:9" x14ac:dyDescent="0.3">
      <c r="I33099" s="101"/>
    </row>
    <row r="33100" spans="9:9" x14ac:dyDescent="0.3">
      <c r="I33100" s="101"/>
    </row>
    <row r="33101" spans="9:9" x14ac:dyDescent="0.3">
      <c r="I33101" s="101"/>
    </row>
    <row r="33102" spans="9:9" x14ac:dyDescent="0.3">
      <c r="I33102" s="101"/>
    </row>
    <row r="33103" spans="9:9" x14ac:dyDescent="0.3">
      <c r="I33103" s="101"/>
    </row>
    <row r="33104" spans="9:9" x14ac:dyDescent="0.3">
      <c r="I33104" s="101"/>
    </row>
    <row r="33105" spans="9:9" x14ac:dyDescent="0.3">
      <c r="I33105" s="101"/>
    </row>
    <row r="33106" spans="9:9" x14ac:dyDescent="0.3">
      <c r="I33106" s="101"/>
    </row>
    <row r="33107" spans="9:9" x14ac:dyDescent="0.3">
      <c r="I33107" s="101"/>
    </row>
    <row r="33108" spans="9:9" x14ac:dyDescent="0.3">
      <c r="I33108" s="101"/>
    </row>
    <row r="33109" spans="9:9" x14ac:dyDescent="0.3">
      <c r="I33109" s="101"/>
    </row>
    <row r="33110" spans="9:9" x14ac:dyDescent="0.3">
      <c r="I33110" s="101"/>
    </row>
    <row r="33111" spans="9:9" x14ac:dyDescent="0.3">
      <c r="I33111" s="101"/>
    </row>
    <row r="33112" spans="9:9" x14ac:dyDescent="0.3">
      <c r="I33112" s="101"/>
    </row>
    <row r="33113" spans="9:9" x14ac:dyDescent="0.3">
      <c r="I33113" s="101"/>
    </row>
    <row r="33114" spans="9:9" x14ac:dyDescent="0.3">
      <c r="I33114" s="101"/>
    </row>
    <row r="33115" spans="9:9" x14ac:dyDescent="0.3">
      <c r="I33115" s="101"/>
    </row>
    <row r="33116" spans="9:9" x14ac:dyDescent="0.3">
      <c r="I33116" s="101"/>
    </row>
    <row r="33117" spans="9:9" x14ac:dyDescent="0.3">
      <c r="I33117" s="101"/>
    </row>
    <row r="33118" spans="9:9" x14ac:dyDescent="0.3">
      <c r="I33118" s="101"/>
    </row>
    <row r="33119" spans="9:9" x14ac:dyDescent="0.3">
      <c r="I33119" s="101"/>
    </row>
    <row r="33120" spans="9:9" x14ac:dyDescent="0.3">
      <c r="I33120" s="101"/>
    </row>
    <row r="33121" spans="9:9" x14ac:dyDescent="0.3">
      <c r="I33121" s="101"/>
    </row>
    <row r="33122" spans="9:9" x14ac:dyDescent="0.3">
      <c r="I33122" s="101"/>
    </row>
    <row r="33123" spans="9:9" x14ac:dyDescent="0.3">
      <c r="I33123" s="101"/>
    </row>
    <row r="33124" spans="9:9" x14ac:dyDescent="0.3">
      <c r="I33124" s="101"/>
    </row>
    <row r="33125" spans="9:9" x14ac:dyDescent="0.3">
      <c r="I33125" s="101"/>
    </row>
    <row r="33126" spans="9:9" x14ac:dyDescent="0.3">
      <c r="I33126" s="101"/>
    </row>
    <row r="33127" spans="9:9" x14ac:dyDescent="0.3">
      <c r="I33127" s="101"/>
    </row>
    <row r="33128" spans="9:9" x14ac:dyDescent="0.3">
      <c r="I33128" s="101"/>
    </row>
    <row r="33129" spans="9:9" x14ac:dyDescent="0.3">
      <c r="I33129" s="101"/>
    </row>
    <row r="33130" spans="9:9" x14ac:dyDescent="0.3">
      <c r="I33130" s="101"/>
    </row>
    <row r="33131" spans="9:9" x14ac:dyDescent="0.3">
      <c r="I33131" s="101"/>
    </row>
    <row r="33132" spans="9:9" x14ac:dyDescent="0.3">
      <c r="I33132" s="101"/>
    </row>
    <row r="33133" spans="9:9" x14ac:dyDescent="0.3">
      <c r="I33133" s="101"/>
    </row>
    <row r="33134" spans="9:9" x14ac:dyDescent="0.3">
      <c r="I33134" s="101"/>
    </row>
    <row r="33135" spans="9:9" x14ac:dyDescent="0.3">
      <c r="I33135" s="101"/>
    </row>
    <row r="33136" spans="9:9" x14ac:dyDescent="0.3">
      <c r="I33136" s="101"/>
    </row>
    <row r="33137" spans="9:9" x14ac:dyDescent="0.3">
      <c r="I33137" s="101"/>
    </row>
    <row r="33138" spans="9:9" x14ac:dyDescent="0.3">
      <c r="I33138" s="101"/>
    </row>
    <row r="33139" spans="9:9" x14ac:dyDescent="0.3">
      <c r="I33139" s="101"/>
    </row>
    <row r="33140" spans="9:9" x14ac:dyDescent="0.3">
      <c r="I33140" s="101"/>
    </row>
    <row r="33141" spans="9:9" x14ac:dyDescent="0.3">
      <c r="I33141" s="101"/>
    </row>
    <row r="33142" spans="9:9" x14ac:dyDescent="0.3">
      <c r="I33142" s="101"/>
    </row>
    <row r="33143" spans="9:9" x14ac:dyDescent="0.3">
      <c r="I33143" s="101"/>
    </row>
    <row r="33144" spans="9:9" x14ac:dyDescent="0.3">
      <c r="I33144" s="101"/>
    </row>
    <row r="33145" spans="9:9" x14ac:dyDescent="0.3">
      <c r="I33145" s="101"/>
    </row>
    <row r="33146" spans="9:9" x14ac:dyDescent="0.3">
      <c r="I33146" s="101"/>
    </row>
    <row r="33147" spans="9:9" x14ac:dyDescent="0.3">
      <c r="I33147" s="101"/>
    </row>
    <row r="33148" spans="9:9" x14ac:dyDescent="0.3">
      <c r="I33148" s="101"/>
    </row>
    <row r="33149" spans="9:9" x14ac:dyDescent="0.3">
      <c r="I33149" s="101"/>
    </row>
    <row r="33150" spans="9:9" x14ac:dyDescent="0.3">
      <c r="I33150" s="101"/>
    </row>
    <row r="33151" spans="9:9" x14ac:dyDescent="0.3">
      <c r="I33151" s="101"/>
    </row>
    <row r="33152" spans="9:9" x14ac:dyDescent="0.3">
      <c r="I33152" s="101"/>
    </row>
    <row r="33153" spans="9:9" x14ac:dyDescent="0.3">
      <c r="I33153" s="101"/>
    </row>
    <row r="33154" spans="9:9" x14ac:dyDescent="0.3">
      <c r="I33154" s="101"/>
    </row>
    <row r="33155" spans="9:9" x14ac:dyDescent="0.3">
      <c r="I33155" s="101"/>
    </row>
    <row r="33156" spans="9:9" x14ac:dyDescent="0.3">
      <c r="I33156" s="101"/>
    </row>
    <row r="33157" spans="9:9" x14ac:dyDescent="0.3">
      <c r="I33157" s="101"/>
    </row>
    <row r="33158" spans="9:9" x14ac:dyDescent="0.3">
      <c r="I33158" s="101"/>
    </row>
    <row r="33159" spans="9:9" x14ac:dyDescent="0.3">
      <c r="I33159" s="101"/>
    </row>
    <row r="33160" spans="9:9" x14ac:dyDescent="0.3">
      <c r="I33160" s="101"/>
    </row>
    <row r="33161" spans="9:9" x14ac:dyDescent="0.3">
      <c r="I33161" s="101"/>
    </row>
    <row r="33162" spans="9:9" x14ac:dyDescent="0.3">
      <c r="I33162" s="101"/>
    </row>
    <row r="33163" spans="9:9" x14ac:dyDescent="0.3">
      <c r="I33163" s="101"/>
    </row>
    <row r="33164" spans="9:9" x14ac:dyDescent="0.3">
      <c r="I33164" s="101"/>
    </row>
    <row r="33165" spans="9:9" x14ac:dyDescent="0.3">
      <c r="I33165" s="101"/>
    </row>
    <row r="33166" spans="9:9" x14ac:dyDescent="0.3">
      <c r="I33166" s="101"/>
    </row>
    <row r="33167" spans="9:9" x14ac:dyDescent="0.3">
      <c r="I33167" s="101"/>
    </row>
    <row r="33168" spans="9:9" x14ac:dyDescent="0.3">
      <c r="I33168" s="101"/>
    </row>
    <row r="33169" spans="9:9" x14ac:dyDescent="0.3">
      <c r="I33169" s="101"/>
    </row>
    <row r="33170" spans="9:9" x14ac:dyDescent="0.3">
      <c r="I33170" s="101"/>
    </row>
    <row r="33171" spans="9:9" x14ac:dyDescent="0.3">
      <c r="I33171" s="101"/>
    </row>
    <row r="33172" spans="9:9" x14ac:dyDescent="0.3">
      <c r="I33172" s="101"/>
    </row>
    <row r="33173" spans="9:9" x14ac:dyDescent="0.3">
      <c r="I33173" s="101"/>
    </row>
    <row r="33174" spans="9:9" x14ac:dyDescent="0.3">
      <c r="I33174" s="101"/>
    </row>
    <row r="33175" spans="9:9" x14ac:dyDescent="0.3">
      <c r="I33175" s="101"/>
    </row>
    <row r="33176" spans="9:9" x14ac:dyDescent="0.3">
      <c r="I33176" s="101"/>
    </row>
    <row r="33177" spans="9:9" x14ac:dyDescent="0.3">
      <c r="I33177" s="101"/>
    </row>
    <row r="33178" spans="9:9" x14ac:dyDescent="0.3">
      <c r="I33178" s="101"/>
    </row>
    <row r="33179" spans="9:9" x14ac:dyDescent="0.3">
      <c r="I33179" s="101"/>
    </row>
    <row r="33180" spans="9:9" x14ac:dyDescent="0.3">
      <c r="I33180" s="101"/>
    </row>
    <row r="33181" spans="9:9" x14ac:dyDescent="0.3">
      <c r="I33181" s="101"/>
    </row>
    <row r="33182" spans="9:9" x14ac:dyDescent="0.3">
      <c r="I33182" s="101"/>
    </row>
    <row r="33183" spans="9:9" x14ac:dyDescent="0.3">
      <c r="I33183" s="101"/>
    </row>
    <row r="33184" spans="9:9" x14ac:dyDescent="0.3">
      <c r="I33184" s="101"/>
    </row>
    <row r="33185" spans="9:9" x14ac:dyDescent="0.3">
      <c r="I33185" s="101"/>
    </row>
    <row r="33186" spans="9:9" x14ac:dyDescent="0.3">
      <c r="I33186" s="101"/>
    </row>
    <row r="33187" spans="9:9" x14ac:dyDescent="0.3">
      <c r="I33187" s="101"/>
    </row>
    <row r="33188" spans="9:9" x14ac:dyDescent="0.3">
      <c r="I33188" s="101"/>
    </row>
    <row r="33189" spans="9:9" x14ac:dyDescent="0.3">
      <c r="I33189" s="101"/>
    </row>
    <row r="33190" spans="9:9" x14ac:dyDescent="0.3">
      <c r="I33190" s="101"/>
    </row>
    <row r="33191" spans="9:9" x14ac:dyDescent="0.3">
      <c r="I33191" s="101"/>
    </row>
    <row r="33192" spans="9:9" x14ac:dyDescent="0.3">
      <c r="I33192" s="101"/>
    </row>
    <row r="33193" spans="9:9" x14ac:dyDescent="0.3">
      <c r="I33193" s="101"/>
    </row>
    <row r="33194" spans="9:9" x14ac:dyDescent="0.3">
      <c r="I33194" s="101"/>
    </row>
    <row r="33195" spans="9:9" x14ac:dyDescent="0.3">
      <c r="I33195" s="101"/>
    </row>
    <row r="33196" spans="9:9" x14ac:dyDescent="0.3">
      <c r="I33196" s="101"/>
    </row>
    <row r="33197" spans="9:9" x14ac:dyDescent="0.3">
      <c r="I33197" s="101"/>
    </row>
    <row r="33198" spans="9:9" x14ac:dyDescent="0.3">
      <c r="I33198" s="101"/>
    </row>
    <row r="33199" spans="9:9" x14ac:dyDescent="0.3">
      <c r="I33199" s="101"/>
    </row>
    <row r="33200" spans="9:9" x14ac:dyDescent="0.3">
      <c r="I33200" s="101"/>
    </row>
    <row r="33201" spans="9:9" x14ac:dyDescent="0.3">
      <c r="I33201" s="101"/>
    </row>
    <row r="33202" spans="9:9" x14ac:dyDescent="0.3">
      <c r="I33202" s="101"/>
    </row>
    <row r="33203" spans="9:9" x14ac:dyDescent="0.3">
      <c r="I33203" s="101"/>
    </row>
    <row r="33204" spans="9:9" x14ac:dyDescent="0.3">
      <c r="I33204" s="101"/>
    </row>
    <row r="33205" spans="9:9" x14ac:dyDescent="0.3">
      <c r="I33205" s="101"/>
    </row>
    <row r="33206" spans="9:9" x14ac:dyDescent="0.3">
      <c r="I33206" s="101"/>
    </row>
    <row r="33207" spans="9:9" x14ac:dyDescent="0.3">
      <c r="I33207" s="101"/>
    </row>
    <row r="33208" spans="9:9" x14ac:dyDescent="0.3">
      <c r="I33208" s="101"/>
    </row>
    <row r="33209" spans="9:9" x14ac:dyDescent="0.3">
      <c r="I33209" s="101"/>
    </row>
    <row r="33210" spans="9:9" x14ac:dyDescent="0.3">
      <c r="I33210" s="101"/>
    </row>
    <row r="33211" spans="9:9" x14ac:dyDescent="0.3">
      <c r="I33211" s="101"/>
    </row>
    <row r="33212" spans="9:9" x14ac:dyDescent="0.3">
      <c r="I33212" s="101"/>
    </row>
    <row r="33213" spans="9:9" x14ac:dyDescent="0.3">
      <c r="I33213" s="101"/>
    </row>
    <row r="33214" spans="9:9" x14ac:dyDescent="0.3">
      <c r="I33214" s="101"/>
    </row>
    <row r="33215" spans="9:9" x14ac:dyDescent="0.3">
      <c r="I33215" s="101"/>
    </row>
    <row r="33216" spans="9:9" x14ac:dyDescent="0.3">
      <c r="I33216" s="101"/>
    </row>
    <row r="33217" spans="9:9" x14ac:dyDescent="0.3">
      <c r="I33217" s="101"/>
    </row>
    <row r="33218" spans="9:9" x14ac:dyDescent="0.3">
      <c r="I33218" s="101"/>
    </row>
    <row r="33219" spans="9:9" x14ac:dyDescent="0.3">
      <c r="I33219" s="101"/>
    </row>
    <row r="33220" spans="9:9" x14ac:dyDescent="0.3">
      <c r="I33220" s="101"/>
    </row>
    <row r="33221" spans="9:9" x14ac:dyDescent="0.3">
      <c r="I33221" s="101"/>
    </row>
    <row r="33222" spans="9:9" x14ac:dyDescent="0.3">
      <c r="I33222" s="101"/>
    </row>
    <row r="33223" spans="9:9" x14ac:dyDescent="0.3">
      <c r="I33223" s="101"/>
    </row>
    <row r="33224" spans="9:9" x14ac:dyDescent="0.3">
      <c r="I33224" s="101"/>
    </row>
    <row r="33225" spans="9:9" x14ac:dyDescent="0.3">
      <c r="I33225" s="101"/>
    </row>
    <row r="33226" spans="9:9" x14ac:dyDescent="0.3">
      <c r="I33226" s="101"/>
    </row>
    <row r="33227" spans="9:9" x14ac:dyDescent="0.3">
      <c r="I33227" s="101"/>
    </row>
    <row r="33228" spans="9:9" x14ac:dyDescent="0.3">
      <c r="I33228" s="101"/>
    </row>
    <row r="33229" spans="9:9" x14ac:dyDescent="0.3">
      <c r="I33229" s="101"/>
    </row>
    <row r="33230" spans="9:9" x14ac:dyDescent="0.3">
      <c r="I33230" s="101"/>
    </row>
    <row r="33231" spans="9:9" x14ac:dyDescent="0.3">
      <c r="I33231" s="101"/>
    </row>
    <row r="33232" spans="9:9" x14ac:dyDescent="0.3">
      <c r="I33232" s="101"/>
    </row>
    <row r="33233" spans="9:9" x14ac:dyDescent="0.3">
      <c r="I33233" s="101"/>
    </row>
    <row r="33234" spans="9:9" x14ac:dyDescent="0.3">
      <c r="I33234" s="101"/>
    </row>
    <row r="33235" spans="9:9" x14ac:dyDescent="0.3">
      <c r="I33235" s="101"/>
    </row>
    <row r="33236" spans="9:9" x14ac:dyDescent="0.3">
      <c r="I33236" s="101"/>
    </row>
    <row r="33237" spans="9:9" x14ac:dyDescent="0.3">
      <c r="I33237" s="101"/>
    </row>
    <row r="33238" spans="9:9" x14ac:dyDescent="0.3">
      <c r="I33238" s="101"/>
    </row>
    <row r="33239" spans="9:9" x14ac:dyDescent="0.3">
      <c r="I33239" s="101"/>
    </row>
    <row r="33240" spans="9:9" x14ac:dyDescent="0.3">
      <c r="I33240" s="101"/>
    </row>
    <row r="33241" spans="9:9" x14ac:dyDescent="0.3">
      <c r="I33241" s="101"/>
    </row>
    <row r="33242" spans="9:9" x14ac:dyDescent="0.3">
      <c r="I33242" s="101"/>
    </row>
    <row r="33243" spans="9:9" x14ac:dyDescent="0.3">
      <c r="I33243" s="101"/>
    </row>
    <row r="33244" spans="9:9" x14ac:dyDescent="0.3">
      <c r="I33244" s="101"/>
    </row>
    <row r="33245" spans="9:9" x14ac:dyDescent="0.3">
      <c r="I33245" s="101"/>
    </row>
    <row r="33246" spans="9:9" x14ac:dyDescent="0.3">
      <c r="I33246" s="101"/>
    </row>
    <row r="33247" spans="9:9" x14ac:dyDescent="0.3">
      <c r="I33247" s="101"/>
    </row>
    <row r="33248" spans="9:9" x14ac:dyDescent="0.3">
      <c r="I33248" s="101"/>
    </row>
    <row r="33249" spans="9:9" x14ac:dyDescent="0.3">
      <c r="I33249" s="101"/>
    </row>
    <row r="33250" spans="9:9" x14ac:dyDescent="0.3">
      <c r="I33250" s="101"/>
    </row>
    <row r="33251" spans="9:9" x14ac:dyDescent="0.3">
      <c r="I33251" s="101"/>
    </row>
    <row r="33252" spans="9:9" x14ac:dyDescent="0.3">
      <c r="I33252" s="101"/>
    </row>
    <row r="33253" spans="9:9" x14ac:dyDescent="0.3">
      <c r="I33253" s="101"/>
    </row>
    <row r="33254" spans="9:9" x14ac:dyDescent="0.3">
      <c r="I33254" s="101"/>
    </row>
    <row r="33255" spans="9:9" x14ac:dyDescent="0.3">
      <c r="I33255" s="101"/>
    </row>
    <row r="33256" spans="9:9" x14ac:dyDescent="0.3">
      <c r="I33256" s="101"/>
    </row>
    <row r="33257" spans="9:9" x14ac:dyDescent="0.3">
      <c r="I33257" s="101"/>
    </row>
    <row r="33258" spans="9:9" x14ac:dyDescent="0.3">
      <c r="I33258" s="101"/>
    </row>
    <row r="33259" spans="9:9" x14ac:dyDescent="0.3">
      <c r="I33259" s="101"/>
    </row>
    <row r="33260" spans="9:9" x14ac:dyDescent="0.3">
      <c r="I33260" s="101"/>
    </row>
    <row r="33261" spans="9:9" x14ac:dyDescent="0.3">
      <c r="I33261" s="101"/>
    </row>
    <row r="33262" spans="9:9" x14ac:dyDescent="0.3">
      <c r="I33262" s="101"/>
    </row>
    <row r="33263" spans="9:9" x14ac:dyDescent="0.3">
      <c r="I33263" s="101"/>
    </row>
    <row r="33264" spans="9:9" x14ac:dyDescent="0.3">
      <c r="I33264" s="101"/>
    </row>
    <row r="33265" spans="9:9" x14ac:dyDescent="0.3">
      <c r="I33265" s="101"/>
    </row>
    <row r="33266" spans="9:9" x14ac:dyDescent="0.3">
      <c r="I33266" s="101"/>
    </row>
    <row r="33267" spans="9:9" x14ac:dyDescent="0.3">
      <c r="I33267" s="101"/>
    </row>
    <row r="33268" spans="9:9" x14ac:dyDescent="0.3">
      <c r="I33268" s="101"/>
    </row>
    <row r="33269" spans="9:9" x14ac:dyDescent="0.3">
      <c r="I33269" s="101"/>
    </row>
    <row r="33270" spans="9:9" x14ac:dyDescent="0.3">
      <c r="I33270" s="101"/>
    </row>
    <row r="33271" spans="9:9" x14ac:dyDescent="0.3">
      <c r="I33271" s="101"/>
    </row>
    <row r="33272" spans="9:9" x14ac:dyDescent="0.3">
      <c r="I33272" s="101"/>
    </row>
    <row r="33273" spans="9:9" x14ac:dyDescent="0.3">
      <c r="I33273" s="101"/>
    </row>
    <row r="33274" spans="9:9" x14ac:dyDescent="0.3">
      <c r="I33274" s="101"/>
    </row>
    <row r="33275" spans="9:9" x14ac:dyDescent="0.3">
      <c r="I33275" s="101"/>
    </row>
    <row r="33276" spans="9:9" x14ac:dyDescent="0.3">
      <c r="I33276" s="101"/>
    </row>
    <row r="33277" spans="9:9" x14ac:dyDescent="0.3">
      <c r="I33277" s="101"/>
    </row>
    <row r="33278" spans="9:9" x14ac:dyDescent="0.3">
      <c r="I33278" s="101"/>
    </row>
    <row r="33279" spans="9:9" x14ac:dyDescent="0.3">
      <c r="I33279" s="101"/>
    </row>
    <row r="33280" spans="9:9" x14ac:dyDescent="0.3">
      <c r="I33280" s="101"/>
    </row>
    <row r="33281" spans="9:9" x14ac:dyDescent="0.3">
      <c r="I33281" s="101"/>
    </row>
    <row r="33282" spans="9:9" x14ac:dyDescent="0.3">
      <c r="I33282" s="101"/>
    </row>
    <row r="33283" spans="9:9" x14ac:dyDescent="0.3">
      <c r="I33283" s="101"/>
    </row>
    <row r="33284" spans="9:9" x14ac:dyDescent="0.3">
      <c r="I33284" s="101"/>
    </row>
    <row r="33285" spans="9:9" x14ac:dyDescent="0.3">
      <c r="I33285" s="101"/>
    </row>
    <row r="33286" spans="9:9" x14ac:dyDescent="0.3">
      <c r="I33286" s="101"/>
    </row>
    <row r="33287" spans="9:9" x14ac:dyDescent="0.3">
      <c r="I33287" s="101"/>
    </row>
    <row r="33288" spans="9:9" x14ac:dyDescent="0.3">
      <c r="I33288" s="101"/>
    </row>
    <row r="33289" spans="9:9" x14ac:dyDescent="0.3">
      <c r="I33289" s="101"/>
    </row>
    <row r="33290" spans="9:9" x14ac:dyDescent="0.3">
      <c r="I33290" s="101"/>
    </row>
    <row r="33291" spans="9:9" x14ac:dyDescent="0.3">
      <c r="I33291" s="101"/>
    </row>
    <row r="33292" spans="9:9" x14ac:dyDescent="0.3">
      <c r="I33292" s="101"/>
    </row>
    <row r="33293" spans="9:9" x14ac:dyDescent="0.3">
      <c r="I33293" s="101"/>
    </row>
    <row r="33294" spans="9:9" x14ac:dyDescent="0.3">
      <c r="I33294" s="101"/>
    </row>
    <row r="33295" spans="9:9" x14ac:dyDescent="0.3">
      <c r="I33295" s="101"/>
    </row>
    <row r="33296" spans="9:9" x14ac:dyDescent="0.3">
      <c r="I33296" s="101"/>
    </row>
    <row r="33297" spans="9:9" x14ac:dyDescent="0.3">
      <c r="I33297" s="101"/>
    </row>
    <row r="33298" spans="9:9" x14ac:dyDescent="0.3">
      <c r="I33298" s="101"/>
    </row>
    <row r="33299" spans="9:9" x14ac:dyDescent="0.3">
      <c r="I33299" s="101"/>
    </row>
    <row r="33300" spans="9:9" x14ac:dyDescent="0.3">
      <c r="I33300" s="101"/>
    </row>
    <row r="33301" spans="9:9" x14ac:dyDescent="0.3">
      <c r="I33301" s="101"/>
    </row>
    <row r="33302" spans="9:9" x14ac:dyDescent="0.3">
      <c r="I33302" s="101"/>
    </row>
    <row r="33303" spans="9:9" x14ac:dyDescent="0.3">
      <c r="I33303" s="101"/>
    </row>
    <row r="33304" spans="9:9" x14ac:dyDescent="0.3">
      <c r="I33304" s="101"/>
    </row>
    <row r="33305" spans="9:9" x14ac:dyDescent="0.3">
      <c r="I33305" s="101"/>
    </row>
    <row r="33306" spans="9:9" x14ac:dyDescent="0.3">
      <c r="I33306" s="101"/>
    </row>
    <row r="33307" spans="9:9" x14ac:dyDescent="0.3">
      <c r="I33307" s="101"/>
    </row>
    <row r="33308" spans="9:9" x14ac:dyDescent="0.3">
      <c r="I33308" s="101"/>
    </row>
    <row r="33309" spans="9:9" x14ac:dyDescent="0.3">
      <c r="I33309" s="101"/>
    </row>
    <row r="33310" spans="9:9" x14ac:dyDescent="0.3">
      <c r="I33310" s="101"/>
    </row>
    <row r="33311" spans="9:9" x14ac:dyDescent="0.3">
      <c r="I33311" s="101"/>
    </row>
    <row r="33312" spans="9:9" x14ac:dyDescent="0.3">
      <c r="I33312" s="101"/>
    </row>
    <row r="33313" spans="9:9" x14ac:dyDescent="0.3">
      <c r="I33313" s="101"/>
    </row>
    <row r="33314" spans="9:9" x14ac:dyDescent="0.3">
      <c r="I33314" s="101"/>
    </row>
    <row r="33315" spans="9:9" x14ac:dyDescent="0.3">
      <c r="I33315" s="101"/>
    </row>
    <row r="33316" spans="9:9" x14ac:dyDescent="0.3">
      <c r="I33316" s="101"/>
    </row>
    <row r="33317" spans="9:9" x14ac:dyDescent="0.3">
      <c r="I33317" s="101"/>
    </row>
    <row r="33318" spans="9:9" x14ac:dyDescent="0.3">
      <c r="I33318" s="101"/>
    </row>
    <row r="33319" spans="9:9" x14ac:dyDescent="0.3">
      <c r="I33319" s="101"/>
    </row>
    <row r="33320" spans="9:9" x14ac:dyDescent="0.3">
      <c r="I33320" s="101"/>
    </row>
    <row r="33321" spans="9:9" x14ac:dyDescent="0.3">
      <c r="I33321" s="101"/>
    </row>
    <row r="33322" spans="9:9" x14ac:dyDescent="0.3">
      <c r="I33322" s="101"/>
    </row>
    <row r="33323" spans="9:9" x14ac:dyDescent="0.3">
      <c r="I33323" s="101"/>
    </row>
    <row r="33324" spans="9:9" x14ac:dyDescent="0.3">
      <c r="I33324" s="101"/>
    </row>
    <row r="33325" spans="9:9" x14ac:dyDescent="0.3">
      <c r="I33325" s="101"/>
    </row>
    <row r="33326" spans="9:9" x14ac:dyDescent="0.3">
      <c r="I33326" s="101"/>
    </row>
    <row r="33327" spans="9:9" x14ac:dyDescent="0.3">
      <c r="I33327" s="101"/>
    </row>
    <row r="33328" spans="9:9" x14ac:dyDescent="0.3">
      <c r="I33328" s="101"/>
    </row>
    <row r="33329" spans="9:9" x14ac:dyDescent="0.3">
      <c r="I33329" s="101"/>
    </row>
    <row r="33330" spans="9:9" x14ac:dyDescent="0.3">
      <c r="I33330" s="101"/>
    </row>
    <row r="33331" spans="9:9" x14ac:dyDescent="0.3">
      <c r="I33331" s="101"/>
    </row>
    <row r="33332" spans="9:9" x14ac:dyDescent="0.3">
      <c r="I33332" s="101"/>
    </row>
    <row r="33333" spans="9:9" x14ac:dyDescent="0.3">
      <c r="I33333" s="101"/>
    </row>
    <row r="33334" spans="9:9" x14ac:dyDescent="0.3">
      <c r="I33334" s="101"/>
    </row>
    <row r="33335" spans="9:9" x14ac:dyDescent="0.3">
      <c r="I33335" s="101"/>
    </row>
    <row r="33336" spans="9:9" x14ac:dyDescent="0.3">
      <c r="I33336" s="101"/>
    </row>
    <row r="33337" spans="9:9" x14ac:dyDescent="0.3">
      <c r="I33337" s="101"/>
    </row>
    <row r="33338" spans="9:9" x14ac:dyDescent="0.3">
      <c r="I33338" s="101"/>
    </row>
    <row r="33339" spans="9:9" x14ac:dyDescent="0.3">
      <c r="I33339" s="101"/>
    </row>
    <row r="33340" spans="9:9" x14ac:dyDescent="0.3">
      <c r="I33340" s="101"/>
    </row>
    <row r="33341" spans="9:9" x14ac:dyDescent="0.3">
      <c r="I33341" s="101"/>
    </row>
    <row r="33342" spans="9:9" x14ac:dyDescent="0.3">
      <c r="I33342" s="101"/>
    </row>
    <row r="33343" spans="9:9" x14ac:dyDescent="0.3">
      <c r="I33343" s="101"/>
    </row>
    <row r="33344" spans="9:9" x14ac:dyDescent="0.3">
      <c r="I33344" s="101"/>
    </row>
    <row r="33345" spans="9:9" x14ac:dyDescent="0.3">
      <c r="I33345" s="101"/>
    </row>
    <row r="33346" spans="9:9" x14ac:dyDescent="0.3">
      <c r="I33346" s="101"/>
    </row>
    <row r="33347" spans="9:9" x14ac:dyDescent="0.3">
      <c r="I33347" s="101"/>
    </row>
    <row r="33348" spans="9:9" x14ac:dyDescent="0.3">
      <c r="I33348" s="101"/>
    </row>
    <row r="33349" spans="9:9" x14ac:dyDescent="0.3">
      <c r="I33349" s="101"/>
    </row>
    <row r="33350" spans="9:9" x14ac:dyDescent="0.3">
      <c r="I33350" s="101"/>
    </row>
    <row r="33351" spans="9:9" x14ac:dyDescent="0.3">
      <c r="I33351" s="101"/>
    </row>
    <row r="33352" spans="9:9" x14ac:dyDescent="0.3">
      <c r="I33352" s="101"/>
    </row>
    <row r="33353" spans="9:9" x14ac:dyDescent="0.3">
      <c r="I33353" s="101"/>
    </row>
    <row r="33354" spans="9:9" x14ac:dyDescent="0.3">
      <c r="I33354" s="101"/>
    </row>
    <row r="33355" spans="9:9" x14ac:dyDescent="0.3">
      <c r="I33355" s="101"/>
    </row>
    <row r="33356" spans="9:9" x14ac:dyDescent="0.3">
      <c r="I33356" s="101"/>
    </row>
    <row r="33357" spans="9:9" x14ac:dyDescent="0.3">
      <c r="I33357" s="101"/>
    </row>
    <row r="33358" spans="9:9" x14ac:dyDescent="0.3">
      <c r="I33358" s="101"/>
    </row>
    <row r="33359" spans="9:9" x14ac:dyDescent="0.3">
      <c r="I33359" s="101"/>
    </row>
    <row r="33360" spans="9:9" x14ac:dyDescent="0.3">
      <c r="I33360" s="101"/>
    </row>
    <row r="33361" spans="9:9" x14ac:dyDescent="0.3">
      <c r="I33361" s="101"/>
    </row>
    <row r="33362" spans="9:9" x14ac:dyDescent="0.3">
      <c r="I33362" s="101"/>
    </row>
    <row r="33363" spans="9:9" x14ac:dyDescent="0.3">
      <c r="I33363" s="101"/>
    </row>
    <row r="33364" spans="9:9" x14ac:dyDescent="0.3">
      <c r="I33364" s="101"/>
    </row>
    <row r="33365" spans="9:9" x14ac:dyDescent="0.3">
      <c r="I33365" s="101"/>
    </row>
    <row r="33366" spans="9:9" x14ac:dyDescent="0.3">
      <c r="I33366" s="101"/>
    </row>
    <row r="33367" spans="9:9" x14ac:dyDescent="0.3">
      <c r="I33367" s="101"/>
    </row>
    <row r="33368" spans="9:9" x14ac:dyDescent="0.3">
      <c r="I33368" s="101"/>
    </row>
    <row r="33369" spans="9:9" x14ac:dyDescent="0.3">
      <c r="I33369" s="101"/>
    </row>
    <row r="33370" spans="9:9" x14ac:dyDescent="0.3">
      <c r="I33370" s="101"/>
    </row>
    <row r="33371" spans="9:9" x14ac:dyDescent="0.3">
      <c r="I33371" s="101"/>
    </row>
    <row r="33372" spans="9:9" x14ac:dyDescent="0.3">
      <c r="I33372" s="101"/>
    </row>
    <row r="33373" spans="9:9" x14ac:dyDescent="0.3">
      <c r="I33373" s="101"/>
    </row>
    <row r="33374" spans="9:9" x14ac:dyDescent="0.3">
      <c r="I33374" s="101"/>
    </row>
    <row r="33375" spans="9:9" x14ac:dyDescent="0.3">
      <c r="I33375" s="101"/>
    </row>
    <row r="33376" spans="9:9" x14ac:dyDescent="0.3">
      <c r="I33376" s="101"/>
    </row>
    <row r="33377" spans="9:9" x14ac:dyDescent="0.3">
      <c r="I33377" s="101"/>
    </row>
    <row r="33378" spans="9:9" x14ac:dyDescent="0.3">
      <c r="I33378" s="101"/>
    </row>
    <row r="33379" spans="9:9" x14ac:dyDescent="0.3">
      <c r="I33379" s="101"/>
    </row>
    <row r="33380" spans="9:9" x14ac:dyDescent="0.3">
      <c r="I33380" s="101"/>
    </row>
    <row r="33381" spans="9:9" x14ac:dyDescent="0.3">
      <c r="I33381" s="101"/>
    </row>
    <row r="33382" spans="9:9" x14ac:dyDescent="0.3">
      <c r="I33382" s="101"/>
    </row>
    <row r="33383" spans="9:9" x14ac:dyDescent="0.3">
      <c r="I33383" s="101"/>
    </row>
    <row r="33384" spans="9:9" x14ac:dyDescent="0.3">
      <c r="I33384" s="101"/>
    </row>
    <row r="33385" spans="9:9" x14ac:dyDescent="0.3">
      <c r="I33385" s="101"/>
    </row>
    <row r="33386" spans="9:9" x14ac:dyDescent="0.3">
      <c r="I33386" s="101"/>
    </row>
    <row r="33387" spans="9:9" x14ac:dyDescent="0.3">
      <c r="I33387" s="101"/>
    </row>
    <row r="33388" spans="9:9" x14ac:dyDescent="0.3">
      <c r="I33388" s="101"/>
    </row>
    <row r="33389" spans="9:9" x14ac:dyDescent="0.3">
      <c r="I33389" s="101"/>
    </row>
    <row r="33390" spans="9:9" x14ac:dyDescent="0.3">
      <c r="I33390" s="101"/>
    </row>
    <row r="33391" spans="9:9" x14ac:dyDescent="0.3">
      <c r="I33391" s="101"/>
    </row>
    <row r="33392" spans="9:9" x14ac:dyDescent="0.3">
      <c r="I33392" s="101"/>
    </row>
    <row r="33393" spans="9:9" x14ac:dyDescent="0.3">
      <c r="I33393" s="101"/>
    </row>
    <row r="33394" spans="9:9" x14ac:dyDescent="0.3">
      <c r="I33394" s="101"/>
    </row>
    <row r="33395" spans="9:9" x14ac:dyDescent="0.3">
      <c r="I33395" s="101"/>
    </row>
    <row r="33396" spans="9:9" x14ac:dyDescent="0.3">
      <c r="I33396" s="101"/>
    </row>
    <row r="33397" spans="9:9" x14ac:dyDescent="0.3">
      <c r="I33397" s="101"/>
    </row>
    <row r="33398" spans="9:9" x14ac:dyDescent="0.3">
      <c r="I33398" s="101"/>
    </row>
    <row r="33399" spans="9:9" x14ac:dyDescent="0.3">
      <c r="I33399" s="101"/>
    </row>
    <row r="33400" spans="9:9" x14ac:dyDescent="0.3">
      <c r="I33400" s="101"/>
    </row>
    <row r="33401" spans="9:9" x14ac:dyDescent="0.3">
      <c r="I33401" s="101"/>
    </row>
    <row r="33402" spans="9:9" x14ac:dyDescent="0.3">
      <c r="I33402" s="101"/>
    </row>
    <row r="33403" spans="9:9" x14ac:dyDescent="0.3">
      <c r="I33403" s="101"/>
    </row>
    <row r="33404" spans="9:9" x14ac:dyDescent="0.3">
      <c r="I33404" s="101"/>
    </row>
    <row r="33405" spans="9:9" x14ac:dyDescent="0.3">
      <c r="I33405" s="101"/>
    </row>
    <row r="33406" spans="9:9" x14ac:dyDescent="0.3">
      <c r="I33406" s="101"/>
    </row>
    <row r="33407" spans="9:9" x14ac:dyDescent="0.3">
      <c r="I33407" s="101"/>
    </row>
    <row r="33408" spans="9:9" x14ac:dyDescent="0.3">
      <c r="I33408" s="101"/>
    </row>
    <row r="33409" spans="9:9" x14ac:dyDescent="0.3">
      <c r="I33409" s="101"/>
    </row>
    <row r="33410" spans="9:9" x14ac:dyDescent="0.3">
      <c r="I33410" s="101"/>
    </row>
    <row r="33411" spans="9:9" x14ac:dyDescent="0.3">
      <c r="I33411" s="101"/>
    </row>
    <row r="33412" spans="9:9" x14ac:dyDescent="0.3">
      <c r="I33412" s="101"/>
    </row>
    <row r="33413" spans="9:9" x14ac:dyDescent="0.3">
      <c r="I33413" s="101"/>
    </row>
    <row r="33414" spans="9:9" x14ac:dyDescent="0.3">
      <c r="I33414" s="101"/>
    </row>
    <row r="33415" spans="9:9" x14ac:dyDescent="0.3">
      <c r="I33415" s="101"/>
    </row>
    <row r="33416" spans="9:9" x14ac:dyDescent="0.3">
      <c r="I33416" s="101"/>
    </row>
    <row r="33417" spans="9:9" x14ac:dyDescent="0.3">
      <c r="I33417" s="101"/>
    </row>
    <row r="33418" spans="9:9" x14ac:dyDescent="0.3">
      <c r="I33418" s="101"/>
    </row>
    <row r="33419" spans="9:9" x14ac:dyDescent="0.3">
      <c r="I33419" s="101"/>
    </row>
    <row r="33420" spans="9:9" x14ac:dyDescent="0.3">
      <c r="I33420" s="101"/>
    </row>
    <row r="33421" spans="9:9" x14ac:dyDescent="0.3">
      <c r="I33421" s="101"/>
    </row>
    <row r="33422" spans="9:9" x14ac:dyDescent="0.3">
      <c r="I33422" s="101"/>
    </row>
    <row r="33423" spans="9:9" x14ac:dyDescent="0.3">
      <c r="I33423" s="101"/>
    </row>
    <row r="33424" spans="9:9" x14ac:dyDescent="0.3">
      <c r="I33424" s="101"/>
    </row>
    <row r="33425" spans="9:9" x14ac:dyDescent="0.3">
      <c r="I33425" s="101"/>
    </row>
    <row r="33426" spans="9:9" x14ac:dyDescent="0.3">
      <c r="I33426" s="101"/>
    </row>
    <row r="33427" spans="9:9" x14ac:dyDescent="0.3">
      <c r="I33427" s="101"/>
    </row>
    <row r="33428" spans="9:9" x14ac:dyDescent="0.3">
      <c r="I33428" s="101"/>
    </row>
    <row r="33429" spans="9:9" x14ac:dyDescent="0.3">
      <c r="I33429" s="101"/>
    </row>
    <row r="33430" spans="9:9" x14ac:dyDescent="0.3">
      <c r="I33430" s="101"/>
    </row>
    <row r="33431" spans="9:9" x14ac:dyDescent="0.3">
      <c r="I33431" s="101"/>
    </row>
    <row r="33432" spans="9:9" x14ac:dyDescent="0.3">
      <c r="I33432" s="101"/>
    </row>
    <row r="33433" spans="9:9" x14ac:dyDescent="0.3">
      <c r="I33433" s="101"/>
    </row>
    <row r="33434" spans="9:9" x14ac:dyDescent="0.3">
      <c r="I33434" s="101"/>
    </row>
    <row r="33435" spans="9:9" x14ac:dyDescent="0.3">
      <c r="I33435" s="101"/>
    </row>
    <row r="33436" spans="9:9" x14ac:dyDescent="0.3">
      <c r="I33436" s="101"/>
    </row>
    <row r="33437" spans="9:9" x14ac:dyDescent="0.3">
      <c r="I33437" s="101"/>
    </row>
    <row r="33438" spans="9:9" x14ac:dyDescent="0.3">
      <c r="I33438" s="101"/>
    </row>
    <row r="33439" spans="9:9" x14ac:dyDescent="0.3">
      <c r="I33439" s="101"/>
    </row>
    <row r="33440" spans="9:9" x14ac:dyDescent="0.3">
      <c r="I33440" s="101"/>
    </row>
    <row r="33441" spans="9:9" x14ac:dyDescent="0.3">
      <c r="I33441" s="101"/>
    </row>
    <row r="33442" spans="9:9" x14ac:dyDescent="0.3">
      <c r="I33442" s="101"/>
    </row>
    <row r="33443" spans="9:9" x14ac:dyDescent="0.3">
      <c r="I33443" s="101"/>
    </row>
    <row r="33444" spans="9:9" x14ac:dyDescent="0.3">
      <c r="I33444" s="101"/>
    </row>
    <row r="33445" spans="9:9" x14ac:dyDescent="0.3">
      <c r="I33445" s="101"/>
    </row>
    <row r="33446" spans="9:9" x14ac:dyDescent="0.3">
      <c r="I33446" s="101"/>
    </row>
    <row r="33447" spans="9:9" x14ac:dyDescent="0.3">
      <c r="I33447" s="101"/>
    </row>
    <row r="33448" spans="9:9" x14ac:dyDescent="0.3">
      <c r="I33448" s="101"/>
    </row>
    <row r="33449" spans="9:9" x14ac:dyDescent="0.3">
      <c r="I33449" s="101"/>
    </row>
    <row r="33450" spans="9:9" x14ac:dyDescent="0.3">
      <c r="I33450" s="101"/>
    </row>
    <row r="33451" spans="9:9" x14ac:dyDescent="0.3">
      <c r="I33451" s="101"/>
    </row>
    <row r="33452" spans="9:9" x14ac:dyDescent="0.3">
      <c r="I33452" s="101"/>
    </row>
    <row r="33453" spans="9:9" x14ac:dyDescent="0.3">
      <c r="I33453" s="101"/>
    </row>
    <row r="33454" spans="9:9" x14ac:dyDescent="0.3">
      <c r="I33454" s="101"/>
    </row>
    <row r="33455" spans="9:9" x14ac:dyDescent="0.3">
      <c r="I33455" s="101"/>
    </row>
    <row r="33456" spans="9:9" x14ac:dyDescent="0.3">
      <c r="I33456" s="101"/>
    </row>
    <row r="33457" spans="9:9" x14ac:dyDescent="0.3">
      <c r="I33457" s="101"/>
    </row>
    <row r="33458" spans="9:9" x14ac:dyDescent="0.3">
      <c r="I33458" s="101"/>
    </row>
    <row r="33459" spans="9:9" x14ac:dyDescent="0.3">
      <c r="I33459" s="101"/>
    </row>
    <row r="33460" spans="9:9" x14ac:dyDescent="0.3">
      <c r="I33460" s="101"/>
    </row>
    <row r="33461" spans="9:9" x14ac:dyDescent="0.3">
      <c r="I33461" s="101"/>
    </row>
    <row r="33462" spans="9:9" x14ac:dyDescent="0.3">
      <c r="I33462" s="101"/>
    </row>
    <row r="33463" spans="9:9" x14ac:dyDescent="0.3">
      <c r="I33463" s="101"/>
    </row>
    <row r="33464" spans="9:9" x14ac:dyDescent="0.3">
      <c r="I33464" s="101"/>
    </row>
    <row r="33465" spans="9:9" x14ac:dyDescent="0.3">
      <c r="I33465" s="101"/>
    </row>
    <row r="33466" spans="9:9" x14ac:dyDescent="0.3">
      <c r="I33466" s="101"/>
    </row>
    <row r="33467" spans="9:9" x14ac:dyDescent="0.3">
      <c r="I33467" s="101"/>
    </row>
    <row r="33468" spans="9:9" x14ac:dyDescent="0.3">
      <c r="I33468" s="101"/>
    </row>
    <row r="33469" spans="9:9" x14ac:dyDescent="0.3">
      <c r="I33469" s="101"/>
    </row>
    <row r="33470" spans="9:9" x14ac:dyDescent="0.3">
      <c r="I33470" s="101"/>
    </row>
    <row r="33471" spans="9:9" x14ac:dyDescent="0.3">
      <c r="I33471" s="101"/>
    </row>
    <row r="33472" spans="9:9" x14ac:dyDescent="0.3">
      <c r="I33472" s="101"/>
    </row>
    <row r="33473" spans="9:9" x14ac:dyDescent="0.3">
      <c r="I33473" s="101"/>
    </row>
    <row r="33474" spans="9:9" x14ac:dyDescent="0.3">
      <c r="I33474" s="101"/>
    </row>
    <row r="33475" spans="9:9" x14ac:dyDescent="0.3">
      <c r="I33475" s="101"/>
    </row>
    <row r="33476" spans="9:9" x14ac:dyDescent="0.3">
      <c r="I33476" s="101"/>
    </row>
    <row r="33477" spans="9:9" x14ac:dyDescent="0.3">
      <c r="I33477" s="101"/>
    </row>
    <row r="33478" spans="9:9" x14ac:dyDescent="0.3">
      <c r="I33478" s="101"/>
    </row>
    <row r="33479" spans="9:9" x14ac:dyDescent="0.3">
      <c r="I33479" s="101"/>
    </row>
    <row r="33480" spans="9:9" x14ac:dyDescent="0.3">
      <c r="I33480" s="101"/>
    </row>
    <row r="33481" spans="9:9" x14ac:dyDescent="0.3">
      <c r="I33481" s="101"/>
    </row>
    <row r="33482" spans="9:9" x14ac:dyDescent="0.3">
      <c r="I33482" s="101"/>
    </row>
    <row r="33483" spans="9:9" x14ac:dyDescent="0.3">
      <c r="I33483" s="101"/>
    </row>
    <row r="33484" spans="9:9" x14ac:dyDescent="0.3">
      <c r="I33484" s="101"/>
    </row>
    <row r="33485" spans="9:9" x14ac:dyDescent="0.3">
      <c r="I33485" s="101"/>
    </row>
    <row r="33486" spans="9:9" x14ac:dyDescent="0.3">
      <c r="I33486" s="101"/>
    </row>
    <row r="33487" spans="9:9" x14ac:dyDescent="0.3">
      <c r="I33487" s="101"/>
    </row>
    <row r="33488" spans="9:9" x14ac:dyDescent="0.3">
      <c r="I33488" s="101"/>
    </row>
    <row r="33489" spans="9:9" x14ac:dyDescent="0.3">
      <c r="I33489" s="101"/>
    </row>
    <row r="33490" spans="9:9" x14ac:dyDescent="0.3">
      <c r="I33490" s="101"/>
    </row>
    <row r="33491" spans="9:9" x14ac:dyDescent="0.3">
      <c r="I33491" s="101"/>
    </row>
    <row r="33492" spans="9:9" x14ac:dyDescent="0.3">
      <c r="I33492" s="101"/>
    </row>
    <row r="33493" spans="9:9" x14ac:dyDescent="0.3">
      <c r="I33493" s="101"/>
    </row>
    <row r="33494" spans="9:9" x14ac:dyDescent="0.3">
      <c r="I33494" s="101"/>
    </row>
    <row r="33495" spans="9:9" x14ac:dyDescent="0.3">
      <c r="I33495" s="101"/>
    </row>
    <row r="33496" spans="9:9" x14ac:dyDescent="0.3">
      <c r="I33496" s="101"/>
    </row>
    <row r="33497" spans="9:9" x14ac:dyDescent="0.3">
      <c r="I33497" s="101"/>
    </row>
    <row r="33498" spans="9:9" x14ac:dyDescent="0.3">
      <c r="I33498" s="101"/>
    </row>
    <row r="33499" spans="9:9" x14ac:dyDescent="0.3">
      <c r="I33499" s="101"/>
    </row>
    <row r="33500" spans="9:9" x14ac:dyDescent="0.3">
      <c r="I33500" s="101"/>
    </row>
    <row r="33501" spans="9:9" x14ac:dyDescent="0.3">
      <c r="I33501" s="101"/>
    </row>
    <row r="33502" spans="9:9" x14ac:dyDescent="0.3">
      <c r="I33502" s="101"/>
    </row>
    <row r="33503" spans="9:9" x14ac:dyDescent="0.3">
      <c r="I33503" s="101"/>
    </row>
    <row r="33504" spans="9:9" x14ac:dyDescent="0.3">
      <c r="I33504" s="101"/>
    </row>
    <row r="33505" spans="9:9" x14ac:dyDescent="0.3">
      <c r="I33505" s="101"/>
    </row>
    <row r="33506" spans="9:9" x14ac:dyDescent="0.3">
      <c r="I33506" s="101"/>
    </row>
    <row r="33507" spans="9:9" x14ac:dyDescent="0.3">
      <c r="I33507" s="101"/>
    </row>
    <row r="33508" spans="9:9" x14ac:dyDescent="0.3">
      <c r="I33508" s="101"/>
    </row>
    <row r="33509" spans="9:9" x14ac:dyDescent="0.3">
      <c r="I33509" s="101"/>
    </row>
    <row r="33510" spans="9:9" x14ac:dyDescent="0.3">
      <c r="I33510" s="101"/>
    </row>
    <row r="33511" spans="9:9" x14ac:dyDescent="0.3">
      <c r="I33511" s="101"/>
    </row>
    <row r="33512" spans="9:9" x14ac:dyDescent="0.3">
      <c r="I33512" s="101"/>
    </row>
    <row r="33513" spans="9:9" x14ac:dyDescent="0.3">
      <c r="I33513" s="101"/>
    </row>
    <row r="33514" spans="9:9" x14ac:dyDescent="0.3">
      <c r="I33514" s="101"/>
    </row>
    <row r="33515" spans="9:9" x14ac:dyDescent="0.3">
      <c r="I33515" s="101"/>
    </row>
    <row r="33516" spans="9:9" x14ac:dyDescent="0.3">
      <c r="I33516" s="101"/>
    </row>
    <row r="33517" spans="9:9" x14ac:dyDescent="0.3">
      <c r="I33517" s="101"/>
    </row>
    <row r="33518" spans="9:9" x14ac:dyDescent="0.3">
      <c r="I33518" s="101"/>
    </row>
    <row r="33519" spans="9:9" x14ac:dyDescent="0.3">
      <c r="I33519" s="101"/>
    </row>
    <row r="33520" spans="9:9" x14ac:dyDescent="0.3">
      <c r="I33520" s="101"/>
    </row>
    <row r="33521" spans="9:9" x14ac:dyDescent="0.3">
      <c r="I33521" s="101"/>
    </row>
    <row r="33522" spans="9:9" x14ac:dyDescent="0.3">
      <c r="I33522" s="101"/>
    </row>
    <row r="33523" spans="9:9" x14ac:dyDescent="0.3">
      <c r="I33523" s="101"/>
    </row>
    <row r="33524" spans="9:9" x14ac:dyDescent="0.3">
      <c r="I33524" s="101"/>
    </row>
    <row r="33525" spans="9:9" x14ac:dyDescent="0.3">
      <c r="I33525" s="101"/>
    </row>
    <row r="33526" spans="9:9" x14ac:dyDescent="0.3">
      <c r="I33526" s="101"/>
    </row>
    <row r="33527" spans="9:9" x14ac:dyDescent="0.3">
      <c r="I33527" s="101"/>
    </row>
    <row r="33528" spans="9:9" x14ac:dyDescent="0.3">
      <c r="I33528" s="101"/>
    </row>
    <row r="33529" spans="9:9" x14ac:dyDescent="0.3">
      <c r="I33529" s="101"/>
    </row>
    <row r="33530" spans="9:9" x14ac:dyDescent="0.3">
      <c r="I33530" s="101"/>
    </row>
    <row r="33531" spans="9:9" x14ac:dyDescent="0.3">
      <c r="I33531" s="101"/>
    </row>
    <row r="33532" spans="9:9" x14ac:dyDescent="0.3">
      <c r="I33532" s="101"/>
    </row>
    <row r="33533" spans="9:9" x14ac:dyDescent="0.3">
      <c r="I33533" s="101"/>
    </row>
    <row r="33534" spans="9:9" x14ac:dyDescent="0.3">
      <c r="I33534" s="101"/>
    </row>
    <row r="33535" spans="9:9" x14ac:dyDescent="0.3">
      <c r="I33535" s="101"/>
    </row>
    <row r="33536" spans="9:9" x14ac:dyDescent="0.3">
      <c r="I33536" s="101"/>
    </row>
    <row r="33537" spans="9:9" x14ac:dyDescent="0.3">
      <c r="I33537" s="101"/>
    </row>
    <row r="33538" spans="9:9" x14ac:dyDescent="0.3">
      <c r="I33538" s="101"/>
    </row>
    <row r="33539" spans="9:9" x14ac:dyDescent="0.3">
      <c r="I33539" s="101"/>
    </row>
    <row r="33540" spans="9:9" x14ac:dyDescent="0.3">
      <c r="I33540" s="101"/>
    </row>
    <row r="33541" spans="9:9" x14ac:dyDescent="0.3">
      <c r="I33541" s="101"/>
    </row>
    <row r="33542" spans="9:9" x14ac:dyDescent="0.3">
      <c r="I33542" s="101"/>
    </row>
    <row r="33543" spans="9:9" x14ac:dyDescent="0.3">
      <c r="I33543" s="101"/>
    </row>
    <row r="33544" spans="9:9" x14ac:dyDescent="0.3">
      <c r="I33544" s="101"/>
    </row>
    <row r="33545" spans="9:9" x14ac:dyDescent="0.3">
      <c r="I33545" s="101"/>
    </row>
    <row r="33546" spans="9:9" x14ac:dyDescent="0.3">
      <c r="I33546" s="101"/>
    </row>
    <row r="33547" spans="9:9" x14ac:dyDescent="0.3">
      <c r="I33547" s="101"/>
    </row>
    <row r="33548" spans="9:9" x14ac:dyDescent="0.3">
      <c r="I33548" s="101"/>
    </row>
    <row r="33549" spans="9:9" x14ac:dyDescent="0.3">
      <c r="I33549" s="101"/>
    </row>
    <row r="33550" spans="9:9" x14ac:dyDescent="0.3">
      <c r="I33550" s="101"/>
    </row>
    <row r="33551" spans="9:9" x14ac:dyDescent="0.3">
      <c r="I33551" s="101"/>
    </row>
    <row r="33552" spans="9:9" x14ac:dyDescent="0.3">
      <c r="I33552" s="101"/>
    </row>
    <row r="33553" spans="9:9" x14ac:dyDescent="0.3">
      <c r="I33553" s="101"/>
    </row>
    <row r="33554" spans="9:9" x14ac:dyDescent="0.3">
      <c r="I33554" s="101"/>
    </row>
    <row r="33555" spans="9:9" x14ac:dyDescent="0.3">
      <c r="I33555" s="101"/>
    </row>
    <row r="33556" spans="9:9" x14ac:dyDescent="0.3">
      <c r="I33556" s="101"/>
    </row>
    <row r="33557" spans="9:9" x14ac:dyDescent="0.3">
      <c r="I33557" s="101"/>
    </row>
    <row r="33558" spans="9:9" x14ac:dyDescent="0.3">
      <c r="I33558" s="101"/>
    </row>
    <row r="33559" spans="9:9" x14ac:dyDescent="0.3">
      <c r="I33559" s="101"/>
    </row>
    <row r="33560" spans="9:9" x14ac:dyDescent="0.3">
      <c r="I33560" s="101"/>
    </row>
    <row r="33561" spans="9:9" x14ac:dyDescent="0.3">
      <c r="I33561" s="101"/>
    </row>
    <row r="33562" spans="9:9" x14ac:dyDescent="0.3">
      <c r="I33562" s="101"/>
    </row>
    <row r="33563" spans="9:9" x14ac:dyDescent="0.3">
      <c r="I33563" s="101"/>
    </row>
    <row r="33564" spans="9:9" x14ac:dyDescent="0.3">
      <c r="I33564" s="101"/>
    </row>
    <row r="33565" spans="9:9" x14ac:dyDescent="0.3">
      <c r="I33565" s="101"/>
    </row>
    <row r="33566" spans="9:9" x14ac:dyDescent="0.3">
      <c r="I33566" s="101"/>
    </row>
    <row r="33567" spans="9:9" x14ac:dyDescent="0.3">
      <c r="I33567" s="101"/>
    </row>
    <row r="33568" spans="9:9" x14ac:dyDescent="0.3">
      <c r="I33568" s="101"/>
    </row>
    <row r="33569" spans="9:9" x14ac:dyDescent="0.3">
      <c r="I33569" s="101"/>
    </row>
    <row r="33570" spans="9:9" x14ac:dyDescent="0.3">
      <c r="I33570" s="101"/>
    </row>
    <row r="33571" spans="9:9" x14ac:dyDescent="0.3">
      <c r="I33571" s="101"/>
    </row>
    <row r="33572" spans="9:9" x14ac:dyDescent="0.3">
      <c r="I33572" s="101"/>
    </row>
    <row r="33573" spans="9:9" x14ac:dyDescent="0.3">
      <c r="I33573" s="101"/>
    </row>
    <row r="33574" spans="9:9" x14ac:dyDescent="0.3">
      <c r="I33574" s="101"/>
    </row>
    <row r="33575" spans="9:9" x14ac:dyDescent="0.3">
      <c r="I33575" s="101"/>
    </row>
    <row r="33576" spans="9:9" x14ac:dyDescent="0.3">
      <c r="I33576" s="101"/>
    </row>
    <row r="33577" spans="9:9" x14ac:dyDescent="0.3">
      <c r="I33577" s="101"/>
    </row>
    <row r="33578" spans="9:9" x14ac:dyDescent="0.3">
      <c r="I33578" s="101"/>
    </row>
    <row r="33579" spans="9:9" x14ac:dyDescent="0.3">
      <c r="I33579" s="101"/>
    </row>
    <row r="33580" spans="9:9" x14ac:dyDescent="0.3">
      <c r="I33580" s="101"/>
    </row>
    <row r="33581" spans="9:9" x14ac:dyDescent="0.3">
      <c r="I33581" s="101"/>
    </row>
    <row r="33582" spans="9:9" x14ac:dyDescent="0.3">
      <c r="I33582" s="101"/>
    </row>
    <row r="33583" spans="9:9" x14ac:dyDescent="0.3">
      <c r="I33583" s="101"/>
    </row>
    <row r="33584" spans="9:9" x14ac:dyDescent="0.3">
      <c r="I33584" s="101"/>
    </row>
    <row r="33585" spans="9:9" x14ac:dyDescent="0.3">
      <c r="I33585" s="101"/>
    </row>
    <row r="33586" spans="9:9" x14ac:dyDescent="0.3">
      <c r="I33586" s="101"/>
    </row>
    <row r="33587" spans="9:9" x14ac:dyDescent="0.3">
      <c r="I33587" s="101"/>
    </row>
    <row r="33588" spans="9:9" x14ac:dyDescent="0.3">
      <c r="I33588" s="101"/>
    </row>
    <row r="33589" spans="9:9" x14ac:dyDescent="0.3">
      <c r="I33589" s="101"/>
    </row>
    <row r="33590" spans="9:9" x14ac:dyDescent="0.3">
      <c r="I33590" s="101"/>
    </row>
    <row r="33591" spans="9:9" x14ac:dyDescent="0.3">
      <c r="I33591" s="101"/>
    </row>
    <row r="33592" spans="9:9" x14ac:dyDescent="0.3">
      <c r="I33592" s="101"/>
    </row>
    <row r="33593" spans="9:9" x14ac:dyDescent="0.3">
      <c r="I33593" s="101"/>
    </row>
    <row r="33594" spans="9:9" x14ac:dyDescent="0.3">
      <c r="I33594" s="101"/>
    </row>
    <row r="33595" spans="9:9" x14ac:dyDescent="0.3">
      <c r="I33595" s="101"/>
    </row>
    <row r="33596" spans="9:9" x14ac:dyDescent="0.3">
      <c r="I33596" s="101"/>
    </row>
    <row r="33597" spans="9:9" x14ac:dyDescent="0.3">
      <c r="I33597" s="101"/>
    </row>
    <row r="33598" spans="9:9" x14ac:dyDescent="0.3">
      <c r="I33598" s="101"/>
    </row>
    <row r="33599" spans="9:9" x14ac:dyDescent="0.3">
      <c r="I33599" s="101"/>
    </row>
    <row r="33600" spans="9:9" x14ac:dyDescent="0.3">
      <c r="I33600" s="101"/>
    </row>
    <row r="33601" spans="9:9" x14ac:dyDescent="0.3">
      <c r="I33601" s="101"/>
    </row>
    <row r="33602" spans="9:9" x14ac:dyDescent="0.3">
      <c r="I33602" s="101"/>
    </row>
    <row r="33603" spans="9:9" x14ac:dyDescent="0.3">
      <c r="I33603" s="101"/>
    </row>
    <row r="33604" spans="9:9" x14ac:dyDescent="0.3">
      <c r="I33604" s="101"/>
    </row>
    <row r="33605" spans="9:9" x14ac:dyDescent="0.3">
      <c r="I33605" s="101"/>
    </row>
    <row r="33606" spans="9:9" x14ac:dyDescent="0.3">
      <c r="I33606" s="101"/>
    </row>
    <row r="33607" spans="9:9" x14ac:dyDescent="0.3">
      <c r="I33607" s="101"/>
    </row>
    <row r="33608" spans="9:9" x14ac:dyDescent="0.3">
      <c r="I33608" s="101"/>
    </row>
    <row r="33609" spans="9:9" x14ac:dyDescent="0.3">
      <c r="I33609" s="101"/>
    </row>
    <row r="33610" spans="9:9" x14ac:dyDescent="0.3">
      <c r="I33610" s="101"/>
    </row>
    <row r="33611" spans="9:9" x14ac:dyDescent="0.3">
      <c r="I33611" s="101"/>
    </row>
    <row r="33612" spans="9:9" x14ac:dyDescent="0.3">
      <c r="I33612" s="101"/>
    </row>
    <row r="33613" spans="9:9" x14ac:dyDescent="0.3">
      <c r="I33613" s="101"/>
    </row>
    <row r="33614" spans="9:9" x14ac:dyDescent="0.3">
      <c r="I33614" s="101"/>
    </row>
    <row r="33615" spans="9:9" x14ac:dyDescent="0.3">
      <c r="I33615" s="101"/>
    </row>
    <row r="33616" spans="9:9" x14ac:dyDescent="0.3">
      <c r="I33616" s="101"/>
    </row>
    <row r="33617" spans="9:9" x14ac:dyDescent="0.3">
      <c r="I33617" s="101"/>
    </row>
    <row r="33618" spans="9:9" x14ac:dyDescent="0.3">
      <c r="I33618" s="101"/>
    </row>
    <row r="33619" spans="9:9" x14ac:dyDescent="0.3">
      <c r="I33619" s="101"/>
    </row>
    <row r="33620" spans="9:9" x14ac:dyDescent="0.3">
      <c r="I33620" s="101"/>
    </row>
    <row r="33621" spans="9:9" x14ac:dyDescent="0.3">
      <c r="I33621" s="101"/>
    </row>
    <row r="33622" spans="9:9" x14ac:dyDescent="0.3">
      <c r="I33622" s="101"/>
    </row>
    <row r="33623" spans="9:9" x14ac:dyDescent="0.3">
      <c r="I33623" s="101"/>
    </row>
    <row r="33624" spans="9:9" x14ac:dyDescent="0.3">
      <c r="I33624" s="101"/>
    </row>
    <row r="33625" spans="9:9" x14ac:dyDescent="0.3">
      <c r="I33625" s="101"/>
    </row>
    <row r="33626" spans="9:9" x14ac:dyDescent="0.3">
      <c r="I33626" s="101"/>
    </row>
    <row r="33627" spans="9:9" x14ac:dyDescent="0.3">
      <c r="I33627" s="101"/>
    </row>
    <row r="33628" spans="9:9" x14ac:dyDescent="0.3">
      <c r="I33628" s="101"/>
    </row>
    <row r="33629" spans="9:9" x14ac:dyDescent="0.3">
      <c r="I33629" s="101"/>
    </row>
    <row r="33630" spans="9:9" x14ac:dyDescent="0.3">
      <c r="I33630" s="101"/>
    </row>
    <row r="33631" spans="9:9" x14ac:dyDescent="0.3">
      <c r="I33631" s="101"/>
    </row>
    <row r="33632" spans="9:9" x14ac:dyDescent="0.3">
      <c r="I33632" s="101"/>
    </row>
    <row r="33633" spans="9:9" x14ac:dyDescent="0.3">
      <c r="I33633" s="101"/>
    </row>
    <row r="33634" spans="9:9" x14ac:dyDescent="0.3">
      <c r="I33634" s="101"/>
    </row>
    <row r="33635" spans="9:9" x14ac:dyDescent="0.3">
      <c r="I33635" s="101"/>
    </row>
    <row r="33636" spans="9:9" x14ac:dyDescent="0.3">
      <c r="I33636" s="101"/>
    </row>
    <row r="33637" spans="9:9" x14ac:dyDescent="0.3">
      <c r="I33637" s="101"/>
    </row>
    <row r="33638" spans="9:9" x14ac:dyDescent="0.3">
      <c r="I33638" s="101"/>
    </row>
    <row r="33639" spans="9:9" x14ac:dyDescent="0.3">
      <c r="I33639" s="101"/>
    </row>
    <row r="33640" spans="9:9" x14ac:dyDescent="0.3">
      <c r="I33640" s="101"/>
    </row>
    <row r="33641" spans="9:9" x14ac:dyDescent="0.3">
      <c r="I33641" s="101"/>
    </row>
    <row r="33642" spans="9:9" x14ac:dyDescent="0.3">
      <c r="I33642" s="101"/>
    </row>
    <row r="33643" spans="9:9" x14ac:dyDescent="0.3">
      <c r="I33643" s="101"/>
    </row>
    <row r="33644" spans="9:9" x14ac:dyDescent="0.3">
      <c r="I33644" s="101"/>
    </row>
    <row r="33645" spans="9:9" x14ac:dyDescent="0.3">
      <c r="I33645" s="101"/>
    </row>
    <row r="33646" spans="9:9" x14ac:dyDescent="0.3">
      <c r="I33646" s="101"/>
    </row>
    <row r="33647" spans="9:9" x14ac:dyDescent="0.3">
      <c r="I33647" s="101"/>
    </row>
    <row r="33648" spans="9:9" x14ac:dyDescent="0.3">
      <c r="I33648" s="101"/>
    </row>
    <row r="33649" spans="9:9" x14ac:dyDescent="0.3">
      <c r="I33649" s="101"/>
    </row>
    <row r="33650" spans="9:9" x14ac:dyDescent="0.3">
      <c r="I33650" s="101"/>
    </row>
    <row r="33651" spans="9:9" x14ac:dyDescent="0.3">
      <c r="I33651" s="101"/>
    </row>
    <row r="33652" spans="9:9" x14ac:dyDescent="0.3">
      <c r="I33652" s="101"/>
    </row>
    <row r="33653" spans="9:9" x14ac:dyDescent="0.3">
      <c r="I33653" s="101"/>
    </row>
    <row r="33654" spans="9:9" x14ac:dyDescent="0.3">
      <c r="I33654" s="101"/>
    </row>
    <row r="33655" spans="9:9" x14ac:dyDescent="0.3">
      <c r="I33655" s="101"/>
    </row>
    <row r="33656" spans="9:9" x14ac:dyDescent="0.3">
      <c r="I33656" s="101"/>
    </row>
    <row r="33657" spans="9:9" x14ac:dyDescent="0.3">
      <c r="I33657" s="101"/>
    </row>
    <row r="33658" spans="9:9" x14ac:dyDescent="0.3">
      <c r="I33658" s="101"/>
    </row>
    <row r="33659" spans="9:9" x14ac:dyDescent="0.3">
      <c r="I33659" s="101"/>
    </row>
    <row r="33660" spans="9:9" x14ac:dyDescent="0.3">
      <c r="I33660" s="101"/>
    </row>
    <row r="33661" spans="9:9" x14ac:dyDescent="0.3">
      <c r="I33661" s="101"/>
    </row>
    <row r="33662" spans="9:9" x14ac:dyDescent="0.3">
      <c r="I33662" s="101"/>
    </row>
    <row r="33663" spans="9:9" x14ac:dyDescent="0.3">
      <c r="I33663" s="101"/>
    </row>
    <row r="33664" spans="9:9" x14ac:dyDescent="0.3">
      <c r="I33664" s="101"/>
    </row>
    <row r="33665" spans="9:9" x14ac:dyDescent="0.3">
      <c r="I33665" s="101"/>
    </row>
    <row r="33666" spans="9:9" x14ac:dyDescent="0.3">
      <c r="I33666" s="101"/>
    </row>
    <row r="33667" spans="9:9" x14ac:dyDescent="0.3">
      <c r="I33667" s="101"/>
    </row>
    <row r="33668" spans="9:9" x14ac:dyDescent="0.3">
      <c r="I33668" s="101"/>
    </row>
    <row r="33669" spans="9:9" x14ac:dyDescent="0.3">
      <c r="I33669" s="101"/>
    </row>
    <row r="33670" spans="9:9" x14ac:dyDescent="0.3">
      <c r="I33670" s="101"/>
    </row>
    <row r="33671" spans="9:9" x14ac:dyDescent="0.3">
      <c r="I33671" s="101"/>
    </row>
    <row r="33672" spans="9:9" x14ac:dyDescent="0.3">
      <c r="I33672" s="101"/>
    </row>
    <row r="33673" spans="9:9" x14ac:dyDescent="0.3">
      <c r="I33673" s="101"/>
    </row>
    <row r="33674" spans="9:9" x14ac:dyDescent="0.3">
      <c r="I33674" s="101"/>
    </row>
    <row r="33675" spans="9:9" x14ac:dyDescent="0.3">
      <c r="I33675" s="101"/>
    </row>
    <row r="33676" spans="9:9" x14ac:dyDescent="0.3">
      <c r="I33676" s="101"/>
    </row>
    <row r="33677" spans="9:9" x14ac:dyDescent="0.3">
      <c r="I33677" s="101"/>
    </row>
    <row r="33678" spans="9:9" x14ac:dyDescent="0.3">
      <c r="I33678" s="101"/>
    </row>
    <row r="33679" spans="9:9" x14ac:dyDescent="0.3">
      <c r="I33679" s="101"/>
    </row>
    <row r="33680" spans="9:9" x14ac:dyDescent="0.3">
      <c r="I33680" s="101"/>
    </row>
    <row r="33681" spans="9:9" x14ac:dyDescent="0.3">
      <c r="I33681" s="101"/>
    </row>
    <row r="33682" spans="9:9" x14ac:dyDescent="0.3">
      <c r="I33682" s="101"/>
    </row>
    <row r="33683" spans="9:9" x14ac:dyDescent="0.3">
      <c r="I33683" s="101"/>
    </row>
    <row r="33684" spans="9:9" x14ac:dyDescent="0.3">
      <c r="I33684" s="101"/>
    </row>
    <row r="33685" spans="9:9" x14ac:dyDescent="0.3">
      <c r="I33685" s="101"/>
    </row>
    <row r="33686" spans="9:9" x14ac:dyDescent="0.3">
      <c r="I33686" s="101"/>
    </row>
    <row r="33687" spans="9:9" x14ac:dyDescent="0.3">
      <c r="I33687" s="101"/>
    </row>
    <row r="33688" spans="9:9" x14ac:dyDescent="0.3">
      <c r="I33688" s="101"/>
    </row>
    <row r="33689" spans="9:9" x14ac:dyDescent="0.3">
      <c r="I33689" s="101"/>
    </row>
    <row r="33690" spans="9:9" x14ac:dyDescent="0.3">
      <c r="I33690" s="101"/>
    </row>
    <row r="33691" spans="9:9" x14ac:dyDescent="0.3">
      <c r="I33691" s="101"/>
    </row>
    <row r="33692" spans="9:9" x14ac:dyDescent="0.3">
      <c r="I33692" s="101"/>
    </row>
    <row r="33693" spans="9:9" x14ac:dyDescent="0.3">
      <c r="I33693" s="101"/>
    </row>
    <row r="33694" spans="9:9" x14ac:dyDescent="0.3">
      <c r="I33694" s="101"/>
    </row>
    <row r="33695" spans="9:9" x14ac:dyDescent="0.3">
      <c r="I33695" s="101"/>
    </row>
    <row r="33696" spans="9:9" x14ac:dyDescent="0.3">
      <c r="I33696" s="101"/>
    </row>
    <row r="33697" spans="9:9" x14ac:dyDescent="0.3">
      <c r="I33697" s="101"/>
    </row>
    <row r="33698" spans="9:9" x14ac:dyDescent="0.3">
      <c r="I33698" s="101"/>
    </row>
    <row r="33699" spans="9:9" x14ac:dyDescent="0.3">
      <c r="I33699" s="101"/>
    </row>
    <row r="33700" spans="9:9" x14ac:dyDescent="0.3">
      <c r="I33700" s="101"/>
    </row>
    <row r="33701" spans="9:9" x14ac:dyDescent="0.3">
      <c r="I33701" s="101"/>
    </row>
    <row r="33702" spans="9:9" x14ac:dyDescent="0.3">
      <c r="I33702" s="101"/>
    </row>
    <row r="33703" spans="9:9" x14ac:dyDescent="0.3">
      <c r="I33703" s="101"/>
    </row>
    <row r="33704" spans="9:9" x14ac:dyDescent="0.3">
      <c r="I33704" s="101"/>
    </row>
    <row r="33705" spans="9:9" x14ac:dyDescent="0.3">
      <c r="I33705" s="101"/>
    </row>
    <row r="33706" spans="9:9" x14ac:dyDescent="0.3">
      <c r="I33706" s="101"/>
    </row>
    <row r="33707" spans="9:9" x14ac:dyDescent="0.3">
      <c r="I33707" s="101"/>
    </row>
    <row r="33708" spans="9:9" x14ac:dyDescent="0.3">
      <c r="I33708" s="101"/>
    </row>
    <row r="33709" spans="9:9" x14ac:dyDescent="0.3">
      <c r="I33709" s="101"/>
    </row>
    <row r="33710" spans="9:9" x14ac:dyDescent="0.3">
      <c r="I33710" s="101"/>
    </row>
    <row r="33711" spans="9:9" x14ac:dyDescent="0.3">
      <c r="I33711" s="101"/>
    </row>
    <row r="33712" spans="9:9" x14ac:dyDescent="0.3">
      <c r="I33712" s="101"/>
    </row>
    <row r="33713" spans="9:9" x14ac:dyDescent="0.3">
      <c r="I33713" s="101"/>
    </row>
    <row r="33714" spans="9:9" x14ac:dyDescent="0.3">
      <c r="I33714" s="101"/>
    </row>
    <row r="33715" spans="9:9" x14ac:dyDescent="0.3">
      <c r="I33715" s="101"/>
    </row>
    <row r="33716" spans="9:9" x14ac:dyDescent="0.3">
      <c r="I33716" s="101"/>
    </row>
    <row r="33717" spans="9:9" x14ac:dyDescent="0.3">
      <c r="I33717" s="101"/>
    </row>
    <row r="33718" spans="9:9" x14ac:dyDescent="0.3">
      <c r="I33718" s="101"/>
    </row>
    <row r="33719" spans="9:9" x14ac:dyDescent="0.3">
      <c r="I33719" s="101"/>
    </row>
    <row r="33720" spans="9:9" x14ac:dyDescent="0.3">
      <c r="I33720" s="101"/>
    </row>
    <row r="33721" spans="9:9" x14ac:dyDescent="0.3">
      <c r="I33721" s="101"/>
    </row>
    <row r="33722" spans="9:9" x14ac:dyDescent="0.3">
      <c r="I33722" s="101"/>
    </row>
    <row r="33723" spans="9:9" x14ac:dyDescent="0.3">
      <c r="I33723" s="101"/>
    </row>
    <row r="33724" spans="9:9" x14ac:dyDescent="0.3">
      <c r="I33724" s="101"/>
    </row>
    <row r="33725" spans="9:9" x14ac:dyDescent="0.3">
      <c r="I33725" s="101"/>
    </row>
    <row r="33726" spans="9:9" x14ac:dyDescent="0.3">
      <c r="I33726" s="101"/>
    </row>
    <row r="33727" spans="9:9" x14ac:dyDescent="0.3">
      <c r="I33727" s="101"/>
    </row>
    <row r="33728" spans="9:9" x14ac:dyDescent="0.3">
      <c r="I33728" s="101"/>
    </row>
    <row r="33729" spans="9:9" x14ac:dyDescent="0.3">
      <c r="I33729" s="101"/>
    </row>
    <row r="33730" spans="9:9" x14ac:dyDescent="0.3">
      <c r="I33730" s="101"/>
    </row>
    <row r="33731" spans="9:9" x14ac:dyDescent="0.3">
      <c r="I33731" s="101"/>
    </row>
    <row r="33732" spans="9:9" x14ac:dyDescent="0.3">
      <c r="I33732" s="101"/>
    </row>
    <row r="33733" spans="9:9" x14ac:dyDescent="0.3">
      <c r="I33733" s="101"/>
    </row>
    <row r="33734" spans="9:9" x14ac:dyDescent="0.3">
      <c r="I33734" s="101"/>
    </row>
    <row r="33735" spans="9:9" x14ac:dyDescent="0.3">
      <c r="I33735" s="101"/>
    </row>
    <row r="33736" spans="9:9" x14ac:dyDescent="0.3">
      <c r="I33736" s="101"/>
    </row>
    <row r="33737" spans="9:9" x14ac:dyDescent="0.3">
      <c r="I33737" s="101"/>
    </row>
    <row r="33738" spans="9:9" x14ac:dyDescent="0.3">
      <c r="I33738" s="101"/>
    </row>
    <row r="33739" spans="9:9" x14ac:dyDescent="0.3">
      <c r="I33739" s="101"/>
    </row>
    <row r="33740" spans="9:9" x14ac:dyDescent="0.3">
      <c r="I33740" s="101"/>
    </row>
    <row r="33741" spans="9:9" x14ac:dyDescent="0.3">
      <c r="I33741" s="101"/>
    </row>
    <row r="33742" spans="9:9" x14ac:dyDescent="0.3">
      <c r="I33742" s="101"/>
    </row>
    <row r="33743" spans="9:9" x14ac:dyDescent="0.3">
      <c r="I33743" s="101"/>
    </row>
    <row r="33744" spans="9:9" x14ac:dyDescent="0.3">
      <c r="I33744" s="101"/>
    </row>
    <row r="33745" spans="9:9" x14ac:dyDescent="0.3">
      <c r="I33745" s="101"/>
    </row>
    <row r="33746" spans="9:9" x14ac:dyDescent="0.3">
      <c r="I33746" s="101"/>
    </row>
    <row r="33747" spans="9:9" x14ac:dyDescent="0.3">
      <c r="I33747" s="101"/>
    </row>
    <row r="33748" spans="9:9" x14ac:dyDescent="0.3">
      <c r="I33748" s="101"/>
    </row>
    <row r="33749" spans="9:9" x14ac:dyDescent="0.3">
      <c r="I33749" s="101"/>
    </row>
    <row r="33750" spans="9:9" x14ac:dyDescent="0.3">
      <c r="I33750" s="101"/>
    </row>
    <row r="33751" spans="9:9" x14ac:dyDescent="0.3">
      <c r="I33751" s="101"/>
    </row>
    <row r="33752" spans="9:9" x14ac:dyDescent="0.3">
      <c r="I33752" s="101"/>
    </row>
    <row r="33753" spans="9:9" x14ac:dyDescent="0.3">
      <c r="I33753" s="101"/>
    </row>
    <row r="33754" spans="9:9" x14ac:dyDescent="0.3">
      <c r="I33754" s="101"/>
    </row>
    <row r="33755" spans="9:9" x14ac:dyDescent="0.3">
      <c r="I33755" s="101"/>
    </row>
    <row r="33756" spans="9:9" x14ac:dyDescent="0.3">
      <c r="I33756" s="101"/>
    </row>
    <row r="33757" spans="9:9" x14ac:dyDescent="0.3">
      <c r="I33757" s="101"/>
    </row>
    <row r="33758" spans="9:9" x14ac:dyDescent="0.3">
      <c r="I33758" s="101"/>
    </row>
    <row r="33759" spans="9:9" x14ac:dyDescent="0.3">
      <c r="I33759" s="101"/>
    </row>
    <row r="33760" spans="9:9" x14ac:dyDescent="0.3">
      <c r="I33760" s="101"/>
    </row>
    <row r="33761" spans="9:9" x14ac:dyDescent="0.3">
      <c r="I33761" s="101"/>
    </row>
    <row r="33762" spans="9:9" x14ac:dyDescent="0.3">
      <c r="I33762" s="101"/>
    </row>
    <row r="33763" spans="9:9" x14ac:dyDescent="0.3">
      <c r="I33763" s="101"/>
    </row>
    <row r="33764" spans="9:9" x14ac:dyDescent="0.3">
      <c r="I33764" s="101"/>
    </row>
    <row r="33765" spans="9:9" x14ac:dyDescent="0.3">
      <c r="I33765" s="101"/>
    </row>
    <row r="33766" spans="9:9" x14ac:dyDescent="0.3">
      <c r="I33766" s="101"/>
    </row>
    <row r="33767" spans="9:9" x14ac:dyDescent="0.3">
      <c r="I33767" s="101"/>
    </row>
    <row r="33768" spans="9:9" x14ac:dyDescent="0.3">
      <c r="I33768" s="101"/>
    </row>
    <row r="33769" spans="9:9" x14ac:dyDescent="0.3">
      <c r="I33769" s="101"/>
    </row>
    <row r="33770" spans="9:9" x14ac:dyDescent="0.3">
      <c r="I33770" s="101"/>
    </row>
    <row r="33771" spans="9:9" x14ac:dyDescent="0.3">
      <c r="I33771" s="101"/>
    </row>
    <row r="33772" spans="9:9" x14ac:dyDescent="0.3">
      <c r="I33772" s="101"/>
    </row>
    <row r="33773" spans="9:9" x14ac:dyDescent="0.3">
      <c r="I33773" s="101"/>
    </row>
    <row r="33774" spans="9:9" x14ac:dyDescent="0.3">
      <c r="I33774" s="101"/>
    </row>
    <row r="33775" spans="9:9" x14ac:dyDescent="0.3">
      <c r="I33775" s="101"/>
    </row>
    <row r="33776" spans="9:9" x14ac:dyDescent="0.3">
      <c r="I33776" s="101"/>
    </row>
    <row r="33777" spans="9:9" x14ac:dyDescent="0.3">
      <c r="I33777" s="101"/>
    </row>
    <row r="33778" spans="9:9" x14ac:dyDescent="0.3">
      <c r="I33778" s="101"/>
    </row>
    <row r="33779" spans="9:9" x14ac:dyDescent="0.3">
      <c r="I33779" s="101"/>
    </row>
    <row r="33780" spans="9:9" x14ac:dyDescent="0.3">
      <c r="I33780" s="101"/>
    </row>
    <row r="33781" spans="9:9" x14ac:dyDescent="0.3">
      <c r="I33781" s="101"/>
    </row>
    <row r="33782" spans="9:9" x14ac:dyDescent="0.3">
      <c r="I33782" s="101"/>
    </row>
    <row r="33783" spans="9:9" x14ac:dyDescent="0.3">
      <c r="I33783" s="101"/>
    </row>
    <row r="33784" spans="9:9" x14ac:dyDescent="0.3">
      <c r="I33784" s="101"/>
    </row>
    <row r="33785" spans="9:9" x14ac:dyDescent="0.3">
      <c r="I33785" s="101"/>
    </row>
    <row r="33786" spans="9:9" x14ac:dyDescent="0.3">
      <c r="I33786" s="101"/>
    </row>
    <row r="33787" spans="9:9" x14ac:dyDescent="0.3">
      <c r="I33787" s="101"/>
    </row>
    <row r="33788" spans="9:9" x14ac:dyDescent="0.3">
      <c r="I33788" s="101"/>
    </row>
    <row r="33789" spans="9:9" x14ac:dyDescent="0.3">
      <c r="I33789" s="101"/>
    </row>
    <row r="33790" spans="9:9" x14ac:dyDescent="0.3">
      <c r="I33790" s="101"/>
    </row>
    <row r="33791" spans="9:9" x14ac:dyDescent="0.3">
      <c r="I33791" s="101"/>
    </row>
    <row r="33792" spans="9:9" x14ac:dyDescent="0.3">
      <c r="I33792" s="101"/>
    </row>
    <row r="33793" spans="9:9" x14ac:dyDescent="0.3">
      <c r="I33793" s="101"/>
    </row>
    <row r="33794" spans="9:9" x14ac:dyDescent="0.3">
      <c r="I33794" s="101"/>
    </row>
    <row r="33795" spans="9:9" x14ac:dyDescent="0.3">
      <c r="I33795" s="101"/>
    </row>
    <row r="33796" spans="9:9" x14ac:dyDescent="0.3">
      <c r="I33796" s="101"/>
    </row>
    <row r="33797" spans="9:9" x14ac:dyDescent="0.3">
      <c r="I33797" s="101"/>
    </row>
    <row r="33798" spans="9:9" x14ac:dyDescent="0.3">
      <c r="I33798" s="101"/>
    </row>
    <row r="33799" spans="9:9" x14ac:dyDescent="0.3">
      <c r="I33799" s="101"/>
    </row>
    <row r="33800" spans="9:9" x14ac:dyDescent="0.3">
      <c r="I33800" s="101"/>
    </row>
    <row r="33801" spans="9:9" x14ac:dyDescent="0.3">
      <c r="I33801" s="101"/>
    </row>
    <row r="33802" spans="9:9" x14ac:dyDescent="0.3">
      <c r="I33802" s="101"/>
    </row>
    <row r="33803" spans="9:9" x14ac:dyDescent="0.3">
      <c r="I33803" s="101"/>
    </row>
    <row r="33804" spans="9:9" x14ac:dyDescent="0.3">
      <c r="I33804" s="101"/>
    </row>
    <row r="33805" spans="9:9" x14ac:dyDescent="0.3">
      <c r="I33805" s="101"/>
    </row>
    <row r="33806" spans="9:9" x14ac:dyDescent="0.3">
      <c r="I33806" s="101"/>
    </row>
    <row r="33807" spans="9:9" x14ac:dyDescent="0.3">
      <c r="I33807" s="101"/>
    </row>
    <row r="33808" spans="9:9" x14ac:dyDescent="0.3">
      <c r="I33808" s="101"/>
    </row>
    <row r="33809" spans="9:9" x14ac:dyDescent="0.3">
      <c r="I33809" s="101"/>
    </row>
    <row r="33810" spans="9:9" x14ac:dyDescent="0.3">
      <c r="I33810" s="101"/>
    </row>
    <row r="33811" spans="9:9" x14ac:dyDescent="0.3">
      <c r="I33811" s="101"/>
    </row>
    <row r="33812" spans="9:9" x14ac:dyDescent="0.3">
      <c r="I33812" s="101"/>
    </row>
    <row r="33813" spans="9:9" x14ac:dyDescent="0.3">
      <c r="I33813" s="101"/>
    </row>
    <row r="33814" spans="9:9" x14ac:dyDescent="0.3">
      <c r="I33814" s="101"/>
    </row>
    <row r="33815" spans="9:9" x14ac:dyDescent="0.3">
      <c r="I33815" s="101"/>
    </row>
    <row r="33816" spans="9:9" x14ac:dyDescent="0.3">
      <c r="I33816" s="101"/>
    </row>
    <row r="33817" spans="9:9" x14ac:dyDescent="0.3">
      <c r="I33817" s="101"/>
    </row>
    <row r="33818" spans="9:9" x14ac:dyDescent="0.3">
      <c r="I33818" s="101"/>
    </row>
    <row r="33819" spans="9:9" x14ac:dyDescent="0.3">
      <c r="I33819" s="101"/>
    </row>
    <row r="33820" spans="9:9" x14ac:dyDescent="0.3">
      <c r="I33820" s="101"/>
    </row>
    <row r="33821" spans="9:9" x14ac:dyDescent="0.3">
      <c r="I33821" s="101"/>
    </row>
    <row r="33822" spans="9:9" x14ac:dyDescent="0.3">
      <c r="I33822" s="101"/>
    </row>
    <row r="33823" spans="9:9" x14ac:dyDescent="0.3">
      <c r="I33823" s="101"/>
    </row>
    <row r="33824" spans="9:9" x14ac:dyDescent="0.3">
      <c r="I33824" s="101"/>
    </row>
    <row r="33825" spans="9:9" x14ac:dyDescent="0.3">
      <c r="I33825" s="101"/>
    </row>
    <row r="33826" spans="9:9" x14ac:dyDescent="0.3">
      <c r="I33826" s="101"/>
    </row>
    <row r="33827" spans="9:9" x14ac:dyDescent="0.3">
      <c r="I33827" s="101"/>
    </row>
    <row r="33828" spans="9:9" x14ac:dyDescent="0.3">
      <c r="I33828" s="101"/>
    </row>
    <row r="33829" spans="9:9" x14ac:dyDescent="0.3">
      <c r="I33829" s="101"/>
    </row>
    <row r="33830" spans="9:9" x14ac:dyDescent="0.3">
      <c r="I33830" s="101"/>
    </row>
    <row r="33831" spans="9:9" x14ac:dyDescent="0.3">
      <c r="I33831" s="101"/>
    </row>
    <row r="33832" spans="9:9" x14ac:dyDescent="0.3">
      <c r="I33832" s="101"/>
    </row>
    <row r="33833" spans="9:9" x14ac:dyDescent="0.3">
      <c r="I33833" s="101"/>
    </row>
    <row r="33834" spans="9:9" x14ac:dyDescent="0.3">
      <c r="I33834" s="101"/>
    </row>
    <row r="33835" spans="9:9" x14ac:dyDescent="0.3">
      <c r="I33835" s="101"/>
    </row>
    <row r="33836" spans="9:9" x14ac:dyDescent="0.3">
      <c r="I33836" s="101"/>
    </row>
    <row r="33837" spans="9:9" x14ac:dyDescent="0.3">
      <c r="I33837" s="101"/>
    </row>
    <row r="33838" spans="9:9" x14ac:dyDescent="0.3">
      <c r="I33838" s="101"/>
    </row>
    <row r="33839" spans="9:9" x14ac:dyDescent="0.3">
      <c r="I33839" s="101"/>
    </row>
    <row r="33840" spans="9:9" x14ac:dyDescent="0.3">
      <c r="I33840" s="101"/>
    </row>
    <row r="33841" spans="9:9" x14ac:dyDescent="0.3">
      <c r="I33841" s="101"/>
    </row>
    <row r="33842" spans="9:9" x14ac:dyDescent="0.3">
      <c r="I33842" s="101"/>
    </row>
    <row r="33843" spans="9:9" x14ac:dyDescent="0.3">
      <c r="I33843" s="101"/>
    </row>
    <row r="33844" spans="9:9" x14ac:dyDescent="0.3">
      <c r="I33844" s="101"/>
    </row>
    <row r="33845" spans="9:9" x14ac:dyDescent="0.3">
      <c r="I33845" s="101"/>
    </row>
    <row r="33846" spans="9:9" x14ac:dyDescent="0.3">
      <c r="I33846" s="101"/>
    </row>
    <row r="33847" spans="9:9" x14ac:dyDescent="0.3">
      <c r="I33847" s="101"/>
    </row>
    <row r="33848" spans="9:9" x14ac:dyDescent="0.3">
      <c r="I33848" s="101"/>
    </row>
    <row r="33849" spans="9:9" x14ac:dyDescent="0.3">
      <c r="I33849" s="101"/>
    </row>
    <row r="33850" spans="9:9" x14ac:dyDescent="0.3">
      <c r="I33850" s="101"/>
    </row>
    <row r="33851" spans="9:9" x14ac:dyDescent="0.3">
      <c r="I33851" s="101"/>
    </row>
    <row r="33852" spans="9:9" x14ac:dyDescent="0.3">
      <c r="I33852" s="101"/>
    </row>
    <row r="33853" spans="9:9" x14ac:dyDescent="0.3">
      <c r="I33853" s="101"/>
    </row>
    <row r="33854" spans="9:9" x14ac:dyDescent="0.3">
      <c r="I33854" s="101"/>
    </row>
    <row r="33855" spans="9:9" x14ac:dyDescent="0.3">
      <c r="I33855" s="101"/>
    </row>
    <row r="33856" spans="9:9" x14ac:dyDescent="0.3">
      <c r="I33856" s="101"/>
    </row>
    <row r="33857" spans="9:9" x14ac:dyDescent="0.3">
      <c r="I33857" s="101"/>
    </row>
    <row r="33858" spans="9:9" x14ac:dyDescent="0.3">
      <c r="I33858" s="101"/>
    </row>
    <row r="33859" spans="9:9" x14ac:dyDescent="0.3">
      <c r="I33859" s="101"/>
    </row>
    <row r="33860" spans="9:9" x14ac:dyDescent="0.3">
      <c r="I33860" s="101"/>
    </row>
    <row r="33861" spans="9:9" x14ac:dyDescent="0.3">
      <c r="I33861" s="101"/>
    </row>
    <row r="33862" spans="9:9" x14ac:dyDescent="0.3">
      <c r="I33862" s="101"/>
    </row>
    <row r="33863" spans="9:9" x14ac:dyDescent="0.3">
      <c r="I33863" s="101"/>
    </row>
    <row r="33864" spans="9:9" x14ac:dyDescent="0.3">
      <c r="I33864" s="101"/>
    </row>
    <row r="33865" spans="9:9" x14ac:dyDescent="0.3">
      <c r="I33865" s="101"/>
    </row>
    <row r="33866" spans="9:9" x14ac:dyDescent="0.3">
      <c r="I33866" s="101"/>
    </row>
    <row r="33867" spans="9:9" x14ac:dyDescent="0.3">
      <c r="I33867" s="101"/>
    </row>
    <row r="33868" spans="9:9" x14ac:dyDescent="0.3">
      <c r="I33868" s="101"/>
    </row>
    <row r="33869" spans="9:9" x14ac:dyDescent="0.3">
      <c r="I33869" s="101"/>
    </row>
    <row r="33870" spans="9:9" x14ac:dyDescent="0.3">
      <c r="I33870" s="101"/>
    </row>
    <row r="33871" spans="9:9" x14ac:dyDescent="0.3">
      <c r="I33871" s="101"/>
    </row>
    <row r="33872" spans="9:9" x14ac:dyDescent="0.3">
      <c r="I33872" s="101"/>
    </row>
    <row r="33873" spans="9:9" x14ac:dyDescent="0.3">
      <c r="I33873" s="101"/>
    </row>
    <row r="33874" spans="9:9" x14ac:dyDescent="0.3">
      <c r="I33874" s="101"/>
    </row>
    <row r="33875" spans="9:9" x14ac:dyDescent="0.3">
      <c r="I33875" s="101"/>
    </row>
    <row r="33876" spans="9:9" x14ac:dyDescent="0.3">
      <c r="I33876" s="101"/>
    </row>
    <row r="33877" spans="9:9" x14ac:dyDescent="0.3">
      <c r="I33877" s="101"/>
    </row>
    <row r="33878" spans="9:9" x14ac:dyDescent="0.3">
      <c r="I33878" s="101"/>
    </row>
    <row r="33879" spans="9:9" x14ac:dyDescent="0.3">
      <c r="I33879" s="101"/>
    </row>
    <row r="33880" spans="9:9" x14ac:dyDescent="0.3">
      <c r="I33880" s="101"/>
    </row>
    <row r="33881" spans="9:9" x14ac:dyDescent="0.3">
      <c r="I33881" s="101"/>
    </row>
    <row r="33882" spans="9:9" x14ac:dyDescent="0.3">
      <c r="I33882" s="101"/>
    </row>
    <row r="33883" spans="9:9" x14ac:dyDescent="0.3">
      <c r="I33883" s="101"/>
    </row>
    <row r="33884" spans="9:9" x14ac:dyDescent="0.3">
      <c r="I33884" s="101"/>
    </row>
    <row r="33885" spans="9:9" x14ac:dyDescent="0.3">
      <c r="I33885" s="101"/>
    </row>
    <row r="33886" spans="9:9" x14ac:dyDescent="0.3">
      <c r="I33886" s="101"/>
    </row>
    <row r="33887" spans="9:9" x14ac:dyDescent="0.3">
      <c r="I33887" s="101"/>
    </row>
    <row r="33888" spans="9:9" x14ac:dyDescent="0.3">
      <c r="I33888" s="101"/>
    </row>
    <row r="33889" spans="9:9" x14ac:dyDescent="0.3">
      <c r="I33889" s="101"/>
    </row>
    <row r="33890" spans="9:9" x14ac:dyDescent="0.3">
      <c r="I33890" s="101"/>
    </row>
    <row r="33891" spans="9:9" x14ac:dyDescent="0.3">
      <c r="I33891" s="101"/>
    </row>
    <row r="33892" spans="9:9" x14ac:dyDescent="0.3">
      <c r="I33892" s="101"/>
    </row>
    <row r="33893" spans="9:9" x14ac:dyDescent="0.3">
      <c r="I33893" s="101"/>
    </row>
    <row r="33894" spans="9:9" x14ac:dyDescent="0.3">
      <c r="I33894" s="101"/>
    </row>
    <row r="33895" spans="9:9" x14ac:dyDescent="0.3">
      <c r="I33895" s="101"/>
    </row>
    <row r="33896" spans="9:9" x14ac:dyDescent="0.3">
      <c r="I33896" s="101"/>
    </row>
    <row r="33897" spans="9:9" x14ac:dyDescent="0.3">
      <c r="I33897" s="101"/>
    </row>
    <row r="33898" spans="9:9" x14ac:dyDescent="0.3">
      <c r="I33898" s="101"/>
    </row>
    <row r="33899" spans="9:9" x14ac:dyDescent="0.3">
      <c r="I33899" s="101"/>
    </row>
    <row r="33900" spans="9:9" x14ac:dyDescent="0.3">
      <c r="I33900" s="101"/>
    </row>
    <row r="33901" spans="9:9" x14ac:dyDescent="0.3">
      <c r="I33901" s="101"/>
    </row>
    <row r="33902" spans="9:9" x14ac:dyDescent="0.3">
      <c r="I33902" s="101"/>
    </row>
    <row r="33903" spans="9:9" x14ac:dyDescent="0.3">
      <c r="I33903" s="101"/>
    </row>
    <row r="33904" spans="9:9" x14ac:dyDescent="0.3">
      <c r="I33904" s="101"/>
    </row>
    <row r="33905" spans="9:9" x14ac:dyDescent="0.3">
      <c r="I33905" s="101"/>
    </row>
    <row r="33906" spans="9:9" x14ac:dyDescent="0.3">
      <c r="I33906" s="101"/>
    </row>
    <row r="33907" spans="9:9" x14ac:dyDescent="0.3">
      <c r="I33907" s="101"/>
    </row>
    <row r="33908" spans="9:9" x14ac:dyDescent="0.3">
      <c r="I33908" s="101"/>
    </row>
    <row r="33909" spans="9:9" x14ac:dyDescent="0.3">
      <c r="I33909" s="101"/>
    </row>
    <row r="33910" spans="9:9" x14ac:dyDescent="0.3">
      <c r="I33910" s="101"/>
    </row>
    <row r="33911" spans="9:9" x14ac:dyDescent="0.3">
      <c r="I33911" s="101"/>
    </row>
    <row r="33912" spans="9:9" x14ac:dyDescent="0.3">
      <c r="I33912" s="101"/>
    </row>
    <row r="33913" spans="9:9" x14ac:dyDescent="0.3">
      <c r="I33913" s="101"/>
    </row>
    <row r="33914" spans="9:9" x14ac:dyDescent="0.3">
      <c r="I33914" s="101"/>
    </row>
    <row r="33915" spans="9:9" x14ac:dyDescent="0.3">
      <c r="I33915" s="101"/>
    </row>
    <row r="33916" spans="9:9" x14ac:dyDescent="0.3">
      <c r="I33916" s="101"/>
    </row>
    <row r="33917" spans="9:9" x14ac:dyDescent="0.3">
      <c r="I33917" s="101"/>
    </row>
    <row r="33918" spans="9:9" x14ac:dyDescent="0.3">
      <c r="I33918" s="101"/>
    </row>
    <row r="33919" spans="9:9" x14ac:dyDescent="0.3">
      <c r="I33919" s="101"/>
    </row>
    <row r="33920" spans="9:9" x14ac:dyDescent="0.3">
      <c r="I33920" s="101"/>
    </row>
    <row r="33921" spans="9:9" x14ac:dyDescent="0.3">
      <c r="I33921" s="101"/>
    </row>
    <row r="33922" spans="9:9" x14ac:dyDescent="0.3">
      <c r="I33922" s="101"/>
    </row>
    <row r="33923" spans="9:9" x14ac:dyDescent="0.3">
      <c r="I33923" s="101"/>
    </row>
    <row r="33924" spans="9:9" x14ac:dyDescent="0.3">
      <c r="I33924" s="101"/>
    </row>
    <row r="33925" spans="9:9" x14ac:dyDescent="0.3">
      <c r="I33925" s="101"/>
    </row>
    <row r="33926" spans="9:9" x14ac:dyDescent="0.3">
      <c r="I33926" s="101"/>
    </row>
    <row r="33927" spans="9:9" x14ac:dyDescent="0.3">
      <c r="I33927" s="101"/>
    </row>
    <row r="33928" spans="9:9" x14ac:dyDescent="0.3">
      <c r="I33928" s="101"/>
    </row>
    <row r="33929" spans="9:9" x14ac:dyDescent="0.3">
      <c r="I33929" s="101"/>
    </row>
    <row r="33930" spans="9:9" x14ac:dyDescent="0.3">
      <c r="I33930" s="101"/>
    </row>
    <row r="33931" spans="9:9" x14ac:dyDescent="0.3">
      <c r="I33931" s="101"/>
    </row>
    <row r="33932" spans="9:9" x14ac:dyDescent="0.3">
      <c r="I33932" s="101"/>
    </row>
    <row r="33933" spans="9:9" x14ac:dyDescent="0.3">
      <c r="I33933" s="101"/>
    </row>
    <row r="33934" spans="9:9" x14ac:dyDescent="0.3">
      <c r="I33934" s="101"/>
    </row>
    <row r="33935" spans="9:9" x14ac:dyDescent="0.3">
      <c r="I33935" s="101"/>
    </row>
    <row r="33936" spans="9:9" x14ac:dyDescent="0.3">
      <c r="I33936" s="101"/>
    </row>
    <row r="33937" spans="9:9" x14ac:dyDescent="0.3">
      <c r="I33937" s="101"/>
    </row>
    <row r="33938" spans="9:9" x14ac:dyDescent="0.3">
      <c r="I33938" s="101"/>
    </row>
    <row r="33939" spans="9:9" x14ac:dyDescent="0.3">
      <c r="I33939" s="101"/>
    </row>
    <row r="33940" spans="9:9" x14ac:dyDescent="0.3">
      <c r="I33940" s="101"/>
    </row>
    <row r="33941" spans="9:9" x14ac:dyDescent="0.3">
      <c r="I33941" s="101"/>
    </row>
    <row r="33942" spans="9:9" x14ac:dyDescent="0.3">
      <c r="I33942" s="101"/>
    </row>
    <row r="33943" spans="9:9" x14ac:dyDescent="0.3">
      <c r="I33943" s="101"/>
    </row>
    <row r="33944" spans="9:9" x14ac:dyDescent="0.3">
      <c r="I33944" s="101"/>
    </row>
    <row r="33945" spans="9:9" x14ac:dyDescent="0.3">
      <c r="I33945" s="101"/>
    </row>
    <row r="33946" spans="9:9" x14ac:dyDescent="0.3">
      <c r="I33946" s="101"/>
    </row>
    <row r="33947" spans="9:9" x14ac:dyDescent="0.3">
      <c r="I33947" s="101"/>
    </row>
    <row r="33948" spans="9:9" x14ac:dyDescent="0.3">
      <c r="I33948" s="101"/>
    </row>
    <row r="33949" spans="9:9" x14ac:dyDescent="0.3">
      <c r="I33949" s="101"/>
    </row>
    <row r="33950" spans="9:9" x14ac:dyDescent="0.3">
      <c r="I33950" s="101"/>
    </row>
    <row r="33951" spans="9:9" x14ac:dyDescent="0.3">
      <c r="I33951" s="101"/>
    </row>
    <row r="33952" spans="9:9" x14ac:dyDescent="0.3">
      <c r="I33952" s="101"/>
    </row>
    <row r="33953" spans="9:9" x14ac:dyDescent="0.3">
      <c r="I33953" s="101"/>
    </row>
    <row r="33954" spans="9:9" x14ac:dyDescent="0.3">
      <c r="I33954" s="101"/>
    </row>
    <row r="33955" spans="9:9" x14ac:dyDescent="0.3">
      <c r="I33955" s="101"/>
    </row>
    <row r="33956" spans="9:9" x14ac:dyDescent="0.3">
      <c r="I33956" s="101"/>
    </row>
    <row r="33957" spans="9:9" x14ac:dyDescent="0.3">
      <c r="I33957" s="101"/>
    </row>
    <row r="33958" spans="9:9" x14ac:dyDescent="0.3">
      <c r="I33958" s="101"/>
    </row>
    <row r="33959" spans="9:9" x14ac:dyDescent="0.3">
      <c r="I33959" s="101"/>
    </row>
    <row r="33960" spans="9:9" x14ac:dyDescent="0.3">
      <c r="I33960" s="101"/>
    </row>
    <row r="33961" spans="9:9" x14ac:dyDescent="0.3">
      <c r="I33961" s="101"/>
    </row>
    <row r="33962" spans="9:9" x14ac:dyDescent="0.3">
      <c r="I33962" s="101"/>
    </row>
    <row r="33963" spans="9:9" x14ac:dyDescent="0.3">
      <c r="I33963" s="101"/>
    </row>
    <row r="33964" spans="9:9" x14ac:dyDescent="0.3">
      <c r="I33964" s="101"/>
    </row>
    <row r="33965" spans="9:9" x14ac:dyDescent="0.3">
      <c r="I33965" s="101"/>
    </row>
    <row r="33966" spans="9:9" x14ac:dyDescent="0.3">
      <c r="I33966" s="101"/>
    </row>
    <row r="33967" spans="9:9" x14ac:dyDescent="0.3">
      <c r="I33967" s="101"/>
    </row>
    <row r="33968" spans="9:9" x14ac:dyDescent="0.3">
      <c r="I33968" s="101"/>
    </row>
    <row r="33969" spans="9:9" x14ac:dyDescent="0.3">
      <c r="I33969" s="101"/>
    </row>
    <row r="33970" spans="9:9" x14ac:dyDescent="0.3">
      <c r="I33970" s="101"/>
    </row>
    <row r="33971" spans="9:9" x14ac:dyDescent="0.3">
      <c r="I33971" s="101"/>
    </row>
    <row r="33972" spans="9:9" x14ac:dyDescent="0.3">
      <c r="I33972" s="101"/>
    </row>
    <row r="33973" spans="9:9" x14ac:dyDescent="0.3">
      <c r="I33973" s="101"/>
    </row>
    <row r="33974" spans="9:9" x14ac:dyDescent="0.3">
      <c r="I33974" s="101"/>
    </row>
    <row r="33975" spans="9:9" x14ac:dyDescent="0.3">
      <c r="I33975" s="101"/>
    </row>
    <row r="33976" spans="9:9" x14ac:dyDescent="0.3">
      <c r="I33976" s="101"/>
    </row>
    <row r="33977" spans="9:9" x14ac:dyDescent="0.3">
      <c r="I33977" s="101"/>
    </row>
    <row r="33978" spans="9:9" x14ac:dyDescent="0.3">
      <c r="I33978" s="101"/>
    </row>
    <row r="33979" spans="9:9" x14ac:dyDescent="0.3">
      <c r="I33979" s="101"/>
    </row>
    <row r="33980" spans="9:9" x14ac:dyDescent="0.3">
      <c r="I33980" s="101"/>
    </row>
    <row r="33981" spans="9:9" x14ac:dyDescent="0.3">
      <c r="I33981" s="101"/>
    </row>
    <row r="33982" spans="9:9" x14ac:dyDescent="0.3">
      <c r="I33982" s="101"/>
    </row>
    <row r="33983" spans="9:9" x14ac:dyDescent="0.3">
      <c r="I33983" s="101"/>
    </row>
    <row r="33984" spans="9:9" x14ac:dyDescent="0.3">
      <c r="I33984" s="101"/>
    </row>
    <row r="33985" spans="9:9" x14ac:dyDescent="0.3">
      <c r="I33985" s="101"/>
    </row>
    <row r="33986" spans="9:9" x14ac:dyDescent="0.3">
      <c r="I33986" s="101"/>
    </row>
    <row r="33987" spans="9:9" x14ac:dyDescent="0.3">
      <c r="I33987" s="101"/>
    </row>
    <row r="33988" spans="9:9" x14ac:dyDescent="0.3">
      <c r="I33988" s="101"/>
    </row>
    <row r="33989" spans="9:9" x14ac:dyDescent="0.3">
      <c r="I33989" s="101"/>
    </row>
    <row r="33990" spans="9:9" x14ac:dyDescent="0.3">
      <c r="I33990" s="101"/>
    </row>
    <row r="33991" spans="9:9" x14ac:dyDescent="0.3">
      <c r="I33991" s="101"/>
    </row>
    <row r="33992" spans="9:9" x14ac:dyDescent="0.3">
      <c r="I33992" s="101"/>
    </row>
    <row r="33993" spans="9:9" x14ac:dyDescent="0.3">
      <c r="I33993" s="101"/>
    </row>
    <row r="33994" spans="9:9" x14ac:dyDescent="0.3">
      <c r="I33994" s="101"/>
    </row>
    <row r="33995" spans="9:9" x14ac:dyDescent="0.3">
      <c r="I33995" s="101"/>
    </row>
    <row r="33996" spans="9:9" x14ac:dyDescent="0.3">
      <c r="I33996" s="101"/>
    </row>
    <row r="33997" spans="9:9" x14ac:dyDescent="0.3">
      <c r="I33997" s="101"/>
    </row>
    <row r="33998" spans="9:9" x14ac:dyDescent="0.3">
      <c r="I33998" s="101"/>
    </row>
    <row r="33999" spans="9:9" x14ac:dyDescent="0.3">
      <c r="I33999" s="101"/>
    </row>
    <row r="34000" spans="9:9" x14ac:dyDescent="0.3">
      <c r="I34000" s="101"/>
    </row>
    <row r="34001" spans="9:9" x14ac:dyDescent="0.3">
      <c r="I34001" s="101"/>
    </row>
    <row r="34002" spans="9:9" x14ac:dyDescent="0.3">
      <c r="I34002" s="101"/>
    </row>
    <row r="34003" spans="9:9" x14ac:dyDescent="0.3">
      <c r="I34003" s="101"/>
    </row>
    <row r="34004" spans="9:9" x14ac:dyDescent="0.3">
      <c r="I34004" s="101"/>
    </row>
    <row r="34005" spans="9:9" x14ac:dyDescent="0.3">
      <c r="I34005" s="101"/>
    </row>
    <row r="34006" spans="9:9" x14ac:dyDescent="0.3">
      <c r="I34006" s="101"/>
    </row>
    <row r="34007" spans="9:9" x14ac:dyDescent="0.3">
      <c r="I34007" s="101"/>
    </row>
    <row r="34008" spans="9:9" x14ac:dyDescent="0.3">
      <c r="I34008" s="101"/>
    </row>
    <row r="34009" spans="9:9" x14ac:dyDescent="0.3">
      <c r="I34009" s="101"/>
    </row>
    <row r="34010" spans="9:9" x14ac:dyDescent="0.3">
      <c r="I34010" s="101"/>
    </row>
    <row r="34011" spans="9:9" x14ac:dyDescent="0.3">
      <c r="I34011" s="101"/>
    </row>
    <row r="34012" spans="9:9" x14ac:dyDescent="0.3">
      <c r="I34012" s="101"/>
    </row>
    <row r="34013" spans="9:9" x14ac:dyDescent="0.3">
      <c r="I34013" s="101"/>
    </row>
    <row r="34014" spans="9:9" x14ac:dyDescent="0.3">
      <c r="I34014" s="101"/>
    </row>
    <row r="34015" spans="9:9" x14ac:dyDescent="0.3">
      <c r="I34015" s="101"/>
    </row>
    <row r="34016" spans="9:9" x14ac:dyDescent="0.3">
      <c r="I34016" s="101"/>
    </row>
    <row r="34017" spans="9:9" x14ac:dyDescent="0.3">
      <c r="I34017" s="101"/>
    </row>
    <row r="34018" spans="9:9" x14ac:dyDescent="0.3">
      <c r="I34018" s="101"/>
    </row>
    <row r="34019" spans="9:9" x14ac:dyDescent="0.3">
      <c r="I34019" s="101"/>
    </row>
    <row r="34020" spans="9:9" x14ac:dyDescent="0.3">
      <c r="I34020" s="101"/>
    </row>
    <row r="34021" spans="9:9" x14ac:dyDescent="0.3">
      <c r="I34021" s="101"/>
    </row>
    <row r="34022" spans="9:9" x14ac:dyDescent="0.3">
      <c r="I34022" s="101"/>
    </row>
    <row r="34023" spans="9:9" x14ac:dyDescent="0.3">
      <c r="I34023" s="101"/>
    </row>
    <row r="34024" spans="9:9" x14ac:dyDescent="0.3">
      <c r="I34024" s="101"/>
    </row>
    <row r="34025" spans="9:9" x14ac:dyDescent="0.3">
      <c r="I34025" s="101"/>
    </row>
    <row r="34026" spans="9:9" x14ac:dyDescent="0.3">
      <c r="I34026" s="101"/>
    </row>
    <row r="34027" spans="9:9" x14ac:dyDescent="0.3">
      <c r="I34027" s="101"/>
    </row>
    <row r="34028" spans="9:9" x14ac:dyDescent="0.3">
      <c r="I34028" s="101"/>
    </row>
    <row r="34029" spans="9:9" x14ac:dyDescent="0.3">
      <c r="I34029" s="101"/>
    </row>
    <row r="34030" spans="9:9" x14ac:dyDescent="0.3">
      <c r="I34030" s="101"/>
    </row>
    <row r="34031" spans="9:9" x14ac:dyDescent="0.3">
      <c r="I34031" s="101"/>
    </row>
    <row r="34032" spans="9:9" x14ac:dyDescent="0.3">
      <c r="I34032" s="101"/>
    </row>
    <row r="34033" spans="9:9" x14ac:dyDescent="0.3">
      <c r="I34033" s="101"/>
    </row>
    <row r="34034" spans="9:9" x14ac:dyDescent="0.3">
      <c r="I34034" s="101"/>
    </row>
    <row r="34035" spans="9:9" x14ac:dyDescent="0.3">
      <c r="I34035" s="101"/>
    </row>
    <row r="34036" spans="9:9" x14ac:dyDescent="0.3">
      <c r="I34036" s="101"/>
    </row>
    <row r="34037" spans="9:9" x14ac:dyDescent="0.3">
      <c r="I34037" s="101"/>
    </row>
    <row r="34038" spans="9:9" x14ac:dyDescent="0.3">
      <c r="I34038" s="101"/>
    </row>
    <row r="34039" spans="9:9" x14ac:dyDescent="0.3">
      <c r="I34039" s="101"/>
    </row>
    <row r="34040" spans="9:9" x14ac:dyDescent="0.3">
      <c r="I34040" s="101"/>
    </row>
    <row r="34041" spans="9:9" x14ac:dyDescent="0.3">
      <c r="I34041" s="101"/>
    </row>
    <row r="34042" spans="9:9" x14ac:dyDescent="0.3">
      <c r="I34042" s="101"/>
    </row>
    <row r="34043" spans="9:9" x14ac:dyDescent="0.3">
      <c r="I34043" s="101"/>
    </row>
    <row r="34044" spans="9:9" x14ac:dyDescent="0.3">
      <c r="I34044" s="101"/>
    </row>
    <row r="34045" spans="9:9" x14ac:dyDescent="0.3">
      <c r="I34045" s="101"/>
    </row>
    <row r="34046" spans="9:9" x14ac:dyDescent="0.3">
      <c r="I34046" s="101"/>
    </row>
    <row r="34047" spans="9:9" x14ac:dyDescent="0.3">
      <c r="I34047" s="101"/>
    </row>
    <row r="34048" spans="9:9" x14ac:dyDescent="0.3">
      <c r="I34048" s="101"/>
    </row>
    <row r="34049" spans="9:9" x14ac:dyDescent="0.3">
      <c r="I34049" s="101"/>
    </row>
    <row r="34050" spans="9:9" x14ac:dyDescent="0.3">
      <c r="I34050" s="101"/>
    </row>
    <row r="34051" spans="9:9" x14ac:dyDescent="0.3">
      <c r="I34051" s="101"/>
    </row>
    <row r="34052" spans="9:9" x14ac:dyDescent="0.3">
      <c r="I34052" s="101"/>
    </row>
    <row r="34053" spans="9:9" x14ac:dyDescent="0.3">
      <c r="I34053" s="101"/>
    </row>
    <row r="34054" spans="9:9" x14ac:dyDescent="0.3">
      <c r="I34054" s="101"/>
    </row>
    <row r="34055" spans="9:9" x14ac:dyDescent="0.3">
      <c r="I34055" s="101"/>
    </row>
    <row r="34056" spans="9:9" x14ac:dyDescent="0.3">
      <c r="I34056" s="101"/>
    </row>
    <row r="34057" spans="9:9" x14ac:dyDescent="0.3">
      <c r="I34057" s="101"/>
    </row>
    <row r="34058" spans="9:9" x14ac:dyDescent="0.3">
      <c r="I34058" s="101"/>
    </row>
    <row r="34059" spans="9:9" x14ac:dyDescent="0.3">
      <c r="I34059" s="101"/>
    </row>
    <row r="34060" spans="9:9" x14ac:dyDescent="0.3">
      <c r="I34060" s="101"/>
    </row>
    <row r="34061" spans="9:9" x14ac:dyDescent="0.3">
      <c r="I34061" s="101"/>
    </row>
    <row r="34062" spans="9:9" x14ac:dyDescent="0.3">
      <c r="I34062" s="101"/>
    </row>
    <row r="34063" spans="9:9" x14ac:dyDescent="0.3">
      <c r="I34063" s="101"/>
    </row>
    <row r="34064" spans="9:9" x14ac:dyDescent="0.3">
      <c r="I34064" s="101"/>
    </row>
    <row r="34065" spans="9:9" x14ac:dyDescent="0.3">
      <c r="I34065" s="101"/>
    </row>
    <row r="34066" spans="9:9" x14ac:dyDescent="0.3">
      <c r="I34066" s="101"/>
    </row>
    <row r="34067" spans="9:9" x14ac:dyDescent="0.3">
      <c r="I34067" s="101"/>
    </row>
    <row r="34068" spans="9:9" x14ac:dyDescent="0.3">
      <c r="I34068" s="101"/>
    </row>
    <row r="34069" spans="9:9" x14ac:dyDescent="0.3">
      <c r="I34069" s="101"/>
    </row>
    <row r="34070" spans="9:9" x14ac:dyDescent="0.3">
      <c r="I34070" s="101"/>
    </row>
    <row r="34071" spans="9:9" x14ac:dyDescent="0.3">
      <c r="I34071" s="101"/>
    </row>
    <row r="34072" spans="9:9" x14ac:dyDescent="0.3">
      <c r="I34072" s="101"/>
    </row>
    <row r="34073" spans="9:9" x14ac:dyDescent="0.3">
      <c r="I34073" s="101"/>
    </row>
    <row r="34074" spans="9:9" x14ac:dyDescent="0.3">
      <c r="I34074" s="101"/>
    </row>
    <row r="34075" spans="9:9" x14ac:dyDescent="0.3">
      <c r="I34075" s="101"/>
    </row>
    <row r="34076" spans="9:9" x14ac:dyDescent="0.3">
      <c r="I34076" s="101"/>
    </row>
    <row r="34077" spans="9:9" x14ac:dyDescent="0.3">
      <c r="I34077" s="101"/>
    </row>
    <row r="34078" spans="9:9" x14ac:dyDescent="0.3">
      <c r="I34078" s="101"/>
    </row>
    <row r="34079" spans="9:9" x14ac:dyDescent="0.3">
      <c r="I34079" s="101"/>
    </row>
    <row r="34080" spans="9:9" x14ac:dyDescent="0.3">
      <c r="I34080" s="101"/>
    </row>
    <row r="34081" spans="9:9" x14ac:dyDescent="0.3">
      <c r="I34081" s="101"/>
    </row>
    <row r="34082" spans="9:9" x14ac:dyDescent="0.3">
      <c r="I34082" s="101"/>
    </row>
    <row r="34083" spans="9:9" x14ac:dyDescent="0.3">
      <c r="I34083" s="101"/>
    </row>
    <row r="34084" spans="9:9" x14ac:dyDescent="0.3">
      <c r="I34084" s="101"/>
    </row>
    <row r="34085" spans="9:9" x14ac:dyDescent="0.3">
      <c r="I34085" s="101"/>
    </row>
    <row r="34086" spans="9:9" x14ac:dyDescent="0.3">
      <c r="I34086" s="101"/>
    </row>
    <row r="34087" spans="9:9" x14ac:dyDescent="0.3">
      <c r="I34087" s="101"/>
    </row>
    <row r="34088" spans="9:9" x14ac:dyDescent="0.3">
      <c r="I34088" s="101"/>
    </row>
    <row r="34089" spans="9:9" x14ac:dyDescent="0.3">
      <c r="I34089" s="101"/>
    </row>
    <row r="34090" spans="9:9" x14ac:dyDescent="0.3">
      <c r="I34090" s="101"/>
    </row>
    <row r="34091" spans="9:9" x14ac:dyDescent="0.3">
      <c r="I34091" s="101"/>
    </row>
    <row r="34092" spans="9:9" x14ac:dyDescent="0.3">
      <c r="I34092" s="101"/>
    </row>
    <row r="34093" spans="9:9" x14ac:dyDescent="0.3">
      <c r="I34093" s="101"/>
    </row>
    <row r="34094" spans="9:9" x14ac:dyDescent="0.3">
      <c r="I34094" s="101"/>
    </row>
    <row r="34095" spans="9:9" x14ac:dyDescent="0.3">
      <c r="I34095" s="101"/>
    </row>
    <row r="34096" spans="9:9" x14ac:dyDescent="0.3">
      <c r="I34096" s="101"/>
    </row>
    <row r="34097" spans="9:9" x14ac:dyDescent="0.3">
      <c r="I34097" s="101"/>
    </row>
    <row r="34098" spans="9:9" x14ac:dyDescent="0.3">
      <c r="I34098" s="101"/>
    </row>
    <row r="34099" spans="9:9" x14ac:dyDescent="0.3">
      <c r="I34099" s="101"/>
    </row>
    <row r="34100" spans="9:9" x14ac:dyDescent="0.3">
      <c r="I34100" s="101"/>
    </row>
    <row r="34101" spans="9:9" x14ac:dyDescent="0.3">
      <c r="I34101" s="101"/>
    </row>
    <row r="34102" spans="9:9" x14ac:dyDescent="0.3">
      <c r="I34102" s="101"/>
    </row>
    <row r="34103" spans="9:9" x14ac:dyDescent="0.3">
      <c r="I34103" s="101"/>
    </row>
    <row r="34104" spans="9:9" x14ac:dyDescent="0.3">
      <c r="I34104" s="101"/>
    </row>
    <row r="34105" spans="9:9" x14ac:dyDescent="0.3">
      <c r="I34105" s="101"/>
    </row>
    <row r="34106" spans="9:9" x14ac:dyDescent="0.3">
      <c r="I34106" s="101"/>
    </row>
    <row r="34107" spans="9:9" x14ac:dyDescent="0.3">
      <c r="I34107" s="101"/>
    </row>
    <row r="34108" spans="9:9" x14ac:dyDescent="0.3">
      <c r="I34108" s="101"/>
    </row>
    <row r="34109" spans="9:9" x14ac:dyDescent="0.3">
      <c r="I34109" s="101"/>
    </row>
    <row r="34110" spans="9:9" x14ac:dyDescent="0.3">
      <c r="I34110" s="101"/>
    </row>
    <row r="34111" spans="9:9" x14ac:dyDescent="0.3">
      <c r="I34111" s="101"/>
    </row>
    <row r="34112" spans="9:9" x14ac:dyDescent="0.3">
      <c r="I34112" s="101"/>
    </row>
    <row r="34113" spans="9:9" x14ac:dyDescent="0.3">
      <c r="I34113" s="101"/>
    </row>
    <row r="34114" spans="9:9" x14ac:dyDescent="0.3">
      <c r="I34114" s="101"/>
    </row>
    <row r="34115" spans="9:9" x14ac:dyDescent="0.3">
      <c r="I34115" s="101"/>
    </row>
    <row r="34116" spans="9:9" x14ac:dyDescent="0.3">
      <c r="I34116" s="101"/>
    </row>
    <row r="34117" spans="9:9" x14ac:dyDescent="0.3">
      <c r="I34117" s="101"/>
    </row>
    <row r="34118" spans="9:9" x14ac:dyDescent="0.3">
      <c r="I34118" s="101"/>
    </row>
    <row r="34119" spans="9:9" x14ac:dyDescent="0.3">
      <c r="I34119" s="101"/>
    </row>
    <row r="34120" spans="9:9" x14ac:dyDescent="0.3">
      <c r="I34120" s="101"/>
    </row>
    <row r="34121" spans="9:9" x14ac:dyDescent="0.3">
      <c r="I34121" s="101"/>
    </row>
    <row r="34122" spans="9:9" x14ac:dyDescent="0.3">
      <c r="I34122" s="101"/>
    </row>
    <row r="34123" spans="9:9" x14ac:dyDescent="0.3">
      <c r="I34123" s="101"/>
    </row>
    <row r="34124" spans="9:9" x14ac:dyDescent="0.3">
      <c r="I34124" s="101"/>
    </row>
    <row r="34125" spans="9:9" x14ac:dyDescent="0.3">
      <c r="I34125" s="101"/>
    </row>
    <row r="34126" spans="9:9" x14ac:dyDescent="0.3">
      <c r="I34126" s="101"/>
    </row>
    <row r="34127" spans="9:9" x14ac:dyDescent="0.3">
      <c r="I34127" s="101"/>
    </row>
    <row r="34128" spans="9:9" x14ac:dyDescent="0.3">
      <c r="I34128" s="101"/>
    </row>
    <row r="34129" spans="9:9" x14ac:dyDescent="0.3">
      <c r="I34129" s="101"/>
    </row>
    <row r="34130" spans="9:9" x14ac:dyDescent="0.3">
      <c r="I34130" s="101"/>
    </row>
    <row r="34131" spans="9:9" x14ac:dyDescent="0.3">
      <c r="I34131" s="101"/>
    </row>
    <row r="34132" spans="9:9" x14ac:dyDescent="0.3">
      <c r="I34132" s="101"/>
    </row>
    <row r="34133" spans="9:9" x14ac:dyDescent="0.3">
      <c r="I34133" s="101"/>
    </row>
    <row r="34134" spans="9:9" x14ac:dyDescent="0.3">
      <c r="I34134" s="101"/>
    </row>
    <row r="34135" spans="9:9" x14ac:dyDescent="0.3">
      <c r="I34135" s="101"/>
    </row>
    <row r="34136" spans="9:9" x14ac:dyDescent="0.3">
      <c r="I34136" s="101"/>
    </row>
    <row r="34137" spans="9:9" x14ac:dyDescent="0.3">
      <c r="I34137" s="101"/>
    </row>
    <row r="34138" spans="9:9" x14ac:dyDescent="0.3">
      <c r="I34138" s="101"/>
    </row>
    <row r="34139" spans="9:9" x14ac:dyDescent="0.3">
      <c r="I34139" s="101"/>
    </row>
    <row r="34140" spans="9:9" x14ac:dyDescent="0.3">
      <c r="I34140" s="101"/>
    </row>
    <row r="34141" spans="9:9" x14ac:dyDescent="0.3">
      <c r="I34141" s="101"/>
    </row>
    <row r="34142" spans="9:9" x14ac:dyDescent="0.3">
      <c r="I34142" s="101"/>
    </row>
    <row r="34143" spans="9:9" x14ac:dyDescent="0.3">
      <c r="I34143" s="101"/>
    </row>
    <row r="34144" spans="9:9" x14ac:dyDescent="0.3">
      <c r="I34144" s="101"/>
    </row>
    <row r="34145" spans="9:9" x14ac:dyDescent="0.3">
      <c r="I34145" s="101"/>
    </row>
    <row r="34146" spans="9:9" x14ac:dyDescent="0.3">
      <c r="I34146" s="101"/>
    </row>
    <row r="34147" spans="9:9" x14ac:dyDescent="0.3">
      <c r="I34147" s="101"/>
    </row>
    <row r="34148" spans="9:9" x14ac:dyDescent="0.3">
      <c r="I34148" s="101"/>
    </row>
    <row r="34149" spans="9:9" x14ac:dyDescent="0.3">
      <c r="I34149" s="101"/>
    </row>
    <row r="34150" spans="9:9" x14ac:dyDescent="0.3">
      <c r="I34150" s="101"/>
    </row>
    <row r="34151" spans="9:9" x14ac:dyDescent="0.3">
      <c r="I34151" s="101"/>
    </row>
    <row r="34152" spans="9:9" x14ac:dyDescent="0.3">
      <c r="I34152" s="101"/>
    </row>
    <row r="34153" spans="9:9" x14ac:dyDescent="0.3">
      <c r="I34153" s="101"/>
    </row>
    <row r="34154" spans="9:9" x14ac:dyDescent="0.3">
      <c r="I34154" s="101"/>
    </row>
    <row r="34155" spans="9:9" x14ac:dyDescent="0.3">
      <c r="I34155" s="101"/>
    </row>
    <row r="34156" spans="9:9" x14ac:dyDescent="0.3">
      <c r="I34156" s="101"/>
    </row>
    <row r="34157" spans="9:9" x14ac:dyDescent="0.3">
      <c r="I34157" s="101"/>
    </row>
    <row r="34158" spans="9:9" x14ac:dyDescent="0.3">
      <c r="I34158" s="101"/>
    </row>
    <row r="34159" spans="9:9" x14ac:dyDescent="0.3">
      <c r="I34159" s="101"/>
    </row>
    <row r="34160" spans="9:9" x14ac:dyDescent="0.3">
      <c r="I34160" s="101"/>
    </row>
    <row r="34161" spans="9:9" x14ac:dyDescent="0.3">
      <c r="I34161" s="101"/>
    </row>
    <row r="34162" spans="9:9" x14ac:dyDescent="0.3">
      <c r="I34162" s="101"/>
    </row>
    <row r="34163" spans="9:9" x14ac:dyDescent="0.3">
      <c r="I34163" s="101"/>
    </row>
    <row r="34164" spans="9:9" x14ac:dyDescent="0.3">
      <c r="I34164" s="101"/>
    </row>
    <row r="34165" spans="9:9" x14ac:dyDescent="0.3">
      <c r="I34165" s="101"/>
    </row>
    <row r="34166" spans="9:9" x14ac:dyDescent="0.3">
      <c r="I34166" s="101"/>
    </row>
    <row r="34167" spans="9:9" x14ac:dyDescent="0.3">
      <c r="I34167" s="101"/>
    </row>
    <row r="34168" spans="9:9" x14ac:dyDescent="0.3">
      <c r="I34168" s="101"/>
    </row>
    <row r="34169" spans="9:9" x14ac:dyDescent="0.3">
      <c r="I34169" s="101"/>
    </row>
    <row r="34170" spans="9:9" x14ac:dyDescent="0.3">
      <c r="I34170" s="101"/>
    </row>
    <row r="34171" spans="9:9" x14ac:dyDescent="0.3">
      <c r="I34171" s="101"/>
    </row>
    <row r="34172" spans="9:9" x14ac:dyDescent="0.3">
      <c r="I34172" s="101"/>
    </row>
    <row r="34173" spans="9:9" x14ac:dyDescent="0.3">
      <c r="I34173" s="101"/>
    </row>
    <row r="34174" spans="9:9" x14ac:dyDescent="0.3">
      <c r="I34174" s="101"/>
    </row>
    <row r="34175" spans="9:9" x14ac:dyDescent="0.3">
      <c r="I34175" s="101"/>
    </row>
    <row r="34176" spans="9:9" x14ac:dyDescent="0.3">
      <c r="I34176" s="101"/>
    </row>
    <row r="34177" spans="9:9" x14ac:dyDescent="0.3">
      <c r="I34177" s="101"/>
    </row>
    <row r="34178" spans="9:9" x14ac:dyDescent="0.3">
      <c r="I34178" s="101"/>
    </row>
    <row r="34179" spans="9:9" x14ac:dyDescent="0.3">
      <c r="I34179" s="101"/>
    </row>
    <row r="34180" spans="9:9" x14ac:dyDescent="0.3">
      <c r="I34180" s="101"/>
    </row>
    <row r="34181" spans="9:9" x14ac:dyDescent="0.3">
      <c r="I34181" s="101"/>
    </row>
    <row r="34182" spans="9:9" x14ac:dyDescent="0.3">
      <c r="I34182" s="101"/>
    </row>
    <row r="34183" spans="9:9" x14ac:dyDescent="0.3">
      <c r="I34183" s="101"/>
    </row>
    <row r="34184" spans="9:9" x14ac:dyDescent="0.3">
      <c r="I34184" s="101"/>
    </row>
    <row r="34185" spans="9:9" x14ac:dyDescent="0.3">
      <c r="I34185" s="101"/>
    </row>
    <row r="34186" spans="9:9" x14ac:dyDescent="0.3">
      <c r="I34186" s="101"/>
    </row>
    <row r="34187" spans="9:9" x14ac:dyDescent="0.3">
      <c r="I34187" s="101"/>
    </row>
    <row r="34188" spans="9:9" x14ac:dyDescent="0.3">
      <c r="I34188" s="101"/>
    </row>
    <row r="34189" spans="9:9" x14ac:dyDescent="0.3">
      <c r="I34189" s="101"/>
    </row>
    <row r="34190" spans="9:9" x14ac:dyDescent="0.3">
      <c r="I34190" s="101"/>
    </row>
    <row r="34191" spans="9:9" x14ac:dyDescent="0.3">
      <c r="I34191" s="101"/>
    </row>
    <row r="34192" spans="9:9" x14ac:dyDescent="0.3">
      <c r="I34192" s="101"/>
    </row>
    <row r="34193" spans="9:9" x14ac:dyDescent="0.3">
      <c r="I34193" s="101"/>
    </row>
    <row r="34194" spans="9:9" x14ac:dyDescent="0.3">
      <c r="I34194" s="101"/>
    </row>
    <row r="34195" spans="9:9" x14ac:dyDescent="0.3">
      <c r="I34195" s="101"/>
    </row>
    <row r="34196" spans="9:9" x14ac:dyDescent="0.3">
      <c r="I34196" s="101"/>
    </row>
    <row r="34197" spans="9:9" x14ac:dyDescent="0.3">
      <c r="I34197" s="101"/>
    </row>
    <row r="34198" spans="9:9" x14ac:dyDescent="0.3">
      <c r="I34198" s="101"/>
    </row>
    <row r="34199" spans="9:9" x14ac:dyDescent="0.3">
      <c r="I34199" s="101"/>
    </row>
    <row r="34200" spans="9:9" x14ac:dyDescent="0.3">
      <c r="I34200" s="101"/>
    </row>
    <row r="34201" spans="9:9" x14ac:dyDescent="0.3">
      <c r="I34201" s="101"/>
    </row>
    <row r="34202" spans="9:9" x14ac:dyDescent="0.3">
      <c r="I34202" s="101"/>
    </row>
    <row r="34203" spans="9:9" x14ac:dyDescent="0.3">
      <c r="I34203" s="101"/>
    </row>
    <row r="34204" spans="9:9" x14ac:dyDescent="0.3">
      <c r="I34204" s="101"/>
    </row>
    <row r="34205" spans="9:9" x14ac:dyDescent="0.3">
      <c r="I34205" s="101"/>
    </row>
    <row r="34206" spans="9:9" x14ac:dyDescent="0.3">
      <c r="I34206" s="101"/>
    </row>
    <row r="34207" spans="9:9" x14ac:dyDescent="0.3">
      <c r="I34207" s="101"/>
    </row>
    <row r="34208" spans="9:9" x14ac:dyDescent="0.3">
      <c r="I34208" s="101"/>
    </row>
    <row r="34209" spans="9:9" x14ac:dyDescent="0.3">
      <c r="I34209" s="101"/>
    </row>
    <row r="34210" spans="9:9" x14ac:dyDescent="0.3">
      <c r="I34210" s="101"/>
    </row>
    <row r="34211" spans="9:9" x14ac:dyDescent="0.3">
      <c r="I34211" s="101"/>
    </row>
    <row r="34212" spans="9:9" x14ac:dyDescent="0.3">
      <c r="I34212" s="101"/>
    </row>
    <row r="34213" spans="9:9" x14ac:dyDescent="0.3">
      <c r="I34213" s="101"/>
    </row>
    <row r="34214" spans="9:9" x14ac:dyDescent="0.3">
      <c r="I34214" s="101"/>
    </row>
    <row r="34215" spans="9:9" x14ac:dyDescent="0.3">
      <c r="I34215" s="101"/>
    </row>
    <row r="34216" spans="9:9" x14ac:dyDescent="0.3">
      <c r="I34216" s="101"/>
    </row>
    <row r="34217" spans="9:9" x14ac:dyDescent="0.3">
      <c r="I34217" s="101"/>
    </row>
    <row r="34218" spans="9:9" x14ac:dyDescent="0.3">
      <c r="I34218" s="101"/>
    </row>
    <row r="34219" spans="9:9" x14ac:dyDescent="0.3">
      <c r="I34219" s="101"/>
    </row>
    <row r="34220" spans="9:9" x14ac:dyDescent="0.3">
      <c r="I34220" s="101"/>
    </row>
    <row r="34221" spans="9:9" x14ac:dyDescent="0.3">
      <c r="I34221" s="101"/>
    </row>
    <row r="34222" spans="9:9" x14ac:dyDescent="0.3">
      <c r="I34222" s="101"/>
    </row>
    <row r="34223" spans="9:9" x14ac:dyDescent="0.3">
      <c r="I34223" s="101"/>
    </row>
    <row r="34224" spans="9:9" x14ac:dyDescent="0.3">
      <c r="I34224" s="101"/>
    </row>
    <row r="34225" spans="9:9" x14ac:dyDescent="0.3">
      <c r="I34225" s="101"/>
    </row>
    <row r="34226" spans="9:9" x14ac:dyDescent="0.3">
      <c r="I34226" s="101"/>
    </row>
    <row r="34227" spans="9:9" x14ac:dyDescent="0.3">
      <c r="I34227" s="101"/>
    </row>
    <row r="34228" spans="9:9" x14ac:dyDescent="0.3">
      <c r="I34228" s="101"/>
    </row>
    <row r="34229" spans="9:9" x14ac:dyDescent="0.3">
      <c r="I34229" s="101"/>
    </row>
    <row r="34230" spans="9:9" x14ac:dyDescent="0.3">
      <c r="I34230" s="101"/>
    </row>
    <row r="34231" spans="9:9" x14ac:dyDescent="0.3">
      <c r="I34231" s="101"/>
    </row>
    <row r="34232" spans="9:9" x14ac:dyDescent="0.3">
      <c r="I34232" s="101"/>
    </row>
    <row r="34233" spans="9:9" x14ac:dyDescent="0.3">
      <c r="I34233" s="101"/>
    </row>
    <row r="34234" spans="9:9" x14ac:dyDescent="0.3">
      <c r="I34234" s="101"/>
    </row>
    <row r="34235" spans="9:9" x14ac:dyDescent="0.3">
      <c r="I34235" s="101"/>
    </row>
    <row r="34236" spans="9:9" x14ac:dyDescent="0.3">
      <c r="I34236" s="101"/>
    </row>
    <row r="34237" spans="9:9" x14ac:dyDescent="0.3">
      <c r="I34237" s="101"/>
    </row>
    <row r="34238" spans="9:9" x14ac:dyDescent="0.3">
      <c r="I34238" s="101"/>
    </row>
    <row r="34239" spans="9:9" x14ac:dyDescent="0.3">
      <c r="I34239" s="101"/>
    </row>
    <row r="34240" spans="9:9" x14ac:dyDescent="0.3">
      <c r="I34240" s="101"/>
    </row>
    <row r="34241" spans="9:9" x14ac:dyDescent="0.3">
      <c r="I34241" s="101"/>
    </row>
    <row r="34242" spans="9:9" x14ac:dyDescent="0.3">
      <c r="I34242" s="101"/>
    </row>
    <row r="34243" spans="9:9" x14ac:dyDescent="0.3">
      <c r="I34243" s="101"/>
    </row>
    <row r="34244" spans="9:9" x14ac:dyDescent="0.3">
      <c r="I34244" s="101"/>
    </row>
    <row r="34245" spans="9:9" x14ac:dyDescent="0.3">
      <c r="I34245" s="101"/>
    </row>
    <row r="34246" spans="9:9" x14ac:dyDescent="0.3">
      <c r="I34246" s="101"/>
    </row>
    <row r="34247" spans="9:9" x14ac:dyDescent="0.3">
      <c r="I34247" s="101"/>
    </row>
    <row r="34248" spans="9:9" x14ac:dyDescent="0.3">
      <c r="I34248" s="101"/>
    </row>
    <row r="34249" spans="9:9" x14ac:dyDescent="0.3">
      <c r="I34249" s="101"/>
    </row>
    <row r="34250" spans="9:9" x14ac:dyDescent="0.3">
      <c r="I34250" s="101"/>
    </row>
    <row r="34251" spans="9:9" x14ac:dyDescent="0.3">
      <c r="I34251" s="101"/>
    </row>
    <row r="34252" spans="9:9" x14ac:dyDescent="0.3">
      <c r="I34252" s="101"/>
    </row>
    <row r="34253" spans="9:9" x14ac:dyDescent="0.3">
      <c r="I34253" s="101"/>
    </row>
    <row r="34254" spans="9:9" x14ac:dyDescent="0.3">
      <c r="I34254" s="101"/>
    </row>
    <row r="34255" spans="9:9" x14ac:dyDescent="0.3">
      <c r="I34255" s="101"/>
    </row>
    <row r="34256" spans="9:9" x14ac:dyDescent="0.3">
      <c r="I34256" s="101"/>
    </row>
    <row r="34257" spans="9:9" x14ac:dyDescent="0.3">
      <c r="I34257" s="101"/>
    </row>
    <row r="34258" spans="9:9" x14ac:dyDescent="0.3">
      <c r="I34258" s="101"/>
    </row>
    <row r="34259" spans="9:9" x14ac:dyDescent="0.3">
      <c r="I34259" s="101"/>
    </row>
    <row r="34260" spans="9:9" x14ac:dyDescent="0.3">
      <c r="I34260" s="101"/>
    </row>
    <row r="34261" spans="9:9" x14ac:dyDescent="0.3">
      <c r="I34261" s="101"/>
    </row>
    <row r="34262" spans="9:9" x14ac:dyDescent="0.3">
      <c r="I34262" s="101"/>
    </row>
    <row r="34263" spans="9:9" x14ac:dyDescent="0.3">
      <c r="I34263" s="101"/>
    </row>
    <row r="34264" spans="9:9" x14ac:dyDescent="0.3">
      <c r="I34264" s="101"/>
    </row>
    <row r="34265" spans="9:9" x14ac:dyDescent="0.3">
      <c r="I34265" s="101"/>
    </row>
    <row r="34266" spans="9:9" x14ac:dyDescent="0.3">
      <c r="I34266" s="101"/>
    </row>
    <row r="34267" spans="9:9" x14ac:dyDescent="0.3">
      <c r="I34267" s="101"/>
    </row>
    <row r="34268" spans="9:9" x14ac:dyDescent="0.3">
      <c r="I34268" s="101"/>
    </row>
    <row r="34269" spans="9:9" x14ac:dyDescent="0.3">
      <c r="I34269" s="101"/>
    </row>
    <row r="34270" spans="9:9" x14ac:dyDescent="0.3">
      <c r="I34270" s="101"/>
    </row>
    <row r="34271" spans="9:9" x14ac:dyDescent="0.3">
      <c r="I34271" s="101"/>
    </row>
    <row r="34272" spans="9:9" x14ac:dyDescent="0.3">
      <c r="I34272" s="101"/>
    </row>
    <row r="34273" spans="9:9" x14ac:dyDescent="0.3">
      <c r="I34273" s="101"/>
    </row>
    <row r="34274" spans="9:9" x14ac:dyDescent="0.3">
      <c r="I34274" s="101"/>
    </row>
    <row r="34275" spans="9:9" x14ac:dyDescent="0.3">
      <c r="I34275" s="101"/>
    </row>
    <row r="34276" spans="9:9" x14ac:dyDescent="0.3">
      <c r="I34276" s="101"/>
    </row>
    <row r="34277" spans="9:9" x14ac:dyDescent="0.3">
      <c r="I34277" s="101"/>
    </row>
    <row r="34278" spans="9:9" x14ac:dyDescent="0.3">
      <c r="I34278" s="101"/>
    </row>
    <row r="34279" spans="9:9" x14ac:dyDescent="0.3">
      <c r="I34279" s="101"/>
    </row>
    <row r="34280" spans="9:9" x14ac:dyDescent="0.3">
      <c r="I34280" s="101"/>
    </row>
    <row r="34281" spans="9:9" x14ac:dyDescent="0.3">
      <c r="I34281" s="101"/>
    </row>
    <row r="34282" spans="9:9" x14ac:dyDescent="0.3">
      <c r="I34282" s="101"/>
    </row>
    <row r="34283" spans="9:9" x14ac:dyDescent="0.3">
      <c r="I34283" s="101"/>
    </row>
    <row r="34284" spans="9:9" x14ac:dyDescent="0.3">
      <c r="I34284" s="101"/>
    </row>
    <row r="34285" spans="9:9" x14ac:dyDescent="0.3">
      <c r="I34285" s="101"/>
    </row>
    <row r="34286" spans="9:9" x14ac:dyDescent="0.3">
      <c r="I34286" s="101"/>
    </row>
    <row r="34287" spans="9:9" x14ac:dyDescent="0.3">
      <c r="I34287" s="101"/>
    </row>
    <row r="34288" spans="9:9" x14ac:dyDescent="0.3">
      <c r="I34288" s="101"/>
    </row>
    <row r="34289" spans="9:9" x14ac:dyDescent="0.3">
      <c r="I34289" s="101"/>
    </row>
    <row r="34290" spans="9:9" x14ac:dyDescent="0.3">
      <c r="I34290" s="101"/>
    </row>
    <row r="34291" spans="9:9" x14ac:dyDescent="0.3">
      <c r="I34291" s="101"/>
    </row>
    <row r="34292" spans="9:9" x14ac:dyDescent="0.3">
      <c r="I34292" s="101"/>
    </row>
    <row r="34293" spans="9:9" x14ac:dyDescent="0.3">
      <c r="I34293" s="101"/>
    </row>
    <row r="34294" spans="9:9" x14ac:dyDescent="0.3">
      <c r="I34294" s="101"/>
    </row>
    <row r="34295" spans="9:9" x14ac:dyDescent="0.3">
      <c r="I34295" s="101"/>
    </row>
    <row r="34296" spans="9:9" x14ac:dyDescent="0.3">
      <c r="I34296" s="101"/>
    </row>
    <row r="34297" spans="9:9" x14ac:dyDescent="0.3">
      <c r="I34297" s="101"/>
    </row>
    <row r="34298" spans="9:9" x14ac:dyDescent="0.3">
      <c r="I34298" s="101"/>
    </row>
    <row r="34299" spans="9:9" x14ac:dyDescent="0.3">
      <c r="I34299" s="101"/>
    </row>
    <row r="34300" spans="9:9" x14ac:dyDescent="0.3">
      <c r="I34300" s="101"/>
    </row>
    <row r="34301" spans="9:9" x14ac:dyDescent="0.3">
      <c r="I34301" s="101"/>
    </row>
    <row r="34302" spans="9:9" x14ac:dyDescent="0.3">
      <c r="I34302" s="101"/>
    </row>
    <row r="34303" spans="9:9" x14ac:dyDescent="0.3">
      <c r="I34303" s="101"/>
    </row>
    <row r="34304" spans="9:9" x14ac:dyDescent="0.3">
      <c r="I34304" s="101"/>
    </row>
    <row r="34305" spans="9:9" x14ac:dyDescent="0.3">
      <c r="I34305" s="101"/>
    </row>
    <row r="34306" spans="9:9" x14ac:dyDescent="0.3">
      <c r="I34306" s="101"/>
    </row>
    <row r="34307" spans="9:9" x14ac:dyDescent="0.3">
      <c r="I34307" s="101"/>
    </row>
    <row r="34308" spans="9:9" x14ac:dyDescent="0.3">
      <c r="I34308" s="101"/>
    </row>
    <row r="34309" spans="9:9" x14ac:dyDescent="0.3">
      <c r="I34309" s="101"/>
    </row>
    <row r="34310" spans="9:9" x14ac:dyDescent="0.3">
      <c r="I34310" s="101"/>
    </row>
    <row r="34311" spans="9:9" x14ac:dyDescent="0.3">
      <c r="I34311" s="101"/>
    </row>
    <row r="34312" spans="9:9" x14ac:dyDescent="0.3">
      <c r="I34312" s="101"/>
    </row>
    <row r="34313" spans="9:9" x14ac:dyDescent="0.3">
      <c r="I34313" s="101"/>
    </row>
    <row r="34314" spans="9:9" x14ac:dyDescent="0.3">
      <c r="I34314" s="101"/>
    </row>
    <row r="34315" spans="9:9" x14ac:dyDescent="0.3">
      <c r="I34315" s="101"/>
    </row>
    <row r="34316" spans="9:9" x14ac:dyDescent="0.3">
      <c r="I34316" s="101"/>
    </row>
    <row r="34317" spans="9:9" x14ac:dyDescent="0.3">
      <c r="I34317" s="101"/>
    </row>
    <row r="34318" spans="9:9" x14ac:dyDescent="0.3">
      <c r="I34318" s="101"/>
    </row>
    <row r="34319" spans="9:9" x14ac:dyDescent="0.3">
      <c r="I34319" s="101"/>
    </row>
    <row r="34320" spans="9:9" x14ac:dyDescent="0.3">
      <c r="I34320" s="101"/>
    </row>
    <row r="34321" spans="9:9" x14ac:dyDescent="0.3">
      <c r="I34321" s="101"/>
    </row>
    <row r="34322" spans="9:9" x14ac:dyDescent="0.3">
      <c r="I34322" s="101"/>
    </row>
    <row r="34323" spans="9:9" x14ac:dyDescent="0.3">
      <c r="I34323" s="101"/>
    </row>
    <row r="34324" spans="9:9" x14ac:dyDescent="0.3">
      <c r="I34324" s="101"/>
    </row>
    <row r="34325" spans="9:9" x14ac:dyDescent="0.3">
      <c r="I34325" s="101"/>
    </row>
    <row r="34326" spans="9:9" x14ac:dyDescent="0.3">
      <c r="I34326" s="101"/>
    </row>
    <row r="34327" spans="9:9" x14ac:dyDescent="0.3">
      <c r="I34327" s="101"/>
    </row>
    <row r="34328" spans="9:9" x14ac:dyDescent="0.3">
      <c r="I34328" s="101"/>
    </row>
    <row r="34329" spans="9:9" x14ac:dyDescent="0.3">
      <c r="I34329" s="101"/>
    </row>
    <row r="34330" spans="9:9" x14ac:dyDescent="0.3">
      <c r="I34330" s="101"/>
    </row>
    <row r="34331" spans="9:9" x14ac:dyDescent="0.3">
      <c r="I34331" s="101"/>
    </row>
    <row r="34332" spans="9:9" x14ac:dyDescent="0.3">
      <c r="I34332" s="101"/>
    </row>
    <row r="34333" spans="9:9" x14ac:dyDescent="0.3">
      <c r="I34333" s="101"/>
    </row>
    <row r="34334" spans="9:9" x14ac:dyDescent="0.3">
      <c r="I34334" s="101"/>
    </row>
    <row r="34335" spans="9:9" x14ac:dyDescent="0.3">
      <c r="I34335" s="101"/>
    </row>
    <row r="34336" spans="9:9" x14ac:dyDescent="0.3">
      <c r="I34336" s="101"/>
    </row>
    <row r="34337" spans="9:9" x14ac:dyDescent="0.3">
      <c r="I34337" s="101"/>
    </row>
    <row r="34338" spans="9:9" x14ac:dyDescent="0.3">
      <c r="I34338" s="101"/>
    </row>
    <row r="34339" spans="9:9" x14ac:dyDescent="0.3">
      <c r="I34339" s="101"/>
    </row>
    <row r="34340" spans="9:9" x14ac:dyDescent="0.3">
      <c r="I34340" s="101"/>
    </row>
    <row r="34341" spans="9:9" x14ac:dyDescent="0.3">
      <c r="I34341" s="101"/>
    </row>
    <row r="34342" spans="9:9" x14ac:dyDescent="0.3">
      <c r="I34342" s="101"/>
    </row>
    <row r="34343" spans="9:9" x14ac:dyDescent="0.3">
      <c r="I34343" s="101"/>
    </row>
    <row r="34344" spans="9:9" x14ac:dyDescent="0.3">
      <c r="I34344" s="101"/>
    </row>
    <row r="34345" spans="9:9" x14ac:dyDescent="0.3">
      <c r="I34345" s="101"/>
    </row>
    <row r="34346" spans="9:9" x14ac:dyDescent="0.3">
      <c r="I34346" s="101"/>
    </row>
    <row r="34347" spans="9:9" x14ac:dyDescent="0.3">
      <c r="I34347" s="101"/>
    </row>
    <row r="34348" spans="9:9" x14ac:dyDescent="0.3">
      <c r="I34348" s="101"/>
    </row>
    <row r="34349" spans="9:9" x14ac:dyDescent="0.3">
      <c r="I34349" s="101"/>
    </row>
    <row r="34350" spans="9:9" x14ac:dyDescent="0.3">
      <c r="I34350" s="101"/>
    </row>
    <row r="34351" spans="9:9" x14ac:dyDescent="0.3">
      <c r="I34351" s="101"/>
    </row>
    <row r="34352" spans="9:9" x14ac:dyDescent="0.3">
      <c r="I34352" s="101"/>
    </row>
    <row r="34353" spans="9:9" x14ac:dyDescent="0.3">
      <c r="I34353" s="101"/>
    </row>
    <row r="34354" spans="9:9" x14ac:dyDescent="0.3">
      <c r="I34354" s="101"/>
    </row>
    <row r="34355" spans="9:9" x14ac:dyDescent="0.3">
      <c r="I34355" s="101"/>
    </row>
    <row r="34356" spans="9:9" x14ac:dyDescent="0.3">
      <c r="I34356" s="101"/>
    </row>
    <row r="34357" spans="9:9" x14ac:dyDescent="0.3">
      <c r="I34357" s="101"/>
    </row>
    <row r="34358" spans="9:9" x14ac:dyDescent="0.3">
      <c r="I34358" s="101"/>
    </row>
    <row r="34359" spans="9:9" x14ac:dyDescent="0.3">
      <c r="I34359" s="101"/>
    </row>
    <row r="34360" spans="9:9" x14ac:dyDescent="0.3">
      <c r="I34360" s="101"/>
    </row>
    <row r="34361" spans="9:9" x14ac:dyDescent="0.3">
      <c r="I34361" s="101"/>
    </row>
    <row r="34362" spans="9:9" x14ac:dyDescent="0.3">
      <c r="I34362" s="101"/>
    </row>
    <row r="34363" spans="9:9" x14ac:dyDescent="0.3">
      <c r="I34363" s="101"/>
    </row>
    <row r="34364" spans="9:9" x14ac:dyDescent="0.3">
      <c r="I34364" s="101"/>
    </row>
    <row r="34365" spans="9:9" x14ac:dyDescent="0.3">
      <c r="I34365" s="101"/>
    </row>
    <row r="34366" spans="9:9" x14ac:dyDescent="0.3">
      <c r="I34366" s="101"/>
    </row>
    <row r="34367" spans="9:9" x14ac:dyDescent="0.3">
      <c r="I34367" s="101"/>
    </row>
    <row r="34368" spans="9:9" x14ac:dyDescent="0.3">
      <c r="I34368" s="101"/>
    </row>
    <row r="34369" spans="9:9" x14ac:dyDescent="0.3">
      <c r="I34369" s="101"/>
    </row>
    <row r="34370" spans="9:9" x14ac:dyDescent="0.3">
      <c r="I34370" s="101"/>
    </row>
    <row r="34371" spans="9:9" x14ac:dyDescent="0.3">
      <c r="I34371" s="101"/>
    </row>
    <row r="34372" spans="9:9" x14ac:dyDescent="0.3">
      <c r="I34372" s="101"/>
    </row>
    <row r="34373" spans="9:9" x14ac:dyDescent="0.3">
      <c r="I34373" s="101"/>
    </row>
    <row r="34374" spans="9:9" x14ac:dyDescent="0.3">
      <c r="I34374" s="101"/>
    </row>
    <row r="34375" spans="9:9" x14ac:dyDescent="0.3">
      <c r="I34375" s="101"/>
    </row>
    <row r="34376" spans="9:9" x14ac:dyDescent="0.3">
      <c r="I34376" s="101"/>
    </row>
    <row r="34377" spans="9:9" x14ac:dyDescent="0.3">
      <c r="I34377" s="101"/>
    </row>
    <row r="34378" spans="9:9" x14ac:dyDescent="0.3">
      <c r="I34378" s="101"/>
    </row>
    <row r="34379" spans="9:9" x14ac:dyDescent="0.3">
      <c r="I34379" s="101"/>
    </row>
    <row r="34380" spans="9:9" x14ac:dyDescent="0.3">
      <c r="I34380" s="101"/>
    </row>
    <row r="34381" spans="9:9" x14ac:dyDescent="0.3">
      <c r="I34381" s="101"/>
    </row>
    <row r="34382" spans="9:9" x14ac:dyDescent="0.3">
      <c r="I34382" s="101"/>
    </row>
    <row r="34383" spans="9:9" x14ac:dyDescent="0.3">
      <c r="I34383" s="101"/>
    </row>
    <row r="34384" spans="9:9" x14ac:dyDescent="0.3">
      <c r="I34384" s="101"/>
    </row>
    <row r="34385" spans="9:9" x14ac:dyDescent="0.3">
      <c r="I34385" s="101"/>
    </row>
    <row r="34386" spans="9:9" x14ac:dyDescent="0.3">
      <c r="I34386" s="101"/>
    </row>
    <row r="34387" spans="9:9" x14ac:dyDescent="0.3">
      <c r="I34387" s="101"/>
    </row>
    <row r="34388" spans="9:9" x14ac:dyDescent="0.3">
      <c r="I34388" s="101"/>
    </row>
    <row r="34389" spans="9:9" x14ac:dyDescent="0.3">
      <c r="I34389" s="101"/>
    </row>
    <row r="34390" spans="9:9" x14ac:dyDescent="0.3">
      <c r="I34390" s="101"/>
    </row>
    <row r="34391" spans="9:9" x14ac:dyDescent="0.3">
      <c r="I34391" s="101"/>
    </row>
    <row r="34392" spans="9:9" x14ac:dyDescent="0.3">
      <c r="I34392" s="101"/>
    </row>
    <row r="34393" spans="9:9" x14ac:dyDescent="0.3">
      <c r="I34393" s="101"/>
    </row>
    <row r="34394" spans="9:9" x14ac:dyDescent="0.3">
      <c r="I34394" s="101"/>
    </row>
    <row r="34395" spans="9:9" x14ac:dyDescent="0.3">
      <c r="I34395" s="101"/>
    </row>
    <row r="34396" spans="9:9" x14ac:dyDescent="0.3">
      <c r="I34396" s="101"/>
    </row>
    <row r="34397" spans="9:9" x14ac:dyDescent="0.3">
      <c r="I34397" s="101"/>
    </row>
    <row r="34398" spans="9:9" x14ac:dyDescent="0.3">
      <c r="I34398" s="101"/>
    </row>
    <row r="34399" spans="9:9" x14ac:dyDescent="0.3">
      <c r="I34399" s="101"/>
    </row>
    <row r="34400" spans="9:9" x14ac:dyDescent="0.3">
      <c r="I34400" s="101"/>
    </row>
    <row r="34401" spans="9:9" x14ac:dyDescent="0.3">
      <c r="I34401" s="101"/>
    </row>
    <row r="34402" spans="9:9" x14ac:dyDescent="0.3">
      <c r="I34402" s="101"/>
    </row>
    <row r="34403" spans="9:9" x14ac:dyDescent="0.3">
      <c r="I34403" s="101"/>
    </row>
    <row r="34404" spans="9:9" x14ac:dyDescent="0.3">
      <c r="I34404" s="101"/>
    </row>
    <row r="34405" spans="9:9" x14ac:dyDescent="0.3">
      <c r="I34405" s="101"/>
    </row>
    <row r="34406" spans="9:9" x14ac:dyDescent="0.3">
      <c r="I34406" s="101"/>
    </row>
    <row r="34407" spans="9:9" x14ac:dyDescent="0.3">
      <c r="I34407" s="101"/>
    </row>
    <row r="34408" spans="9:9" x14ac:dyDescent="0.3">
      <c r="I34408" s="101"/>
    </row>
    <row r="34409" spans="9:9" x14ac:dyDescent="0.3">
      <c r="I34409" s="101"/>
    </row>
    <row r="34410" spans="9:9" x14ac:dyDescent="0.3">
      <c r="I34410" s="101"/>
    </row>
    <row r="34411" spans="9:9" x14ac:dyDescent="0.3">
      <c r="I34411" s="101"/>
    </row>
    <row r="34412" spans="9:9" x14ac:dyDescent="0.3">
      <c r="I34412" s="101"/>
    </row>
    <row r="34413" spans="9:9" x14ac:dyDescent="0.3">
      <c r="I34413" s="101"/>
    </row>
    <row r="34414" spans="9:9" x14ac:dyDescent="0.3">
      <c r="I34414" s="101"/>
    </row>
    <row r="34415" spans="9:9" x14ac:dyDescent="0.3">
      <c r="I34415" s="101"/>
    </row>
    <row r="34416" spans="9:9" x14ac:dyDescent="0.3">
      <c r="I34416" s="101"/>
    </row>
    <row r="34417" spans="9:9" x14ac:dyDescent="0.3">
      <c r="I34417" s="101"/>
    </row>
    <row r="34418" spans="9:9" x14ac:dyDescent="0.3">
      <c r="I34418" s="101"/>
    </row>
    <row r="34419" spans="9:9" x14ac:dyDescent="0.3">
      <c r="I34419" s="101"/>
    </row>
    <row r="34420" spans="9:9" x14ac:dyDescent="0.3">
      <c r="I34420" s="101"/>
    </row>
    <row r="34421" spans="9:9" x14ac:dyDescent="0.3">
      <c r="I34421" s="101"/>
    </row>
    <row r="34422" spans="9:9" x14ac:dyDescent="0.3">
      <c r="I34422" s="101"/>
    </row>
    <row r="34423" spans="9:9" x14ac:dyDescent="0.3">
      <c r="I34423" s="101"/>
    </row>
    <row r="34424" spans="9:9" x14ac:dyDescent="0.3">
      <c r="I34424" s="101"/>
    </row>
    <row r="34425" spans="9:9" x14ac:dyDescent="0.3">
      <c r="I34425" s="101"/>
    </row>
    <row r="34426" spans="9:9" x14ac:dyDescent="0.3">
      <c r="I34426" s="101"/>
    </row>
    <row r="34427" spans="9:9" x14ac:dyDescent="0.3">
      <c r="I34427" s="101"/>
    </row>
    <row r="34428" spans="9:9" x14ac:dyDescent="0.3">
      <c r="I34428" s="101"/>
    </row>
    <row r="34429" spans="9:9" x14ac:dyDescent="0.3">
      <c r="I34429" s="101"/>
    </row>
    <row r="34430" spans="9:9" x14ac:dyDescent="0.3">
      <c r="I34430" s="101"/>
    </row>
    <row r="34431" spans="9:9" x14ac:dyDescent="0.3">
      <c r="I34431" s="101"/>
    </row>
    <row r="34432" spans="9:9" x14ac:dyDescent="0.3">
      <c r="I34432" s="101"/>
    </row>
    <row r="34433" spans="9:9" x14ac:dyDescent="0.3">
      <c r="I34433" s="101"/>
    </row>
    <row r="34434" spans="9:9" x14ac:dyDescent="0.3">
      <c r="I34434" s="101"/>
    </row>
    <row r="34435" spans="9:9" x14ac:dyDescent="0.3">
      <c r="I34435" s="101"/>
    </row>
    <row r="34436" spans="9:9" x14ac:dyDescent="0.3">
      <c r="I34436" s="101"/>
    </row>
    <row r="34437" spans="9:9" x14ac:dyDescent="0.3">
      <c r="I34437" s="101"/>
    </row>
    <row r="34438" spans="9:9" x14ac:dyDescent="0.3">
      <c r="I34438" s="101"/>
    </row>
    <row r="34439" spans="9:9" x14ac:dyDescent="0.3">
      <c r="I34439" s="101"/>
    </row>
    <row r="34440" spans="9:9" x14ac:dyDescent="0.3">
      <c r="I34440" s="101"/>
    </row>
    <row r="34441" spans="9:9" x14ac:dyDescent="0.3">
      <c r="I34441" s="101"/>
    </row>
    <row r="34442" spans="9:9" x14ac:dyDescent="0.3">
      <c r="I34442" s="101"/>
    </row>
    <row r="34443" spans="9:9" x14ac:dyDescent="0.3">
      <c r="I34443" s="101"/>
    </row>
    <row r="34444" spans="9:9" x14ac:dyDescent="0.3">
      <c r="I34444" s="101"/>
    </row>
    <row r="34445" spans="9:9" x14ac:dyDescent="0.3">
      <c r="I34445" s="101"/>
    </row>
    <row r="34446" spans="9:9" x14ac:dyDescent="0.3">
      <c r="I34446" s="101"/>
    </row>
    <row r="34447" spans="9:9" x14ac:dyDescent="0.3">
      <c r="I34447" s="101"/>
    </row>
    <row r="34448" spans="9:9" x14ac:dyDescent="0.3">
      <c r="I34448" s="101"/>
    </row>
    <row r="34449" spans="9:9" x14ac:dyDescent="0.3">
      <c r="I34449" s="101"/>
    </row>
    <row r="34450" spans="9:9" x14ac:dyDescent="0.3">
      <c r="I34450" s="101"/>
    </row>
    <row r="34451" spans="9:9" x14ac:dyDescent="0.3">
      <c r="I34451" s="101"/>
    </row>
    <row r="34452" spans="9:9" x14ac:dyDescent="0.3">
      <c r="I34452" s="101"/>
    </row>
    <row r="34453" spans="9:9" x14ac:dyDescent="0.3">
      <c r="I34453" s="101"/>
    </row>
    <row r="34454" spans="9:9" x14ac:dyDescent="0.3">
      <c r="I34454" s="101"/>
    </row>
    <row r="34455" spans="9:9" x14ac:dyDescent="0.3">
      <c r="I34455" s="101"/>
    </row>
    <row r="34456" spans="9:9" x14ac:dyDescent="0.3">
      <c r="I34456" s="101"/>
    </row>
    <row r="34457" spans="9:9" x14ac:dyDescent="0.3">
      <c r="I34457" s="101"/>
    </row>
    <row r="34458" spans="9:9" x14ac:dyDescent="0.3">
      <c r="I34458" s="101"/>
    </row>
    <row r="34459" spans="9:9" x14ac:dyDescent="0.3">
      <c r="I34459" s="101"/>
    </row>
    <row r="34460" spans="9:9" x14ac:dyDescent="0.3">
      <c r="I34460" s="101"/>
    </row>
    <row r="34461" spans="9:9" x14ac:dyDescent="0.3">
      <c r="I34461" s="101"/>
    </row>
    <row r="34462" spans="9:9" x14ac:dyDescent="0.3">
      <c r="I34462" s="101"/>
    </row>
    <row r="34463" spans="9:9" x14ac:dyDescent="0.3">
      <c r="I34463" s="101"/>
    </row>
    <row r="34464" spans="9:9" x14ac:dyDescent="0.3">
      <c r="I34464" s="101"/>
    </row>
    <row r="34465" spans="9:9" x14ac:dyDescent="0.3">
      <c r="I34465" s="101"/>
    </row>
    <row r="34466" spans="9:9" x14ac:dyDescent="0.3">
      <c r="I34466" s="101"/>
    </row>
    <row r="34467" spans="9:9" x14ac:dyDescent="0.3">
      <c r="I34467" s="101"/>
    </row>
    <row r="34468" spans="9:9" x14ac:dyDescent="0.3">
      <c r="I34468" s="101"/>
    </row>
    <row r="34469" spans="9:9" x14ac:dyDescent="0.3">
      <c r="I34469" s="101"/>
    </row>
    <row r="34470" spans="9:9" x14ac:dyDescent="0.3">
      <c r="I34470" s="101"/>
    </row>
    <row r="34471" spans="9:9" x14ac:dyDescent="0.3">
      <c r="I34471" s="101"/>
    </row>
    <row r="34472" spans="9:9" x14ac:dyDescent="0.3">
      <c r="I34472" s="101"/>
    </row>
    <row r="34473" spans="9:9" x14ac:dyDescent="0.3">
      <c r="I34473" s="101"/>
    </row>
    <row r="34474" spans="9:9" x14ac:dyDescent="0.3">
      <c r="I34474" s="101"/>
    </row>
    <row r="34475" spans="9:9" x14ac:dyDescent="0.3">
      <c r="I34475" s="101"/>
    </row>
    <row r="34476" spans="9:9" x14ac:dyDescent="0.3">
      <c r="I34476" s="101"/>
    </row>
    <row r="34477" spans="9:9" x14ac:dyDescent="0.3">
      <c r="I34477" s="101"/>
    </row>
    <row r="34478" spans="9:9" x14ac:dyDescent="0.3">
      <c r="I34478" s="101"/>
    </row>
    <row r="34479" spans="9:9" x14ac:dyDescent="0.3">
      <c r="I34479" s="101"/>
    </row>
    <row r="34480" spans="9:9" x14ac:dyDescent="0.3">
      <c r="I34480" s="101"/>
    </row>
    <row r="34481" spans="9:9" x14ac:dyDescent="0.3">
      <c r="I34481" s="101"/>
    </row>
    <row r="34482" spans="9:9" x14ac:dyDescent="0.3">
      <c r="I34482" s="101"/>
    </row>
    <row r="34483" spans="9:9" x14ac:dyDescent="0.3">
      <c r="I34483" s="101"/>
    </row>
    <row r="34484" spans="9:9" x14ac:dyDescent="0.3">
      <c r="I34484" s="101"/>
    </row>
    <row r="34485" spans="9:9" x14ac:dyDescent="0.3">
      <c r="I34485" s="101"/>
    </row>
    <row r="34486" spans="9:9" x14ac:dyDescent="0.3">
      <c r="I34486" s="101"/>
    </row>
    <row r="34487" spans="9:9" x14ac:dyDescent="0.3">
      <c r="I34487" s="101"/>
    </row>
    <row r="34488" spans="9:9" x14ac:dyDescent="0.3">
      <c r="I34488" s="101"/>
    </row>
    <row r="34489" spans="9:9" x14ac:dyDescent="0.3">
      <c r="I34489" s="101"/>
    </row>
    <row r="34490" spans="9:9" x14ac:dyDescent="0.3">
      <c r="I34490" s="101"/>
    </row>
    <row r="34491" spans="9:9" x14ac:dyDescent="0.3">
      <c r="I34491" s="101"/>
    </row>
    <row r="34492" spans="9:9" x14ac:dyDescent="0.3">
      <c r="I34492" s="101"/>
    </row>
    <row r="34493" spans="9:9" x14ac:dyDescent="0.3">
      <c r="I34493" s="101"/>
    </row>
    <row r="34494" spans="9:9" x14ac:dyDescent="0.3">
      <c r="I34494" s="101"/>
    </row>
    <row r="34495" spans="9:9" x14ac:dyDescent="0.3">
      <c r="I34495" s="101"/>
    </row>
    <row r="34496" spans="9:9" x14ac:dyDescent="0.3">
      <c r="I34496" s="101"/>
    </row>
    <row r="34497" spans="9:9" x14ac:dyDescent="0.3">
      <c r="I34497" s="101"/>
    </row>
    <row r="34498" spans="9:9" x14ac:dyDescent="0.3">
      <c r="I34498" s="101"/>
    </row>
    <row r="34499" spans="9:9" x14ac:dyDescent="0.3">
      <c r="I34499" s="101"/>
    </row>
    <row r="34500" spans="9:9" x14ac:dyDescent="0.3">
      <c r="I34500" s="101"/>
    </row>
    <row r="34501" spans="9:9" x14ac:dyDescent="0.3">
      <c r="I34501" s="101"/>
    </row>
    <row r="34502" spans="9:9" x14ac:dyDescent="0.3">
      <c r="I34502" s="101"/>
    </row>
    <row r="34503" spans="9:9" x14ac:dyDescent="0.3">
      <c r="I34503" s="101"/>
    </row>
    <row r="34504" spans="9:9" x14ac:dyDescent="0.3">
      <c r="I34504" s="101"/>
    </row>
    <row r="34505" spans="9:9" x14ac:dyDescent="0.3">
      <c r="I34505" s="101"/>
    </row>
    <row r="34506" spans="9:9" x14ac:dyDescent="0.3">
      <c r="I34506" s="101"/>
    </row>
    <row r="34507" spans="9:9" x14ac:dyDescent="0.3">
      <c r="I34507" s="101"/>
    </row>
    <row r="34508" spans="9:9" x14ac:dyDescent="0.3">
      <c r="I34508" s="101"/>
    </row>
    <row r="34509" spans="9:9" x14ac:dyDescent="0.3">
      <c r="I34509" s="101"/>
    </row>
    <row r="34510" spans="9:9" x14ac:dyDescent="0.3">
      <c r="I34510" s="101"/>
    </row>
    <row r="34511" spans="9:9" x14ac:dyDescent="0.3">
      <c r="I34511" s="101"/>
    </row>
    <row r="34512" spans="9:9" x14ac:dyDescent="0.3">
      <c r="I34512" s="101"/>
    </row>
    <row r="34513" spans="9:9" x14ac:dyDescent="0.3">
      <c r="I34513" s="101"/>
    </row>
    <row r="34514" spans="9:9" x14ac:dyDescent="0.3">
      <c r="I34514" s="101"/>
    </row>
    <row r="34515" spans="9:9" x14ac:dyDescent="0.3">
      <c r="I34515" s="101"/>
    </row>
    <row r="34516" spans="9:9" x14ac:dyDescent="0.3">
      <c r="I34516" s="101"/>
    </row>
    <row r="34517" spans="9:9" x14ac:dyDescent="0.3">
      <c r="I34517" s="101"/>
    </row>
    <row r="34518" spans="9:9" x14ac:dyDescent="0.3">
      <c r="I34518" s="101"/>
    </row>
    <row r="34519" spans="9:9" x14ac:dyDescent="0.3">
      <c r="I34519" s="101"/>
    </row>
    <row r="34520" spans="9:9" x14ac:dyDescent="0.3">
      <c r="I34520" s="101"/>
    </row>
    <row r="34521" spans="9:9" x14ac:dyDescent="0.3">
      <c r="I34521" s="101"/>
    </row>
    <row r="34522" spans="9:9" x14ac:dyDescent="0.3">
      <c r="I34522" s="101"/>
    </row>
    <row r="34523" spans="9:9" x14ac:dyDescent="0.3">
      <c r="I34523" s="101"/>
    </row>
    <row r="34524" spans="9:9" x14ac:dyDescent="0.3">
      <c r="I34524" s="101"/>
    </row>
    <row r="34525" spans="9:9" x14ac:dyDescent="0.3">
      <c r="I34525" s="101"/>
    </row>
    <row r="34526" spans="9:9" x14ac:dyDescent="0.3">
      <c r="I34526" s="101"/>
    </row>
    <row r="34527" spans="9:9" x14ac:dyDescent="0.3">
      <c r="I34527" s="101"/>
    </row>
    <row r="34528" spans="9:9" x14ac:dyDescent="0.3">
      <c r="I34528" s="101"/>
    </row>
    <row r="34529" spans="9:9" x14ac:dyDescent="0.3">
      <c r="I34529" s="101"/>
    </row>
    <row r="34530" spans="9:9" x14ac:dyDescent="0.3">
      <c r="I34530" s="101"/>
    </row>
    <row r="34531" spans="9:9" x14ac:dyDescent="0.3">
      <c r="I34531" s="101"/>
    </row>
    <row r="34532" spans="9:9" x14ac:dyDescent="0.3">
      <c r="I34532" s="101"/>
    </row>
    <row r="34533" spans="9:9" x14ac:dyDescent="0.3">
      <c r="I34533" s="101"/>
    </row>
    <row r="34534" spans="9:9" x14ac:dyDescent="0.3">
      <c r="I34534" s="101"/>
    </row>
    <row r="34535" spans="9:9" x14ac:dyDescent="0.3">
      <c r="I34535" s="101"/>
    </row>
    <row r="34536" spans="9:9" x14ac:dyDescent="0.3">
      <c r="I34536" s="101"/>
    </row>
    <row r="34537" spans="9:9" x14ac:dyDescent="0.3">
      <c r="I34537" s="101"/>
    </row>
    <row r="34538" spans="9:9" x14ac:dyDescent="0.3">
      <c r="I34538" s="101"/>
    </row>
    <row r="34539" spans="9:9" x14ac:dyDescent="0.3">
      <c r="I34539" s="101"/>
    </row>
    <row r="34540" spans="9:9" x14ac:dyDescent="0.3">
      <c r="I34540" s="101"/>
    </row>
    <row r="34541" spans="9:9" x14ac:dyDescent="0.3">
      <c r="I34541" s="101"/>
    </row>
    <row r="34542" spans="9:9" x14ac:dyDescent="0.3">
      <c r="I34542" s="101"/>
    </row>
    <row r="34543" spans="9:9" x14ac:dyDescent="0.3">
      <c r="I34543" s="101"/>
    </row>
    <row r="34544" spans="9:9" x14ac:dyDescent="0.3">
      <c r="I34544" s="101"/>
    </row>
    <row r="34545" spans="9:9" x14ac:dyDescent="0.3">
      <c r="I34545" s="101"/>
    </row>
    <row r="34546" spans="9:9" x14ac:dyDescent="0.3">
      <c r="I34546" s="101"/>
    </row>
    <row r="34547" spans="9:9" x14ac:dyDescent="0.3">
      <c r="I34547" s="101"/>
    </row>
    <row r="34548" spans="9:9" x14ac:dyDescent="0.3">
      <c r="I34548" s="101"/>
    </row>
    <row r="34549" spans="9:9" x14ac:dyDescent="0.3">
      <c r="I34549" s="101"/>
    </row>
    <row r="34550" spans="9:9" x14ac:dyDescent="0.3">
      <c r="I34550" s="101"/>
    </row>
    <row r="34551" spans="9:9" x14ac:dyDescent="0.3">
      <c r="I34551" s="101"/>
    </row>
    <row r="34552" spans="9:9" x14ac:dyDescent="0.3">
      <c r="I34552" s="101"/>
    </row>
    <row r="34553" spans="9:9" x14ac:dyDescent="0.3">
      <c r="I34553" s="101"/>
    </row>
    <row r="34554" spans="9:9" x14ac:dyDescent="0.3">
      <c r="I34554" s="101"/>
    </row>
    <row r="34555" spans="9:9" x14ac:dyDescent="0.3">
      <c r="I34555" s="101"/>
    </row>
    <row r="34556" spans="9:9" x14ac:dyDescent="0.3">
      <c r="I34556" s="101"/>
    </row>
    <row r="34557" spans="9:9" x14ac:dyDescent="0.3">
      <c r="I34557" s="101"/>
    </row>
    <row r="34558" spans="9:9" x14ac:dyDescent="0.3">
      <c r="I34558" s="101"/>
    </row>
    <row r="34559" spans="9:9" x14ac:dyDescent="0.3">
      <c r="I34559" s="101"/>
    </row>
    <row r="34560" spans="9:9" x14ac:dyDescent="0.3">
      <c r="I34560" s="101"/>
    </row>
    <row r="34561" spans="9:9" x14ac:dyDescent="0.3">
      <c r="I34561" s="101"/>
    </row>
    <row r="34562" spans="9:9" x14ac:dyDescent="0.3">
      <c r="I34562" s="101"/>
    </row>
    <row r="34563" spans="9:9" x14ac:dyDescent="0.3">
      <c r="I34563" s="101"/>
    </row>
    <row r="34564" spans="9:9" x14ac:dyDescent="0.3">
      <c r="I34564" s="101"/>
    </row>
    <row r="34565" spans="9:9" x14ac:dyDescent="0.3">
      <c r="I34565" s="101"/>
    </row>
    <row r="34566" spans="9:9" x14ac:dyDescent="0.3">
      <c r="I34566" s="101"/>
    </row>
    <row r="34567" spans="9:9" x14ac:dyDescent="0.3">
      <c r="I34567" s="101"/>
    </row>
    <row r="34568" spans="9:9" x14ac:dyDescent="0.3">
      <c r="I34568" s="101"/>
    </row>
    <row r="34569" spans="9:9" x14ac:dyDescent="0.3">
      <c r="I34569" s="101"/>
    </row>
    <row r="34570" spans="9:9" x14ac:dyDescent="0.3">
      <c r="I34570" s="101"/>
    </row>
    <row r="34571" spans="9:9" x14ac:dyDescent="0.3">
      <c r="I34571" s="101"/>
    </row>
    <row r="34572" spans="9:9" x14ac:dyDescent="0.3">
      <c r="I34572" s="101"/>
    </row>
    <row r="34573" spans="9:9" x14ac:dyDescent="0.3">
      <c r="I34573" s="101"/>
    </row>
    <row r="34574" spans="9:9" x14ac:dyDescent="0.3">
      <c r="I34574" s="101"/>
    </row>
    <row r="34575" spans="9:9" x14ac:dyDescent="0.3">
      <c r="I34575" s="101"/>
    </row>
    <row r="34576" spans="9:9" x14ac:dyDescent="0.3">
      <c r="I34576" s="101"/>
    </row>
    <row r="34577" spans="9:9" x14ac:dyDescent="0.3">
      <c r="I34577" s="101"/>
    </row>
    <row r="34578" spans="9:9" x14ac:dyDescent="0.3">
      <c r="I34578" s="101"/>
    </row>
    <row r="34579" spans="9:9" x14ac:dyDescent="0.3">
      <c r="I34579" s="101"/>
    </row>
    <row r="34580" spans="9:9" x14ac:dyDescent="0.3">
      <c r="I34580" s="101"/>
    </row>
    <row r="34581" spans="9:9" x14ac:dyDescent="0.3">
      <c r="I34581" s="101"/>
    </row>
    <row r="34582" spans="9:9" x14ac:dyDescent="0.3">
      <c r="I34582" s="101"/>
    </row>
    <row r="34583" spans="9:9" x14ac:dyDescent="0.3">
      <c r="I34583" s="101"/>
    </row>
    <row r="34584" spans="9:9" x14ac:dyDescent="0.3">
      <c r="I34584" s="101"/>
    </row>
    <row r="34585" spans="9:9" x14ac:dyDescent="0.3">
      <c r="I34585" s="101"/>
    </row>
    <row r="34586" spans="9:9" x14ac:dyDescent="0.3">
      <c r="I34586" s="101"/>
    </row>
    <row r="34587" spans="9:9" x14ac:dyDescent="0.3">
      <c r="I34587" s="101"/>
    </row>
    <row r="34588" spans="9:9" x14ac:dyDescent="0.3">
      <c r="I34588" s="101"/>
    </row>
    <row r="34589" spans="9:9" x14ac:dyDescent="0.3">
      <c r="I34589" s="101"/>
    </row>
    <row r="34590" spans="9:9" x14ac:dyDescent="0.3">
      <c r="I34590" s="101"/>
    </row>
    <row r="34591" spans="9:9" x14ac:dyDescent="0.3">
      <c r="I34591" s="101"/>
    </row>
    <row r="34592" spans="9:9" x14ac:dyDescent="0.3">
      <c r="I34592" s="101"/>
    </row>
    <row r="34593" spans="9:9" x14ac:dyDescent="0.3">
      <c r="I34593" s="101"/>
    </row>
    <row r="34594" spans="9:9" x14ac:dyDescent="0.3">
      <c r="I34594" s="101"/>
    </row>
    <row r="34595" spans="9:9" x14ac:dyDescent="0.3">
      <c r="I34595" s="101"/>
    </row>
    <row r="34596" spans="9:9" x14ac:dyDescent="0.3">
      <c r="I34596" s="101"/>
    </row>
    <row r="34597" spans="9:9" x14ac:dyDescent="0.3">
      <c r="I34597" s="101"/>
    </row>
    <row r="34598" spans="9:9" x14ac:dyDescent="0.3">
      <c r="I34598" s="101"/>
    </row>
    <row r="34599" spans="9:9" x14ac:dyDescent="0.3">
      <c r="I34599" s="101"/>
    </row>
    <row r="34600" spans="9:9" x14ac:dyDescent="0.3">
      <c r="I34600" s="101"/>
    </row>
    <row r="34601" spans="9:9" x14ac:dyDescent="0.3">
      <c r="I34601" s="101"/>
    </row>
    <row r="34602" spans="9:9" x14ac:dyDescent="0.3">
      <c r="I34602" s="101"/>
    </row>
    <row r="34603" spans="9:9" x14ac:dyDescent="0.3">
      <c r="I34603" s="101"/>
    </row>
    <row r="34604" spans="9:9" x14ac:dyDescent="0.3">
      <c r="I34604" s="101"/>
    </row>
    <row r="34605" spans="9:9" x14ac:dyDescent="0.3">
      <c r="I34605" s="101"/>
    </row>
    <row r="34606" spans="9:9" x14ac:dyDescent="0.3">
      <c r="I34606" s="101"/>
    </row>
    <row r="34607" spans="9:9" x14ac:dyDescent="0.3">
      <c r="I34607" s="101"/>
    </row>
    <row r="34608" spans="9:9" x14ac:dyDescent="0.3">
      <c r="I34608" s="101"/>
    </row>
    <row r="34609" spans="9:9" x14ac:dyDescent="0.3">
      <c r="I34609" s="101"/>
    </row>
    <row r="34610" spans="9:9" x14ac:dyDescent="0.3">
      <c r="I34610" s="101"/>
    </row>
    <row r="34611" spans="9:9" x14ac:dyDescent="0.3">
      <c r="I34611" s="101"/>
    </row>
    <row r="34612" spans="9:9" x14ac:dyDescent="0.3">
      <c r="I34612" s="101"/>
    </row>
    <row r="34613" spans="9:9" x14ac:dyDescent="0.3">
      <c r="I34613" s="101"/>
    </row>
    <row r="34614" spans="9:9" x14ac:dyDescent="0.3">
      <c r="I34614" s="101"/>
    </row>
    <row r="34615" spans="9:9" x14ac:dyDescent="0.3">
      <c r="I34615" s="101"/>
    </row>
    <row r="34616" spans="9:9" x14ac:dyDescent="0.3">
      <c r="I34616" s="101"/>
    </row>
    <row r="34617" spans="9:9" x14ac:dyDescent="0.3">
      <c r="I34617" s="101"/>
    </row>
    <row r="34618" spans="9:9" x14ac:dyDescent="0.3">
      <c r="I34618" s="101"/>
    </row>
    <row r="34619" spans="9:9" x14ac:dyDescent="0.3">
      <c r="I34619" s="101"/>
    </row>
    <row r="34620" spans="9:9" x14ac:dyDescent="0.3">
      <c r="I34620" s="101"/>
    </row>
    <row r="34621" spans="9:9" x14ac:dyDescent="0.3">
      <c r="I34621" s="101"/>
    </row>
    <row r="34622" spans="9:9" x14ac:dyDescent="0.3">
      <c r="I34622" s="101"/>
    </row>
    <row r="34623" spans="9:9" x14ac:dyDescent="0.3">
      <c r="I34623" s="101"/>
    </row>
    <row r="34624" spans="9:9" x14ac:dyDescent="0.3">
      <c r="I34624" s="101"/>
    </row>
    <row r="34625" spans="9:9" x14ac:dyDescent="0.3">
      <c r="I34625" s="101"/>
    </row>
    <row r="34626" spans="9:9" x14ac:dyDescent="0.3">
      <c r="I34626" s="101"/>
    </row>
    <row r="34627" spans="9:9" x14ac:dyDescent="0.3">
      <c r="I34627" s="101"/>
    </row>
    <row r="34628" spans="9:9" x14ac:dyDescent="0.3">
      <c r="I34628" s="101"/>
    </row>
    <row r="34629" spans="9:9" x14ac:dyDescent="0.3">
      <c r="I34629" s="101"/>
    </row>
    <row r="34630" spans="9:9" x14ac:dyDescent="0.3">
      <c r="I34630" s="101"/>
    </row>
    <row r="34631" spans="9:9" x14ac:dyDescent="0.3">
      <c r="I34631" s="101"/>
    </row>
    <row r="34632" spans="9:9" x14ac:dyDescent="0.3">
      <c r="I34632" s="101"/>
    </row>
    <row r="34633" spans="9:9" x14ac:dyDescent="0.3">
      <c r="I34633" s="101"/>
    </row>
    <row r="34634" spans="9:9" x14ac:dyDescent="0.3">
      <c r="I34634" s="101"/>
    </row>
    <row r="34635" spans="9:9" x14ac:dyDescent="0.3">
      <c r="I34635" s="101"/>
    </row>
    <row r="34636" spans="9:9" x14ac:dyDescent="0.3">
      <c r="I34636" s="101"/>
    </row>
    <row r="34637" spans="9:9" x14ac:dyDescent="0.3">
      <c r="I34637" s="101"/>
    </row>
    <row r="34638" spans="9:9" x14ac:dyDescent="0.3">
      <c r="I34638" s="101"/>
    </row>
    <row r="34639" spans="9:9" x14ac:dyDescent="0.3">
      <c r="I34639" s="101"/>
    </row>
    <row r="34640" spans="9:9" x14ac:dyDescent="0.3">
      <c r="I34640" s="101"/>
    </row>
    <row r="34641" spans="9:9" x14ac:dyDescent="0.3">
      <c r="I34641" s="101"/>
    </row>
    <row r="34642" spans="9:9" x14ac:dyDescent="0.3">
      <c r="I34642" s="101"/>
    </row>
    <row r="34643" spans="9:9" x14ac:dyDescent="0.3">
      <c r="I34643" s="101"/>
    </row>
    <row r="34644" spans="9:9" x14ac:dyDescent="0.3">
      <c r="I34644" s="101"/>
    </row>
    <row r="34645" spans="9:9" x14ac:dyDescent="0.3">
      <c r="I34645" s="101"/>
    </row>
    <row r="34646" spans="9:9" x14ac:dyDescent="0.3">
      <c r="I34646" s="101"/>
    </row>
    <row r="34647" spans="9:9" x14ac:dyDescent="0.3">
      <c r="I34647" s="101"/>
    </row>
    <row r="34648" spans="9:9" x14ac:dyDescent="0.3">
      <c r="I34648" s="101"/>
    </row>
    <row r="34649" spans="9:9" x14ac:dyDescent="0.3">
      <c r="I34649" s="101"/>
    </row>
    <row r="34650" spans="9:9" x14ac:dyDescent="0.3">
      <c r="I34650" s="101"/>
    </row>
    <row r="34651" spans="9:9" x14ac:dyDescent="0.3">
      <c r="I34651" s="101"/>
    </row>
    <row r="34652" spans="9:9" x14ac:dyDescent="0.3">
      <c r="I34652" s="101"/>
    </row>
    <row r="34653" spans="9:9" x14ac:dyDescent="0.3">
      <c r="I34653" s="101"/>
    </row>
    <row r="34654" spans="9:9" x14ac:dyDescent="0.3">
      <c r="I34654" s="101"/>
    </row>
    <row r="34655" spans="9:9" x14ac:dyDescent="0.3">
      <c r="I34655" s="101"/>
    </row>
    <row r="34656" spans="9:9" x14ac:dyDescent="0.3">
      <c r="I34656" s="101"/>
    </row>
    <row r="34657" spans="9:9" x14ac:dyDescent="0.3">
      <c r="I34657" s="101"/>
    </row>
    <row r="34658" spans="9:9" x14ac:dyDescent="0.3">
      <c r="I34658" s="101"/>
    </row>
    <row r="34659" spans="9:9" x14ac:dyDescent="0.3">
      <c r="I34659" s="101"/>
    </row>
    <row r="34660" spans="9:9" x14ac:dyDescent="0.3">
      <c r="I34660" s="101"/>
    </row>
    <row r="34661" spans="9:9" x14ac:dyDescent="0.3">
      <c r="I34661" s="101"/>
    </row>
    <row r="34662" spans="9:9" x14ac:dyDescent="0.3">
      <c r="I34662" s="101"/>
    </row>
    <row r="34663" spans="9:9" x14ac:dyDescent="0.3">
      <c r="I34663" s="101"/>
    </row>
    <row r="34664" spans="9:9" x14ac:dyDescent="0.3">
      <c r="I34664" s="101"/>
    </row>
    <row r="34665" spans="9:9" x14ac:dyDescent="0.3">
      <c r="I34665" s="101"/>
    </row>
    <row r="34666" spans="9:9" x14ac:dyDescent="0.3">
      <c r="I34666" s="101"/>
    </row>
    <row r="34667" spans="9:9" x14ac:dyDescent="0.3">
      <c r="I34667" s="101"/>
    </row>
    <row r="34668" spans="9:9" x14ac:dyDescent="0.3">
      <c r="I34668" s="101"/>
    </row>
    <row r="34669" spans="9:9" x14ac:dyDescent="0.3">
      <c r="I34669" s="101"/>
    </row>
    <row r="34670" spans="9:9" x14ac:dyDescent="0.3">
      <c r="I34670" s="101"/>
    </row>
    <row r="34671" spans="9:9" x14ac:dyDescent="0.3">
      <c r="I34671" s="101"/>
    </row>
    <row r="34672" spans="9:9" x14ac:dyDescent="0.3">
      <c r="I34672" s="101"/>
    </row>
    <row r="34673" spans="9:9" x14ac:dyDescent="0.3">
      <c r="I34673" s="101"/>
    </row>
    <row r="34674" spans="9:9" x14ac:dyDescent="0.3">
      <c r="I34674" s="101"/>
    </row>
    <row r="34675" spans="9:9" x14ac:dyDescent="0.3">
      <c r="I34675" s="101"/>
    </row>
    <row r="34676" spans="9:9" x14ac:dyDescent="0.3">
      <c r="I34676" s="101"/>
    </row>
    <row r="34677" spans="9:9" x14ac:dyDescent="0.3">
      <c r="I34677" s="101"/>
    </row>
    <row r="34678" spans="9:9" x14ac:dyDescent="0.3">
      <c r="I34678" s="101"/>
    </row>
    <row r="34679" spans="9:9" x14ac:dyDescent="0.3">
      <c r="I34679" s="101"/>
    </row>
    <row r="34680" spans="9:9" x14ac:dyDescent="0.3">
      <c r="I34680" s="101"/>
    </row>
    <row r="34681" spans="9:9" x14ac:dyDescent="0.3">
      <c r="I34681" s="101"/>
    </row>
    <row r="34682" spans="9:9" x14ac:dyDescent="0.3">
      <c r="I34682" s="101"/>
    </row>
    <row r="34683" spans="9:9" x14ac:dyDescent="0.3">
      <c r="I34683" s="101"/>
    </row>
    <row r="34684" spans="9:9" x14ac:dyDescent="0.3">
      <c r="I34684" s="101"/>
    </row>
    <row r="34685" spans="9:9" x14ac:dyDescent="0.3">
      <c r="I34685" s="101"/>
    </row>
    <row r="34686" spans="9:9" x14ac:dyDescent="0.3">
      <c r="I34686" s="101"/>
    </row>
    <row r="34687" spans="9:9" x14ac:dyDescent="0.3">
      <c r="I34687" s="101"/>
    </row>
    <row r="34688" spans="9:9" x14ac:dyDescent="0.3">
      <c r="I34688" s="101"/>
    </row>
    <row r="34689" spans="9:9" x14ac:dyDescent="0.3">
      <c r="I34689" s="101"/>
    </row>
    <row r="34690" spans="9:9" x14ac:dyDescent="0.3">
      <c r="I34690" s="101"/>
    </row>
    <row r="34691" spans="9:9" x14ac:dyDescent="0.3">
      <c r="I34691" s="101"/>
    </row>
    <row r="34692" spans="9:9" x14ac:dyDescent="0.3">
      <c r="I34692" s="101"/>
    </row>
    <row r="34693" spans="9:9" x14ac:dyDescent="0.3">
      <c r="I34693" s="101"/>
    </row>
    <row r="34694" spans="9:9" x14ac:dyDescent="0.3">
      <c r="I34694" s="101"/>
    </row>
    <row r="34695" spans="9:9" x14ac:dyDescent="0.3">
      <c r="I34695" s="101"/>
    </row>
    <row r="34696" spans="9:9" x14ac:dyDescent="0.3">
      <c r="I34696" s="101"/>
    </row>
    <row r="34697" spans="9:9" x14ac:dyDescent="0.3">
      <c r="I34697" s="101"/>
    </row>
    <row r="34698" spans="9:9" x14ac:dyDescent="0.3">
      <c r="I34698" s="101"/>
    </row>
    <row r="34699" spans="9:9" x14ac:dyDescent="0.3">
      <c r="I34699" s="101"/>
    </row>
    <row r="34700" spans="9:9" x14ac:dyDescent="0.3">
      <c r="I34700" s="101"/>
    </row>
    <row r="34701" spans="9:9" x14ac:dyDescent="0.3">
      <c r="I34701" s="101"/>
    </row>
    <row r="34702" spans="9:9" x14ac:dyDescent="0.3">
      <c r="I34702" s="101"/>
    </row>
    <row r="34703" spans="9:9" x14ac:dyDescent="0.3">
      <c r="I34703" s="101"/>
    </row>
    <row r="34704" spans="9:9" x14ac:dyDescent="0.3">
      <c r="I34704" s="101"/>
    </row>
    <row r="34705" spans="9:9" x14ac:dyDescent="0.3">
      <c r="I34705" s="101"/>
    </row>
    <row r="34706" spans="9:9" x14ac:dyDescent="0.3">
      <c r="I34706" s="101"/>
    </row>
    <row r="34707" spans="9:9" x14ac:dyDescent="0.3">
      <c r="I34707" s="101"/>
    </row>
    <row r="34708" spans="9:9" x14ac:dyDescent="0.3">
      <c r="I34708" s="101"/>
    </row>
    <row r="34709" spans="9:9" x14ac:dyDescent="0.3">
      <c r="I34709" s="101"/>
    </row>
    <row r="34710" spans="9:9" x14ac:dyDescent="0.3">
      <c r="I34710" s="101"/>
    </row>
    <row r="34711" spans="9:9" x14ac:dyDescent="0.3">
      <c r="I34711" s="101"/>
    </row>
    <row r="34712" spans="9:9" x14ac:dyDescent="0.3">
      <c r="I34712" s="101"/>
    </row>
    <row r="34713" spans="9:9" x14ac:dyDescent="0.3">
      <c r="I34713" s="101"/>
    </row>
    <row r="34714" spans="9:9" x14ac:dyDescent="0.3">
      <c r="I34714" s="101"/>
    </row>
    <row r="34715" spans="9:9" x14ac:dyDescent="0.3">
      <c r="I34715" s="101"/>
    </row>
    <row r="34716" spans="9:9" x14ac:dyDescent="0.3">
      <c r="I34716" s="101"/>
    </row>
    <row r="34717" spans="9:9" x14ac:dyDescent="0.3">
      <c r="I34717" s="101"/>
    </row>
    <row r="34718" spans="9:9" x14ac:dyDescent="0.3">
      <c r="I34718" s="101"/>
    </row>
    <row r="34719" spans="9:9" x14ac:dyDescent="0.3">
      <c r="I34719" s="101"/>
    </row>
    <row r="34720" spans="9:9" x14ac:dyDescent="0.3">
      <c r="I34720" s="101"/>
    </row>
    <row r="34721" spans="9:9" x14ac:dyDescent="0.3">
      <c r="I34721" s="101"/>
    </row>
    <row r="34722" spans="9:9" x14ac:dyDescent="0.3">
      <c r="I34722" s="101"/>
    </row>
    <row r="34723" spans="9:9" x14ac:dyDescent="0.3">
      <c r="I34723" s="101"/>
    </row>
    <row r="34724" spans="9:9" x14ac:dyDescent="0.3">
      <c r="I34724" s="101"/>
    </row>
    <row r="34725" spans="9:9" x14ac:dyDescent="0.3">
      <c r="I34725" s="101"/>
    </row>
    <row r="34726" spans="9:9" x14ac:dyDescent="0.3">
      <c r="I34726" s="101"/>
    </row>
    <row r="34727" spans="9:9" x14ac:dyDescent="0.3">
      <c r="I34727" s="101"/>
    </row>
    <row r="34728" spans="9:9" x14ac:dyDescent="0.3">
      <c r="I34728" s="101"/>
    </row>
    <row r="34729" spans="9:9" x14ac:dyDescent="0.3">
      <c r="I34729" s="101"/>
    </row>
    <row r="34730" spans="9:9" x14ac:dyDescent="0.3">
      <c r="I34730" s="101"/>
    </row>
    <row r="34731" spans="9:9" x14ac:dyDescent="0.3">
      <c r="I34731" s="101"/>
    </row>
    <row r="34732" spans="9:9" x14ac:dyDescent="0.3">
      <c r="I34732" s="101"/>
    </row>
    <row r="34733" spans="9:9" x14ac:dyDescent="0.3">
      <c r="I34733" s="101"/>
    </row>
    <row r="34734" spans="9:9" x14ac:dyDescent="0.3">
      <c r="I34734" s="101"/>
    </row>
    <row r="34735" spans="9:9" x14ac:dyDescent="0.3">
      <c r="I34735" s="101"/>
    </row>
    <row r="34736" spans="9:9" x14ac:dyDescent="0.3">
      <c r="I34736" s="101"/>
    </row>
    <row r="34737" spans="9:9" x14ac:dyDescent="0.3">
      <c r="I34737" s="101"/>
    </row>
    <row r="34738" spans="9:9" x14ac:dyDescent="0.3">
      <c r="I34738" s="101"/>
    </row>
    <row r="34739" spans="9:9" x14ac:dyDescent="0.3">
      <c r="I34739" s="101"/>
    </row>
    <row r="34740" spans="9:9" x14ac:dyDescent="0.3">
      <c r="I34740" s="101"/>
    </row>
    <row r="34741" spans="9:9" x14ac:dyDescent="0.3">
      <c r="I34741" s="101"/>
    </row>
    <row r="34742" spans="9:9" x14ac:dyDescent="0.3">
      <c r="I34742" s="101"/>
    </row>
    <row r="34743" spans="9:9" x14ac:dyDescent="0.3">
      <c r="I34743" s="101"/>
    </row>
    <row r="34744" spans="9:9" x14ac:dyDescent="0.3">
      <c r="I34744" s="101"/>
    </row>
    <row r="34745" spans="9:9" x14ac:dyDescent="0.3">
      <c r="I34745" s="101"/>
    </row>
    <row r="34746" spans="9:9" x14ac:dyDescent="0.3">
      <c r="I34746" s="101"/>
    </row>
    <row r="34747" spans="9:9" x14ac:dyDescent="0.3">
      <c r="I34747" s="101"/>
    </row>
    <row r="34748" spans="9:9" x14ac:dyDescent="0.3">
      <c r="I34748" s="101"/>
    </row>
    <row r="34749" spans="9:9" x14ac:dyDescent="0.3">
      <c r="I34749" s="101"/>
    </row>
    <row r="34750" spans="9:9" x14ac:dyDescent="0.3">
      <c r="I34750" s="101"/>
    </row>
    <row r="34751" spans="9:9" x14ac:dyDescent="0.3">
      <c r="I34751" s="101"/>
    </row>
    <row r="34752" spans="9:9" x14ac:dyDescent="0.3">
      <c r="I34752" s="101"/>
    </row>
    <row r="34753" spans="9:9" x14ac:dyDescent="0.3">
      <c r="I34753" s="101"/>
    </row>
    <row r="34754" spans="9:9" x14ac:dyDescent="0.3">
      <c r="I34754" s="101"/>
    </row>
    <row r="34755" spans="9:9" x14ac:dyDescent="0.3">
      <c r="I34755" s="101"/>
    </row>
    <row r="34756" spans="9:9" x14ac:dyDescent="0.3">
      <c r="I34756" s="101"/>
    </row>
    <row r="34757" spans="9:9" x14ac:dyDescent="0.3">
      <c r="I34757" s="101"/>
    </row>
    <row r="34758" spans="9:9" x14ac:dyDescent="0.3">
      <c r="I34758" s="101"/>
    </row>
    <row r="34759" spans="9:9" x14ac:dyDescent="0.3">
      <c r="I34759" s="101"/>
    </row>
    <row r="34760" spans="9:9" x14ac:dyDescent="0.3">
      <c r="I34760" s="101"/>
    </row>
    <row r="34761" spans="9:9" x14ac:dyDescent="0.3">
      <c r="I34761" s="101"/>
    </row>
    <row r="34762" spans="9:9" x14ac:dyDescent="0.3">
      <c r="I34762" s="101"/>
    </row>
    <row r="34763" spans="9:9" x14ac:dyDescent="0.3">
      <c r="I34763" s="101"/>
    </row>
    <row r="34764" spans="9:9" x14ac:dyDescent="0.3">
      <c r="I34764" s="101"/>
    </row>
    <row r="34765" spans="9:9" x14ac:dyDescent="0.3">
      <c r="I34765" s="101"/>
    </row>
    <row r="34766" spans="9:9" x14ac:dyDescent="0.3">
      <c r="I34766" s="101"/>
    </row>
    <row r="34767" spans="9:9" x14ac:dyDescent="0.3">
      <c r="I34767" s="101"/>
    </row>
    <row r="34768" spans="9:9" x14ac:dyDescent="0.3">
      <c r="I34768" s="101"/>
    </row>
    <row r="34769" spans="9:9" x14ac:dyDescent="0.3">
      <c r="I34769" s="101"/>
    </row>
    <row r="34770" spans="9:9" x14ac:dyDescent="0.3">
      <c r="I34770" s="101"/>
    </row>
    <row r="34771" spans="9:9" x14ac:dyDescent="0.3">
      <c r="I34771" s="101"/>
    </row>
    <row r="34772" spans="9:9" x14ac:dyDescent="0.3">
      <c r="I34772" s="101"/>
    </row>
    <row r="34773" spans="9:9" x14ac:dyDescent="0.3">
      <c r="I34773" s="101"/>
    </row>
    <row r="34774" spans="9:9" x14ac:dyDescent="0.3">
      <c r="I34774" s="101"/>
    </row>
    <row r="34775" spans="9:9" x14ac:dyDescent="0.3">
      <c r="I34775" s="101"/>
    </row>
    <row r="34776" spans="9:9" x14ac:dyDescent="0.3">
      <c r="I34776" s="101"/>
    </row>
    <row r="34777" spans="9:9" x14ac:dyDescent="0.3">
      <c r="I34777" s="101"/>
    </row>
    <row r="34778" spans="9:9" x14ac:dyDescent="0.3">
      <c r="I34778" s="101"/>
    </row>
    <row r="34779" spans="9:9" x14ac:dyDescent="0.3">
      <c r="I34779" s="101"/>
    </row>
    <row r="34780" spans="9:9" x14ac:dyDescent="0.3">
      <c r="I34780" s="101"/>
    </row>
    <row r="34781" spans="9:9" x14ac:dyDescent="0.3">
      <c r="I34781" s="101"/>
    </row>
    <row r="34782" spans="9:9" x14ac:dyDescent="0.3">
      <c r="I34782" s="101"/>
    </row>
    <row r="34783" spans="9:9" x14ac:dyDescent="0.3">
      <c r="I34783" s="101"/>
    </row>
    <row r="34784" spans="9:9" x14ac:dyDescent="0.3">
      <c r="I34784" s="101"/>
    </row>
    <row r="34785" spans="9:9" x14ac:dyDescent="0.3">
      <c r="I34785" s="101"/>
    </row>
    <row r="34786" spans="9:9" x14ac:dyDescent="0.3">
      <c r="I34786" s="101"/>
    </row>
    <row r="34787" spans="9:9" x14ac:dyDescent="0.3">
      <c r="I34787" s="101"/>
    </row>
    <row r="34788" spans="9:9" x14ac:dyDescent="0.3">
      <c r="I34788" s="101"/>
    </row>
    <row r="34789" spans="9:9" x14ac:dyDescent="0.3">
      <c r="I34789" s="101"/>
    </row>
    <row r="34790" spans="9:9" x14ac:dyDescent="0.3">
      <c r="I34790" s="101"/>
    </row>
    <row r="34791" spans="9:9" x14ac:dyDescent="0.3">
      <c r="I34791" s="101"/>
    </row>
    <row r="34792" spans="9:9" x14ac:dyDescent="0.3">
      <c r="I34792" s="101"/>
    </row>
    <row r="34793" spans="9:9" x14ac:dyDescent="0.3">
      <c r="I34793" s="101"/>
    </row>
    <row r="34794" spans="9:9" x14ac:dyDescent="0.3">
      <c r="I34794" s="101"/>
    </row>
    <row r="34795" spans="9:9" x14ac:dyDescent="0.3">
      <c r="I34795" s="101"/>
    </row>
    <row r="34796" spans="9:9" x14ac:dyDescent="0.3">
      <c r="I34796" s="101"/>
    </row>
    <row r="34797" spans="9:9" x14ac:dyDescent="0.3">
      <c r="I34797" s="101"/>
    </row>
    <row r="34798" spans="9:9" x14ac:dyDescent="0.3">
      <c r="I34798" s="101"/>
    </row>
    <row r="34799" spans="9:9" x14ac:dyDescent="0.3">
      <c r="I34799" s="101"/>
    </row>
    <row r="34800" spans="9:9" x14ac:dyDescent="0.3">
      <c r="I34800" s="101"/>
    </row>
    <row r="34801" spans="9:9" x14ac:dyDescent="0.3">
      <c r="I34801" s="101"/>
    </row>
    <row r="34802" spans="9:9" x14ac:dyDescent="0.3">
      <c r="I34802" s="101"/>
    </row>
    <row r="34803" spans="9:9" x14ac:dyDescent="0.3">
      <c r="I34803" s="101"/>
    </row>
    <row r="34804" spans="9:9" x14ac:dyDescent="0.3">
      <c r="I34804" s="101"/>
    </row>
    <row r="34805" spans="9:9" x14ac:dyDescent="0.3">
      <c r="I34805" s="101"/>
    </row>
    <row r="34806" spans="9:9" x14ac:dyDescent="0.3">
      <c r="I34806" s="101"/>
    </row>
    <row r="34807" spans="9:9" x14ac:dyDescent="0.3">
      <c r="I34807" s="101"/>
    </row>
    <row r="34808" spans="9:9" x14ac:dyDescent="0.3">
      <c r="I34808" s="101"/>
    </row>
    <row r="34809" spans="9:9" x14ac:dyDescent="0.3">
      <c r="I34809" s="101"/>
    </row>
    <row r="34810" spans="9:9" x14ac:dyDescent="0.3">
      <c r="I34810" s="101"/>
    </row>
    <row r="34811" spans="9:9" x14ac:dyDescent="0.3">
      <c r="I34811" s="101"/>
    </row>
    <row r="34812" spans="9:9" x14ac:dyDescent="0.3">
      <c r="I34812" s="101"/>
    </row>
    <row r="34813" spans="9:9" x14ac:dyDescent="0.3">
      <c r="I34813" s="101"/>
    </row>
    <row r="34814" spans="9:9" x14ac:dyDescent="0.3">
      <c r="I34814" s="101"/>
    </row>
    <row r="34815" spans="9:9" x14ac:dyDescent="0.3">
      <c r="I34815" s="101"/>
    </row>
    <row r="34816" spans="9:9" x14ac:dyDescent="0.3">
      <c r="I34816" s="101"/>
    </row>
    <row r="34817" spans="9:9" x14ac:dyDescent="0.3">
      <c r="I34817" s="101"/>
    </row>
    <row r="34818" spans="9:9" x14ac:dyDescent="0.3">
      <c r="I34818" s="101"/>
    </row>
    <row r="34819" spans="9:9" x14ac:dyDescent="0.3">
      <c r="I34819" s="101"/>
    </row>
    <row r="34820" spans="9:9" x14ac:dyDescent="0.3">
      <c r="I34820" s="101"/>
    </row>
    <row r="34821" spans="9:9" x14ac:dyDescent="0.3">
      <c r="I34821" s="101"/>
    </row>
    <row r="34822" spans="9:9" x14ac:dyDescent="0.3">
      <c r="I34822" s="101"/>
    </row>
    <row r="34823" spans="9:9" x14ac:dyDescent="0.3">
      <c r="I34823" s="101"/>
    </row>
    <row r="34824" spans="9:9" x14ac:dyDescent="0.3">
      <c r="I34824" s="101"/>
    </row>
    <row r="34825" spans="9:9" x14ac:dyDescent="0.3">
      <c r="I34825" s="101"/>
    </row>
    <row r="34826" spans="9:9" x14ac:dyDescent="0.3">
      <c r="I34826" s="101"/>
    </row>
    <row r="34827" spans="9:9" x14ac:dyDescent="0.3">
      <c r="I34827" s="101"/>
    </row>
    <row r="34828" spans="9:9" x14ac:dyDescent="0.3">
      <c r="I34828" s="101"/>
    </row>
    <row r="34829" spans="9:9" x14ac:dyDescent="0.3">
      <c r="I34829" s="101"/>
    </row>
    <row r="34830" spans="9:9" x14ac:dyDescent="0.3">
      <c r="I34830" s="101"/>
    </row>
    <row r="34831" spans="9:9" x14ac:dyDescent="0.3">
      <c r="I34831" s="101"/>
    </row>
    <row r="34832" spans="9:9" x14ac:dyDescent="0.3">
      <c r="I34832" s="101"/>
    </row>
    <row r="34833" spans="9:9" x14ac:dyDescent="0.3">
      <c r="I34833" s="101"/>
    </row>
    <row r="34834" spans="9:9" x14ac:dyDescent="0.3">
      <c r="I34834" s="101"/>
    </row>
    <row r="34835" spans="9:9" x14ac:dyDescent="0.3">
      <c r="I34835" s="101"/>
    </row>
    <row r="34836" spans="9:9" x14ac:dyDescent="0.3">
      <c r="I34836" s="101"/>
    </row>
    <row r="34837" spans="9:9" x14ac:dyDescent="0.3">
      <c r="I34837" s="101"/>
    </row>
    <row r="34838" spans="9:9" x14ac:dyDescent="0.3">
      <c r="I34838" s="101"/>
    </row>
    <row r="34839" spans="9:9" x14ac:dyDescent="0.3">
      <c r="I34839" s="101"/>
    </row>
    <row r="34840" spans="9:9" x14ac:dyDescent="0.3">
      <c r="I34840" s="101"/>
    </row>
    <row r="34841" spans="9:9" x14ac:dyDescent="0.3">
      <c r="I34841" s="101"/>
    </row>
    <row r="34842" spans="9:9" x14ac:dyDescent="0.3">
      <c r="I34842" s="101"/>
    </row>
    <row r="34843" spans="9:9" x14ac:dyDescent="0.3">
      <c r="I34843" s="101"/>
    </row>
    <row r="34844" spans="9:9" x14ac:dyDescent="0.3">
      <c r="I34844" s="101"/>
    </row>
    <row r="34845" spans="9:9" x14ac:dyDescent="0.3">
      <c r="I34845" s="101"/>
    </row>
    <row r="34846" spans="9:9" x14ac:dyDescent="0.3">
      <c r="I34846" s="101"/>
    </row>
    <row r="34847" spans="9:9" x14ac:dyDescent="0.3">
      <c r="I34847" s="101"/>
    </row>
    <row r="34848" spans="9:9" x14ac:dyDescent="0.3">
      <c r="I34848" s="101"/>
    </row>
    <row r="34849" spans="9:9" x14ac:dyDescent="0.3">
      <c r="I34849" s="101"/>
    </row>
    <row r="34850" spans="9:9" x14ac:dyDescent="0.3">
      <c r="I34850" s="101"/>
    </row>
    <row r="34851" spans="9:9" x14ac:dyDescent="0.3">
      <c r="I34851" s="101"/>
    </row>
    <row r="34852" spans="9:9" x14ac:dyDescent="0.3">
      <c r="I34852" s="101"/>
    </row>
    <row r="34853" spans="9:9" x14ac:dyDescent="0.3">
      <c r="I34853" s="101"/>
    </row>
    <row r="34854" spans="9:9" x14ac:dyDescent="0.3">
      <c r="I34854" s="101"/>
    </row>
    <row r="34855" spans="9:9" x14ac:dyDescent="0.3">
      <c r="I34855" s="101"/>
    </row>
    <row r="34856" spans="9:9" x14ac:dyDescent="0.3">
      <c r="I34856" s="101"/>
    </row>
    <row r="34857" spans="9:9" x14ac:dyDescent="0.3">
      <c r="I34857" s="101"/>
    </row>
    <row r="34858" spans="9:9" x14ac:dyDescent="0.3">
      <c r="I34858" s="101"/>
    </row>
    <row r="34859" spans="9:9" x14ac:dyDescent="0.3">
      <c r="I34859" s="101"/>
    </row>
    <row r="34860" spans="9:9" x14ac:dyDescent="0.3">
      <c r="I34860" s="101"/>
    </row>
    <row r="34861" spans="9:9" x14ac:dyDescent="0.3">
      <c r="I34861" s="101"/>
    </row>
    <row r="34862" spans="9:9" x14ac:dyDescent="0.3">
      <c r="I34862" s="101"/>
    </row>
    <row r="34863" spans="9:9" x14ac:dyDescent="0.3">
      <c r="I34863" s="101"/>
    </row>
    <row r="34864" spans="9:9" x14ac:dyDescent="0.3">
      <c r="I34864" s="101"/>
    </row>
    <row r="34865" spans="9:9" x14ac:dyDescent="0.3">
      <c r="I34865" s="101"/>
    </row>
    <row r="34866" spans="9:9" x14ac:dyDescent="0.3">
      <c r="I34866" s="101"/>
    </row>
    <row r="34867" spans="9:9" x14ac:dyDescent="0.3">
      <c r="I34867" s="101"/>
    </row>
    <row r="34868" spans="9:9" x14ac:dyDescent="0.3">
      <c r="I34868" s="101"/>
    </row>
    <row r="34869" spans="9:9" x14ac:dyDescent="0.3">
      <c r="I34869" s="101"/>
    </row>
    <row r="34870" spans="9:9" x14ac:dyDescent="0.3">
      <c r="I34870" s="101"/>
    </row>
    <row r="34871" spans="9:9" x14ac:dyDescent="0.3">
      <c r="I34871" s="101"/>
    </row>
    <row r="34872" spans="9:9" x14ac:dyDescent="0.3">
      <c r="I34872" s="101"/>
    </row>
    <row r="34873" spans="9:9" x14ac:dyDescent="0.3">
      <c r="I34873" s="101"/>
    </row>
    <row r="34874" spans="9:9" x14ac:dyDescent="0.3">
      <c r="I34874" s="101"/>
    </row>
    <row r="34875" spans="9:9" x14ac:dyDescent="0.3">
      <c r="I34875" s="101"/>
    </row>
    <row r="34876" spans="9:9" x14ac:dyDescent="0.3">
      <c r="I34876" s="101"/>
    </row>
    <row r="34877" spans="9:9" x14ac:dyDescent="0.3">
      <c r="I34877" s="101"/>
    </row>
    <row r="34878" spans="9:9" x14ac:dyDescent="0.3">
      <c r="I34878" s="101"/>
    </row>
    <row r="34879" spans="9:9" x14ac:dyDescent="0.3">
      <c r="I34879" s="101"/>
    </row>
    <row r="34880" spans="9:9" x14ac:dyDescent="0.3">
      <c r="I34880" s="101"/>
    </row>
    <row r="34881" spans="9:9" x14ac:dyDescent="0.3">
      <c r="I34881" s="101"/>
    </row>
    <row r="34882" spans="9:9" x14ac:dyDescent="0.3">
      <c r="I34882" s="101"/>
    </row>
    <row r="34883" spans="9:9" x14ac:dyDescent="0.3">
      <c r="I34883" s="101"/>
    </row>
    <row r="34884" spans="9:9" x14ac:dyDescent="0.3">
      <c r="I34884" s="101"/>
    </row>
    <row r="34885" spans="9:9" x14ac:dyDescent="0.3">
      <c r="I34885" s="101"/>
    </row>
    <row r="34886" spans="9:9" x14ac:dyDescent="0.3">
      <c r="I34886" s="101"/>
    </row>
    <row r="34887" spans="9:9" x14ac:dyDescent="0.3">
      <c r="I34887" s="101"/>
    </row>
    <row r="34888" spans="9:9" x14ac:dyDescent="0.3">
      <c r="I34888" s="101"/>
    </row>
    <row r="34889" spans="9:9" x14ac:dyDescent="0.3">
      <c r="I34889" s="101"/>
    </row>
    <row r="34890" spans="9:9" x14ac:dyDescent="0.3">
      <c r="I34890" s="101"/>
    </row>
    <row r="34891" spans="9:9" x14ac:dyDescent="0.3">
      <c r="I34891" s="101"/>
    </row>
    <row r="34892" spans="9:9" x14ac:dyDescent="0.3">
      <c r="I34892" s="101"/>
    </row>
    <row r="34893" spans="9:9" x14ac:dyDescent="0.3">
      <c r="I34893" s="101"/>
    </row>
    <row r="34894" spans="9:9" x14ac:dyDescent="0.3">
      <c r="I34894" s="101"/>
    </row>
    <row r="34895" spans="9:9" x14ac:dyDescent="0.3">
      <c r="I34895" s="101"/>
    </row>
    <row r="34896" spans="9:9" x14ac:dyDescent="0.3">
      <c r="I34896" s="101"/>
    </row>
    <row r="34897" spans="9:9" x14ac:dyDescent="0.3">
      <c r="I34897" s="101"/>
    </row>
    <row r="34898" spans="9:9" x14ac:dyDescent="0.3">
      <c r="I34898" s="101"/>
    </row>
    <row r="34899" spans="9:9" x14ac:dyDescent="0.3">
      <c r="I34899" s="101"/>
    </row>
    <row r="34900" spans="9:9" x14ac:dyDescent="0.3">
      <c r="I34900" s="101"/>
    </row>
    <row r="34901" spans="9:9" x14ac:dyDescent="0.3">
      <c r="I34901" s="101"/>
    </row>
    <row r="34902" spans="9:9" x14ac:dyDescent="0.3">
      <c r="I34902" s="101"/>
    </row>
    <row r="34903" spans="9:9" x14ac:dyDescent="0.3">
      <c r="I34903" s="101"/>
    </row>
    <row r="34904" spans="9:9" x14ac:dyDescent="0.3">
      <c r="I34904" s="101"/>
    </row>
    <row r="34905" spans="9:9" x14ac:dyDescent="0.3">
      <c r="I34905" s="101"/>
    </row>
    <row r="34906" spans="9:9" x14ac:dyDescent="0.3">
      <c r="I34906" s="101"/>
    </row>
    <row r="34907" spans="9:9" x14ac:dyDescent="0.3">
      <c r="I34907" s="101"/>
    </row>
    <row r="34908" spans="9:9" x14ac:dyDescent="0.3">
      <c r="I34908" s="101"/>
    </row>
    <row r="34909" spans="9:9" x14ac:dyDescent="0.3">
      <c r="I34909" s="101"/>
    </row>
    <row r="34910" spans="9:9" x14ac:dyDescent="0.3">
      <c r="I34910" s="101"/>
    </row>
    <row r="34911" spans="9:9" x14ac:dyDescent="0.3">
      <c r="I34911" s="101"/>
    </row>
    <row r="34912" spans="9:9" x14ac:dyDescent="0.3">
      <c r="I34912" s="101"/>
    </row>
    <row r="34913" spans="9:9" x14ac:dyDescent="0.3">
      <c r="I34913" s="101"/>
    </row>
    <row r="34914" spans="9:9" x14ac:dyDescent="0.3">
      <c r="I34914" s="101"/>
    </row>
    <row r="34915" spans="9:9" x14ac:dyDescent="0.3">
      <c r="I34915" s="101"/>
    </row>
    <row r="34916" spans="9:9" x14ac:dyDescent="0.3">
      <c r="I34916" s="101"/>
    </row>
    <row r="34917" spans="9:9" x14ac:dyDescent="0.3">
      <c r="I34917" s="101"/>
    </row>
    <row r="34918" spans="9:9" x14ac:dyDescent="0.3">
      <c r="I34918" s="101"/>
    </row>
    <row r="34919" spans="9:9" x14ac:dyDescent="0.3">
      <c r="I34919" s="101"/>
    </row>
    <row r="34920" spans="9:9" x14ac:dyDescent="0.3">
      <c r="I34920" s="101"/>
    </row>
    <row r="34921" spans="9:9" x14ac:dyDescent="0.3">
      <c r="I34921" s="101"/>
    </row>
    <row r="34922" spans="9:9" x14ac:dyDescent="0.3">
      <c r="I34922" s="101"/>
    </row>
    <row r="34923" spans="9:9" x14ac:dyDescent="0.3">
      <c r="I34923" s="101"/>
    </row>
    <row r="34924" spans="9:9" x14ac:dyDescent="0.3">
      <c r="I34924" s="101"/>
    </row>
    <row r="34925" spans="9:9" x14ac:dyDescent="0.3">
      <c r="I34925" s="101"/>
    </row>
    <row r="34926" spans="9:9" x14ac:dyDescent="0.3">
      <c r="I34926" s="101"/>
    </row>
    <row r="34927" spans="9:9" x14ac:dyDescent="0.3">
      <c r="I34927" s="101"/>
    </row>
    <row r="34928" spans="9:9" x14ac:dyDescent="0.3">
      <c r="I34928" s="101"/>
    </row>
    <row r="34929" spans="9:9" x14ac:dyDescent="0.3">
      <c r="I34929" s="101"/>
    </row>
    <row r="34930" spans="9:9" x14ac:dyDescent="0.3">
      <c r="I34930" s="101"/>
    </row>
    <row r="34931" spans="9:9" x14ac:dyDescent="0.3">
      <c r="I34931" s="101"/>
    </row>
    <row r="34932" spans="9:9" x14ac:dyDescent="0.3">
      <c r="I34932" s="101"/>
    </row>
    <row r="34933" spans="9:9" x14ac:dyDescent="0.3">
      <c r="I34933" s="101"/>
    </row>
    <row r="34934" spans="9:9" x14ac:dyDescent="0.3">
      <c r="I34934" s="101"/>
    </row>
    <row r="34935" spans="9:9" x14ac:dyDescent="0.3">
      <c r="I34935" s="101"/>
    </row>
    <row r="34936" spans="9:9" x14ac:dyDescent="0.3">
      <c r="I34936" s="101"/>
    </row>
    <row r="34937" spans="9:9" x14ac:dyDescent="0.3">
      <c r="I34937" s="101"/>
    </row>
    <row r="34938" spans="9:9" x14ac:dyDescent="0.3">
      <c r="I34938" s="101"/>
    </row>
    <row r="34939" spans="9:9" x14ac:dyDescent="0.3">
      <c r="I34939" s="101"/>
    </row>
    <row r="34940" spans="9:9" x14ac:dyDescent="0.3">
      <c r="I34940" s="101"/>
    </row>
    <row r="34941" spans="9:9" x14ac:dyDescent="0.3">
      <c r="I34941" s="101"/>
    </row>
    <row r="34942" spans="9:9" x14ac:dyDescent="0.3">
      <c r="I34942" s="101"/>
    </row>
    <row r="34943" spans="9:9" x14ac:dyDescent="0.3">
      <c r="I34943" s="101"/>
    </row>
    <row r="34944" spans="9:9" x14ac:dyDescent="0.3">
      <c r="I34944" s="101"/>
    </row>
    <row r="34945" spans="9:9" x14ac:dyDescent="0.3">
      <c r="I34945" s="101"/>
    </row>
    <row r="34946" spans="9:9" x14ac:dyDescent="0.3">
      <c r="I34946" s="101"/>
    </row>
    <row r="34947" spans="9:9" x14ac:dyDescent="0.3">
      <c r="I34947" s="101"/>
    </row>
    <row r="34948" spans="9:9" x14ac:dyDescent="0.3">
      <c r="I34948" s="101"/>
    </row>
    <row r="34949" spans="9:9" x14ac:dyDescent="0.3">
      <c r="I34949" s="101"/>
    </row>
    <row r="34950" spans="9:9" x14ac:dyDescent="0.3">
      <c r="I34950" s="101"/>
    </row>
    <row r="34951" spans="9:9" x14ac:dyDescent="0.3">
      <c r="I34951" s="101"/>
    </row>
    <row r="34952" spans="9:9" x14ac:dyDescent="0.3">
      <c r="I34952" s="101"/>
    </row>
    <row r="34953" spans="9:9" x14ac:dyDescent="0.3">
      <c r="I34953" s="101"/>
    </row>
    <row r="34954" spans="9:9" x14ac:dyDescent="0.3">
      <c r="I34954" s="101"/>
    </row>
    <row r="34955" spans="9:9" x14ac:dyDescent="0.3">
      <c r="I34955" s="101"/>
    </row>
    <row r="34956" spans="9:9" x14ac:dyDescent="0.3">
      <c r="I34956" s="101"/>
    </row>
    <row r="34957" spans="9:9" x14ac:dyDescent="0.3">
      <c r="I34957" s="101"/>
    </row>
    <row r="34958" spans="9:9" x14ac:dyDescent="0.3">
      <c r="I34958" s="101"/>
    </row>
    <row r="34959" spans="9:9" x14ac:dyDescent="0.3">
      <c r="I34959" s="101"/>
    </row>
    <row r="34960" spans="9:9" x14ac:dyDescent="0.3">
      <c r="I34960" s="101"/>
    </row>
    <row r="34961" spans="9:9" x14ac:dyDescent="0.3">
      <c r="I34961" s="101"/>
    </row>
    <row r="34962" spans="9:9" x14ac:dyDescent="0.3">
      <c r="I34962" s="101"/>
    </row>
    <row r="34963" spans="9:9" x14ac:dyDescent="0.3">
      <c r="I34963" s="101"/>
    </row>
    <row r="34964" spans="9:9" x14ac:dyDescent="0.3">
      <c r="I34964" s="101"/>
    </row>
    <row r="34965" spans="9:9" x14ac:dyDescent="0.3">
      <c r="I34965" s="101"/>
    </row>
    <row r="34966" spans="9:9" x14ac:dyDescent="0.3">
      <c r="I34966" s="101"/>
    </row>
    <row r="34967" spans="9:9" x14ac:dyDescent="0.3">
      <c r="I34967" s="101"/>
    </row>
    <row r="34968" spans="9:9" x14ac:dyDescent="0.3">
      <c r="I34968" s="101"/>
    </row>
    <row r="34969" spans="9:9" x14ac:dyDescent="0.3">
      <c r="I34969" s="101"/>
    </row>
    <row r="34970" spans="9:9" x14ac:dyDescent="0.3">
      <c r="I34970" s="101"/>
    </row>
    <row r="34971" spans="9:9" x14ac:dyDescent="0.3">
      <c r="I34971" s="101"/>
    </row>
    <row r="34972" spans="9:9" x14ac:dyDescent="0.3">
      <c r="I34972" s="101"/>
    </row>
    <row r="34973" spans="9:9" x14ac:dyDescent="0.3">
      <c r="I34973" s="101"/>
    </row>
    <row r="34974" spans="9:9" x14ac:dyDescent="0.3">
      <c r="I34974" s="101"/>
    </row>
    <row r="34975" spans="9:9" x14ac:dyDescent="0.3">
      <c r="I34975" s="101"/>
    </row>
    <row r="34976" spans="9:9" x14ac:dyDescent="0.3">
      <c r="I34976" s="101"/>
    </row>
    <row r="34977" spans="9:9" x14ac:dyDescent="0.3">
      <c r="I34977" s="101"/>
    </row>
    <row r="34978" spans="9:9" x14ac:dyDescent="0.3">
      <c r="I34978" s="101"/>
    </row>
    <row r="34979" spans="9:9" x14ac:dyDescent="0.3">
      <c r="I34979" s="101"/>
    </row>
    <row r="34980" spans="9:9" x14ac:dyDescent="0.3">
      <c r="I34980" s="101"/>
    </row>
    <row r="34981" spans="9:9" x14ac:dyDescent="0.3">
      <c r="I34981" s="101"/>
    </row>
    <row r="34982" spans="9:9" x14ac:dyDescent="0.3">
      <c r="I34982" s="101"/>
    </row>
    <row r="34983" spans="9:9" x14ac:dyDescent="0.3">
      <c r="I34983" s="101"/>
    </row>
    <row r="34984" spans="9:9" x14ac:dyDescent="0.3">
      <c r="I34984" s="101"/>
    </row>
    <row r="34985" spans="9:9" x14ac:dyDescent="0.3">
      <c r="I34985" s="101"/>
    </row>
    <row r="34986" spans="9:9" x14ac:dyDescent="0.3">
      <c r="I34986" s="101"/>
    </row>
    <row r="34987" spans="9:9" x14ac:dyDescent="0.3">
      <c r="I34987" s="101"/>
    </row>
    <row r="34988" spans="9:9" x14ac:dyDescent="0.3">
      <c r="I34988" s="101"/>
    </row>
    <row r="34989" spans="9:9" x14ac:dyDescent="0.3">
      <c r="I34989" s="101"/>
    </row>
    <row r="34990" spans="9:9" x14ac:dyDescent="0.3">
      <c r="I34990" s="101"/>
    </row>
    <row r="34991" spans="9:9" x14ac:dyDescent="0.3">
      <c r="I34991" s="101"/>
    </row>
    <row r="34992" spans="9:9" x14ac:dyDescent="0.3">
      <c r="I34992" s="101"/>
    </row>
    <row r="34993" spans="9:9" x14ac:dyDescent="0.3">
      <c r="I34993" s="101"/>
    </row>
    <row r="34994" spans="9:9" x14ac:dyDescent="0.3">
      <c r="I34994" s="101"/>
    </row>
    <row r="34995" spans="9:9" x14ac:dyDescent="0.3">
      <c r="I34995" s="101"/>
    </row>
    <row r="34996" spans="9:9" x14ac:dyDescent="0.3">
      <c r="I34996" s="101"/>
    </row>
    <row r="34997" spans="9:9" x14ac:dyDescent="0.3">
      <c r="I34997" s="101"/>
    </row>
    <row r="34998" spans="9:9" x14ac:dyDescent="0.3">
      <c r="I34998" s="101"/>
    </row>
    <row r="34999" spans="9:9" x14ac:dyDescent="0.3">
      <c r="I34999" s="101"/>
    </row>
    <row r="35000" spans="9:9" x14ac:dyDescent="0.3">
      <c r="I35000" s="101"/>
    </row>
    <row r="35001" spans="9:9" x14ac:dyDescent="0.3">
      <c r="I35001" s="101"/>
    </row>
    <row r="35002" spans="9:9" x14ac:dyDescent="0.3">
      <c r="I35002" s="101"/>
    </row>
    <row r="35003" spans="9:9" x14ac:dyDescent="0.3">
      <c r="I35003" s="101"/>
    </row>
    <row r="35004" spans="9:9" x14ac:dyDescent="0.3">
      <c r="I35004" s="101"/>
    </row>
    <row r="35005" spans="9:9" x14ac:dyDescent="0.3">
      <c r="I35005" s="101"/>
    </row>
    <row r="35006" spans="9:9" x14ac:dyDescent="0.3">
      <c r="I35006" s="101"/>
    </row>
    <row r="35007" spans="9:9" x14ac:dyDescent="0.3">
      <c r="I35007" s="101"/>
    </row>
    <row r="35008" spans="9:9" x14ac:dyDescent="0.3">
      <c r="I35008" s="101"/>
    </row>
    <row r="35009" spans="9:9" x14ac:dyDescent="0.3">
      <c r="I35009" s="101"/>
    </row>
    <row r="35010" spans="9:9" x14ac:dyDescent="0.3">
      <c r="I35010" s="101"/>
    </row>
    <row r="35011" spans="9:9" x14ac:dyDescent="0.3">
      <c r="I35011" s="101"/>
    </row>
    <row r="35012" spans="9:9" x14ac:dyDescent="0.3">
      <c r="I35012" s="101"/>
    </row>
    <row r="35013" spans="9:9" x14ac:dyDescent="0.3">
      <c r="I35013" s="101"/>
    </row>
    <row r="35014" spans="9:9" x14ac:dyDescent="0.3">
      <c r="I35014" s="101"/>
    </row>
    <row r="35015" spans="9:9" x14ac:dyDescent="0.3">
      <c r="I35015" s="101"/>
    </row>
    <row r="35016" spans="9:9" x14ac:dyDescent="0.3">
      <c r="I35016" s="101"/>
    </row>
    <row r="35017" spans="9:9" x14ac:dyDescent="0.3">
      <c r="I35017" s="101"/>
    </row>
    <row r="35018" spans="9:9" x14ac:dyDescent="0.3">
      <c r="I35018" s="101"/>
    </row>
    <row r="35019" spans="9:9" x14ac:dyDescent="0.3">
      <c r="I35019" s="101"/>
    </row>
    <row r="35020" spans="9:9" x14ac:dyDescent="0.3">
      <c r="I35020" s="101"/>
    </row>
    <row r="35021" spans="9:9" x14ac:dyDescent="0.3">
      <c r="I35021" s="101"/>
    </row>
    <row r="35022" spans="9:9" x14ac:dyDescent="0.3">
      <c r="I35022" s="101"/>
    </row>
    <row r="35023" spans="9:9" x14ac:dyDescent="0.3">
      <c r="I35023" s="101"/>
    </row>
    <row r="35024" spans="9:9" x14ac:dyDescent="0.3">
      <c r="I35024" s="101"/>
    </row>
    <row r="35025" spans="9:9" x14ac:dyDescent="0.3">
      <c r="I35025" s="101"/>
    </row>
    <row r="35026" spans="9:9" x14ac:dyDescent="0.3">
      <c r="I35026" s="101"/>
    </row>
    <row r="35027" spans="9:9" x14ac:dyDescent="0.3">
      <c r="I35027" s="101"/>
    </row>
    <row r="35028" spans="9:9" x14ac:dyDescent="0.3">
      <c r="I35028" s="101"/>
    </row>
    <row r="35029" spans="9:9" x14ac:dyDescent="0.3">
      <c r="I35029" s="101"/>
    </row>
    <row r="35030" spans="9:9" x14ac:dyDescent="0.3">
      <c r="I35030" s="101"/>
    </row>
    <row r="35031" spans="9:9" x14ac:dyDescent="0.3">
      <c r="I35031" s="101"/>
    </row>
    <row r="35032" spans="9:9" x14ac:dyDescent="0.3">
      <c r="I35032" s="101"/>
    </row>
    <row r="35033" spans="9:9" x14ac:dyDescent="0.3">
      <c r="I35033" s="101"/>
    </row>
    <row r="35034" spans="9:9" x14ac:dyDescent="0.3">
      <c r="I35034" s="101"/>
    </row>
    <row r="35035" spans="9:9" x14ac:dyDescent="0.3">
      <c r="I35035" s="101"/>
    </row>
    <row r="35036" spans="9:9" x14ac:dyDescent="0.3">
      <c r="I35036" s="101"/>
    </row>
    <row r="35037" spans="9:9" x14ac:dyDescent="0.3">
      <c r="I35037" s="101"/>
    </row>
    <row r="35038" spans="9:9" x14ac:dyDescent="0.3">
      <c r="I35038" s="101"/>
    </row>
    <row r="35039" spans="9:9" x14ac:dyDescent="0.3">
      <c r="I35039" s="101"/>
    </row>
    <row r="35040" spans="9:9" x14ac:dyDescent="0.3">
      <c r="I35040" s="101"/>
    </row>
    <row r="35041" spans="9:9" x14ac:dyDescent="0.3">
      <c r="I35041" s="101"/>
    </row>
    <row r="35042" spans="9:9" x14ac:dyDescent="0.3">
      <c r="I35042" s="101"/>
    </row>
    <row r="35043" spans="9:9" x14ac:dyDescent="0.3">
      <c r="I35043" s="101"/>
    </row>
    <row r="35044" spans="9:9" x14ac:dyDescent="0.3">
      <c r="I35044" s="101"/>
    </row>
    <row r="35045" spans="9:9" x14ac:dyDescent="0.3">
      <c r="I35045" s="101"/>
    </row>
    <row r="35046" spans="9:9" x14ac:dyDescent="0.3">
      <c r="I35046" s="101"/>
    </row>
    <row r="35047" spans="9:9" x14ac:dyDescent="0.3">
      <c r="I35047" s="101"/>
    </row>
    <row r="35048" spans="9:9" x14ac:dyDescent="0.3">
      <c r="I35048" s="101"/>
    </row>
    <row r="35049" spans="9:9" x14ac:dyDescent="0.3">
      <c r="I35049" s="101"/>
    </row>
    <row r="35050" spans="9:9" x14ac:dyDescent="0.3">
      <c r="I35050" s="101"/>
    </row>
    <row r="35051" spans="9:9" x14ac:dyDescent="0.3">
      <c r="I35051" s="101"/>
    </row>
    <row r="35052" spans="9:9" x14ac:dyDescent="0.3">
      <c r="I35052" s="101"/>
    </row>
    <row r="35053" spans="9:9" x14ac:dyDescent="0.3">
      <c r="I35053" s="101"/>
    </row>
    <row r="35054" spans="9:9" x14ac:dyDescent="0.3">
      <c r="I35054" s="101"/>
    </row>
    <row r="35055" spans="9:9" x14ac:dyDescent="0.3">
      <c r="I35055" s="101"/>
    </row>
    <row r="35056" spans="9:9" x14ac:dyDescent="0.3">
      <c r="I35056" s="101"/>
    </row>
    <row r="35057" spans="9:9" x14ac:dyDescent="0.3">
      <c r="I35057" s="101"/>
    </row>
    <row r="35058" spans="9:9" x14ac:dyDescent="0.3">
      <c r="I35058" s="101"/>
    </row>
    <row r="35059" spans="9:9" x14ac:dyDescent="0.3">
      <c r="I35059" s="101"/>
    </row>
    <row r="35060" spans="9:9" x14ac:dyDescent="0.3">
      <c r="I35060" s="101"/>
    </row>
    <row r="35061" spans="9:9" x14ac:dyDescent="0.3">
      <c r="I35061" s="101"/>
    </row>
    <row r="35062" spans="9:9" x14ac:dyDescent="0.3">
      <c r="I35062" s="101"/>
    </row>
    <row r="35063" spans="9:9" x14ac:dyDescent="0.3">
      <c r="I35063" s="101"/>
    </row>
    <row r="35064" spans="9:9" x14ac:dyDescent="0.3">
      <c r="I35064" s="101"/>
    </row>
    <row r="35065" spans="9:9" x14ac:dyDescent="0.3">
      <c r="I35065" s="101"/>
    </row>
    <row r="35066" spans="9:9" x14ac:dyDescent="0.3">
      <c r="I35066" s="101"/>
    </row>
    <row r="35067" spans="9:9" x14ac:dyDescent="0.3">
      <c r="I35067" s="101"/>
    </row>
    <row r="35068" spans="9:9" x14ac:dyDescent="0.3">
      <c r="I35068" s="101"/>
    </row>
    <row r="35069" spans="9:9" x14ac:dyDescent="0.3">
      <c r="I35069" s="101"/>
    </row>
    <row r="35070" spans="9:9" x14ac:dyDescent="0.3">
      <c r="I35070" s="101"/>
    </row>
    <row r="35071" spans="9:9" x14ac:dyDescent="0.3">
      <c r="I35071" s="101"/>
    </row>
    <row r="35072" spans="9:9" x14ac:dyDescent="0.3">
      <c r="I35072" s="101"/>
    </row>
    <row r="35073" spans="9:9" x14ac:dyDescent="0.3">
      <c r="I35073" s="101"/>
    </row>
    <row r="35074" spans="9:9" x14ac:dyDescent="0.3">
      <c r="I35074" s="101"/>
    </row>
    <row r="35075" spans="9:9" x14ac:dyDescent="0.3">
      <c r="I35075" s="101"/>
    </row>
    <row r="35076" spans="9:9" x14ac:dyDescent="0.3">
      <c r="I35076" s="101"/>
    </row>
    <row r="35077" spans="9:9" x14ac:dyDescent="0.3">
      <c r="I35077" s="101"/>
    </row>
    <row r="35078" spans="9:9" x14ac:dyDescent="0.3">
      <c r="I35078" s="101"/>
    </row>
    <row r="35079" spans="9:9" x14ac:dyDescent="0.3">
      <c r="I35079" s="101"/>
    </row>
    <row r="35080" spans="9:9" x14ac:dyDescent="0.3">
      <c r="I35080" s="101"/>
    </row>
    <row r="35081" spans="9:9" x14ac:dyDescent="0.3">
      <c r="I35081" s="101"/>
    </row>
    <row r="35082" spans="9:9" x14ac:dyDescent="0.3">
      <c r="I35082" s="101"/>
    </row>
    <row r="35083" spans="9:9" x14ac:dyDescent="0.3">
      <c r="I35083" s="101"/>
    </row>
    <row r="35084" spans="9:9" x14ac:dyDescent="0.3">
      <c r="I35084" s="101"/>
    </row>
    <row r="35085" spans="9:9" x14ac:dyDescent="0.3">
      <c r="I35085" s="101"/>
    </row>
    <row r="35086" spans="9:9" x14ac:dyDescent="0.3">
      <c r="I35086" s="101"/>
    </row>
    <row r="35087" spans="9:9" x14ac:dyDescent="0.3">
      <c r="I35087" s="101"/>
    </row>
    <row r="35088" spans="9:9" x14ac:dyDescent="0.3">
      <c r="I35088" s="101"/>
    </row>
    <row r="35089" spans="9:9" x14ac:dyDescent="0.3">
      <c r="I35089" s="101"/>
    </row>
    <row r="35090" spans="9:9" x14ac:dyDescent="0.3">
      <c r="I35090" s="101"/>
    </row>
    <row r="35091" spans="9:9" x14ac:dyDescent="0.3">
      <c r="I35091" s="101"/>
    </row>
    <row r="35092" spans="9:9" x14ac:dyDescent="0.3">
      <c r="I35092" s="101"/>
    </row>
    <row r="35093" spans="9:9" x14ac:dyDescent="0.3">
      <c r="I35093" s="101"/>
    </row>
    <row r="35094" spans="9:9" x14ac:dyDescent="0.3">
      <c r="I35094" s="101"/>
    </row>
    <row r="35095" spans="9:9" x14ac:dyDescent="0.3">
      <c r="I35095" s="101"/>
    </row>
    <row r="35096" spans="9:9" x14ac:dyDescent="0.3">
      <c r="I35096" s="101"/>
    </row>
    <row r="35097" spans="9:9" x14ac:dyDescent="0.3">
      <c r="I35097" s="101"/>
    </row>
    <row r="35098" spans="9:9" x14ac:dyDescent="0.3">
      <c r="I35098" s="101"/>
    </row>
    <row r="35099" spans="9:9" x14ac:dyDescent="0.3">
      <c r="I35099" s="101"/>
    </row>
    <row r="35100" spans="9:9" x14ac:dyDescent="0.3">
      <c r="I35100" s="101"/>
    </row>
    <row r="35101" spans="9:9" x14ac:dyDescent="0.3">
      <c r="I35101" s="101"/>
    </row>
    <row r="35102" spans="9:9" x14ac:dyDescent="0.3">
      <c r="I35102" s="101"/>
    </row>
    <row r="35103" spans="9:9" x14ac:dyDescent="0.3">
      <c r="I35103" s="101"/>
    </row>
    <row r="35104" spans="9:9" x14ac:dyDescent="0.3">
      <c r="I35104" s="101"/>
    </row>
    <row r="35105" spans="9:9" x14ac:dyDescent="0.3">
      <c r="I35105" s="101"/>
    </row>
    <row r="35106" spans="9:9" x14ac:dyDescent="0.3">
      <c r="I35106" s="101"/>
    </row>
    <row r="35107" spans="9:9" x14ac:dyDescent="0.3">
      <c r="I35107" s="101"/>
    </row>
    <row r="35108" spans="9:9" x14ac:dyDescent="0.3">
      <c r="I35108" s="101"/>
    </row>
    <row r="35109" spans="9:9" x14ac:dyDescent="0.3">
      <c r="I35109" s="101"/>
    </row>
    <row r="35110" spans="9:9" x14ac:dyDescent="0.3">
      <c r="I35110" s="101"/>
    </row>
    <row r="35111" spans="9:9" x14ac:dyDescent="0.3">
      <c r="I35111" s="101"/>
    </row>
    <row r="35112" spans="9:9" x14ac:dyDescent="0.3">
      <c r="I35112" s="101"/>
    </row>
    <row r="35113" spans="9:9" x14ac:dyDescent="0.3">
      <c r="I35113" s="101"/>
    </row>
    <row r="35114" spans="9:9" x14ac:dyDescent="0.3">
      <c r="I35114" s="101"/>
    </row>
    <row r="35115" spans="9:9" x14ac:dyDescent="0.3">
      <c r="I35115" s="101"/>
    </row>
    <row r="35116" spans="9:9" x14ac:dyDescent="0.3">
      <c r="I35116" s="101"/>
    </row>
    <row r="35117" spans="9:9" x14ac:dyDescent="0.3">
      <c r="I35117" s="101"/>
    </row>
    <row r="35118" spans="9:9" x14ac:dyDescent="0.3">
      <c r="I35118" s="101"/>
    </row>
    <row r="35119" spans="9:9" x14ac:dyDescent="0.3">
      <c r="I35119" s="101"/>
    </row>
    <row r="35120" spans="9:9" x14ac:dyDescent="0.3">
      <c r="I35120" s="101"/>
    </row>
    <row r="35121" spans="9:9" x14ac:dyDescent="0.3">
      <c r="I35121" s="101"/>
    </row>
    <row r="35122" spans="9:9" x14ac:dyDescent="0.3">
      <c r="I35122" s="101"/>
    </row>
    <row r="35123" spans="9:9" x14ac:dyDescent="0.3">
      <c r="I35123" s="101"/>
    </row>
    <row r="35124" spans="9:9" x14ac:dyDescent="0.3">
      <c r="I35124" s="101"/>
    </row>
    <row r="35125" spans="9:9" x14ac:dyDescent="0.3">
      <c r="I35125" s="101"/>
    </row>
    <row r="35126" spans="9:9" x14ac:dyDescent="0.3">
      <c r="I35126" s="101"/>
    </row>
    <row r="35127" spans="9:9" x14ac:dyDescent="0.3">
      <c r="I35127" s="101"/>
    </row>
    <row r="35128" spans="9:9" x14ac:dyDescent="0.3">
      <c r="I35128" s="101"/>
    </row>
    <row r="35129" spans="9:9" x14ac:dyDescent="0.3">
      <c r="I35129" s="101"/>
    </row>
    <row r="35130" spans="9:9" x14ac:dyDescent="0.3">
      <c r="I35130" s="101"/>
    </row>
    <row r="35131" spans="9:9" x14ac:dyDescent="0.3">
      <c r="I35131" s="101"/>
    </row>
    <row r="35132" spans="9:9" x14ac:dyDescent="0.3">
      <c r="I35132" s="101"/>
    </row>
    <row r="35133" spans="9:9" x14ac:dyDescent="0.3">
      <c r="I35133" s="101"/>
    </row>
    <row r="35134" spans="9:9" x14ac:dyDescent="0.3">
      <c r="I35134" s="101"/>
    </row>
    <row r="35135" spans="9:9" x14ac:dyDescent="0.3">
      <c r="I35135" s="101"/>
    </row>
    <row r="35136" spans="9:9" x14ac:dyDescent="0.3">
      <c r="I35136" s="101"/>
    </row>
    <row r="35137" spans="9:9" x14ac:dyDescent="0.3">
      <c r="I35137" s="101"/>
    </row>
    <row r="35138" spans="9:9" x14ac:dyDescent="0.3">
      <c r="I35138" s="101"/>
    </row>
    <row r="35139" spans="9:9" x14ac:dyDescent="0.3">
      <c r="I35139" s="101"/>
    </row>
    <row r="35140" spans="9:9" x14ac:dyDescent="0.3">
      <c r="I35140" s="101"/>
    </row>
    <row r="35141" spans="9:9" x14ac:dyDescent="0.3">
      <c r="I35141" s="101"/>
    </row>
    <row r="35142" spans="9:9" x14ac:dyDescent="0.3">
      <c r="I35142" s="101"/>
    </row>
    <row r="35143" spans="9:9" x14ac:dyDescent="0.3">
      <c r="I35143" s="101"/>
    </row>
    <row r="35144" spans="9:9" x14ac:dyDescent="0.3">
      <c r="I35144" s="101"/>
    </row>
    <row r="35145" spans="9:9" x14ac:dyDescent="0.3">
      <c r="I35145" s="101"/>
    </row>
    <row r="35146" spans="9:9" x14ac:dyDescent="0.3">
      <c r="I35146" s="101"/>
    </row>
    <row r="35147" spans="9:9" x14ac:dyDescent="0.3">
      <c r="I35147" s="101"/>
    </row>
    <row r="35148" spans="9:9" x14ac:dyDescent="0.3">
      <c r="I35148" s="101"/>
    </row>
    <row r="35149" spans="9:9" x14ac:dyDescent="0.3">
      <c r="I35149" s="101"/>
    </row>
    <row r="35150" spans="9:9" x14ac:dyDescent="0.3">
      <c r="I35150" s="101"/>
    </row>
    <row r="35151" spans="9:9" x14ac:dyDescent="0.3">
      <c r="I35151" s="101"/>
    </row>
    <row r="35152" spans="9:9" x14ac:dyDescent="0.3">
      <c r="I35152" s="101"/>
    </row>
    <row r="35153" spans="9:9" x14ac:dyDescent="0.3">
      <c r="I35153" s="101"/>
    </row>
    <row r="35154" spans="9:9" x14ac:dyDescent="0.3">
      <c r="I35154" s="101"/>
    </row>
    <row r="35155" spans="9:9" x14ac:dyDescent="0.3">
      <c r="I35155" s="101"/>
    </row>
    <row r="35156" spans="9:9" x14ac:dyDescent="0.3">
      <c r="I35156" s="101"/>
    </row>
    <row r="35157" spans="9:9" x14ac:dyDescent="0.3">
      <c r="I35157" s="101"/>
    </row>
    <row r="35158" spans="9:9" x14ac:dyDescent="0.3">
      <c r="I35158" s="101"/>
    </row>
    <row r="35159" spans="9:9" x14ac:dyDescent="0.3">
      <c r="I35159" s="101"/>
    </row>
    <row r="35160" spans="9:9" x14ac:dyDescent="0.3">
      <c r="I35160" s="101"/>
    </row>
    <row r="35161" spans="9:9" x14ac:dyDescent="0.3">
      <c r="I35161" s="101"/>
    </row>
    <row r="35162" spans="9:9" x14ac:dyDescent="0.3">
      <c r="I35162" s="101"/>
    </row>
    <row r="35163" spans="9:9" x14ac:dyDescent="0.3">
      <c r="I35163" s="101"/>
    </row>
    <row r="35164" spans="9:9" x14ac:dyDescent="0.3">
      <c r="I35164" s="101"/>
    </row>
    <row r="35165" spans="9:9" x14ac:dyDescent="0.3">
      <c r="I35165" s="101"/>
    </row>
    <row r="35166" spans="9:9" x14ac:dyDescent="0.3">
      <c r="I35166" s="101"/>
    </row>
    <row r="35167" spans="9:9" x14ac:dyDescent="0.3">
      <c r="I35167" s="101"/>
    </row>
    <row r="35168" spans="9:9" x14ac:dyDescent="0.3">
      <c r="I35168" s="101"/>
    </row>
    <row r="35169" spans="9:9" x14ac:dyDescent="0.3">
      <c r="I35169" s="101"/>
    </row>
    <row r="35170" spans="9:9" x14ac:dyDescent="0.3">
      <c r="I35170" s="101"/>
    </row>
    <row r="35171" spans="9:9" x14ac:dyDescent="0.3">
      <c r="I35171" s="101"/>
    </row>
    <row r="35172" spans="9:9" x14ac:dyDescent="0.3">
      <c r="I35172" s="101"/>
    </row>
    <row r="35173" spans="9:9" x14ac:dyDescent="0.3">
      <c r="I35173" s="101"/>
    </row>
    <row r="35174" spans="9:9" x14ac:dyDescent="0.3">
      <c r="I35174" s="101"/>
    </row>
    <row r="35175" spans="9:9" x14ac:dyDescent="0.3">
      <c r="I35175" s="101"/>
    </row>
    <row r="35176" spans="9:9" x14ac:dyDescent="0.3">
      <c r="I35176" s="101"/>
    </row>
    <row r="35177" spans="9:9" x14ac:dyDescent="0.3">
      <c r="I35177" s="101"/>
    </row>
    <row r="35178" spans="9:9" x14ac:dyDescent="0.3">
      <c r="I35178" s="101"/>
    </row>
    <row r="35179" spans="9:9" x14ac:dyDescent="0.3">
      <c r="I35179" s="101"/>
    </row>
    <row r="35180" spans="9:9" x14ac:dyDescent="0.3">
      <c r="I35180" s="101"/>
    </row>
    <row r="35181" spans="9:9" x14ac:dyDescent="0.3">
      <c r="I35181" s="101"/>
    </row>
    <row r="35182" spans="9:9" x14ac:dyDescent="0.3">
      <c r="I35182" s="101"/>
    </row>
    <row r="35183" spans="9:9" x14ac:dyDescent="0.3">
      <c r="I35183" s="101"/>
    </row>
    <row r="35184" spans="9:9" x14ac:dyDescent="0.3">
      <c r="I35184" s="101"/>
    </row>
    <row r="35185" spans="9:9" x14ac:dyDescent="0.3">
      <c r="I35185" s="101"/>
    </row>
    <row r="35186" spans="9:9" x14ac:dyDescent="0.3">
      <c r="I35186" s="101"/>
    </row>
    <row r="35187" spans="9:9" x14ac:dyDescent="0.3">
      <c r="I35187" s="101"/>
    </row>
    <row r="35188" spans="9:9" x14ac:dyDescent="0.3">
      <c r="I35188" s="101"/>
    </row>
    <row r="35189" spans="9:9" x14ac:dyDescent="0.3">
      <c r="I35189" s="101"/>
    </row>
    <row r="35190" spans="9:9" x14ac:dyDescent="0.3">
      <c r="I35190" s="101"/>
    </row>
    <row r="35191" spans="9:9" x14ac:dyDescent="0.3">
      <c r="I35191" s="101"/>
    </row>
    <row r="35192" spans="9:9" x14ac:dyDescent="0.3">
      <c r="I35192" s="101"/>
    </row>
    <row r="35193" spans="9:9" x14ac:dyDescent="0.3">
      <c r="I35193" s="101"/>
    </row>
    <row r="35194" spans="9:9" x14ac:dyDescent="0.3">
      <c r="I35194" s="101"/>
    </row>
    <row r="35195" spans="9:9" x14ac:dyDescent="0.3">
      <c r="I35195" s="101"/>
    </row>
    <row r="35196" spans="9:9" x14ac:dyDescent="0.3">
      <c r="I35196" s="101"/>
    </row>
    <row r="35197" spans="9:9" x14ac:dyDescent="0.3">
      <c r="I35197" s="101"/>
    </row>
    <row r="35198" spans="9:9" x14ac:dyDescent="0.3">
      <c r="I35198" s="101"/>
    </row>
    <row r="35199" spans="9:9" x14ac:dyDescent="0.3">
      <c r="I35199" s="101"/>
    </row>
    <row r="35200" spans="9:9" x14ac:dyDescent="0.3">
      <c r="I35200" s="101"/>
    </row>
    <row r="35201" spans="9:9" x14ac:dyDescent="0.3">
      <c r="I35201" s="101"/>
    </row>
    <row r="35202" spans="9:9" x14ac:dyDescent="0.3">
      <c r="I35202" s="101"/>
    </row>
    <row r="35203" spans="9:9" x14ac:dyDescent="0.3">
      <c r="I35203" s="101"/>
    </row>
    <row r="35204" spans="9:9" x14ac:dyDescent="0.3">
      <c r="I35204" s="101"/>
    </row>
    <row r="35205" spans="9:9" x14ac:dyDescent="0.3">
      <c r="I35205" s="101"/>
    </row>
    <row r="35206" spans="9:9" x14ac:dyDescent="0.3">
      <c r="I35206" s="101"/>
    </row>
    <row r="35207" spans="9:9" x14ac:dyDescent="0.3">
      <c r="I35207" s="101"/>
    </row>
    <row r="35208" spans="9:9" x14ac:dyDescent="0.3">
      <c r="I35208" s="101"/>
    </row>
    <row r="35209" spans="9:9" x14ac:dyDescent="0.3">
      <c r="I35209" s="101"/>
    </row>
    <row r="35210" spans="9:9" x14ac:dyDescent="0.3">
      <c r="I35210" s="101"/>
    </row>
    <row r="35211" spans="9:9" x14ac:dyDescent="0.3">
      <c r="I35211" s="101"/>
    </row>
    <row r="35212" spans="9:9" x14ac:dyDescent="0.3">
      <c r="I35212" s="101"/>
    </row>
    <row r="35213" spans="9:9" x14ac:dyDescent="0.3">
      <c r="I35213" s="101"/>
    </row>
    <row r="35214" spans="9:9" x14ac:dyDescent="0.3">
      <c r="I35214" s="101"/>
    </row>
    <row r="35215" spans="9:9" x14ac:dyDescent="0.3">
      <c r="I35215" s="101"/>
    </row>
    <row r="35216" spans="9:9" x14ac:dyDescent="0.3">
      <c r="I35216" s="101"/>
    </row>
    <row r="35217" spans="9:9" x14ac:dyDescent="0.3">
      <c r="I35217" s="101"/>
    </row>
    <row r="35218" spans="9:9" x14ac:dyDescent="0.3">
      <c r="I35218" s="101"/>
    </row>
    <row r="35219" spans="9:9" x14ac:dyDescent="0.3">
      <c r="I35219" s="101"/>
    </row>
    <row r="35220" spans="9:9" x14ac:dyDescent="0.3">
      <c r="I35220" s="101"/>
    </row>
    <row r="35221" spans="9:9" x14ac:dyDescent="0.3">
      <c r="I35221" s="101"/>
    </row>
    <row r="35222" spans="9:9" x14ac:dyDescent="0.3">
      <c r="I35222" s="101"/>
    </row>
    <row r="35223" spans="9:9" x14ac:dyDescent="0.3">
      <c r="I35223" s="101"/>
    </row>
    <row r="35224" spans="9:9" x14ac:dyDescent="0.3">
      <c r="I35224" s="101"/>
    </row>
    <row r="35225" spans="9:9" x14ac:dyDescent="0.3">
      <c r="I35225" s="101"/>
    </row>
    <row r="35226" spans="9:9" x14ac:dyDescent="0.3">
      <c r="I35226" s="101"/>
    </row>
    <row r="35227" spans="9:9" x14ac:dyDescent="0.3">
      <c r="I35227" s="101"/>
    </row>
    <row r="35228" spans="9:9" x14ac:dyDescent="0.3">
      <c r="I35228" s="101"/>
    </row>
    <row r="35229" spans="9:9" x14ac:dyDescent="0.3">
      <c r="I35229" s="101"/>
    </row>
    <row r="35230" spans="9:9" x14ac:dyDescent="0.3">
      <c r="I35230" s="101"/>
    </row>
    <row r="35231" spans="9:9" x14ac:dyDescent="0.3">
      <c r="I35231" s="101"/>
    </row>
    <row r="35232" spans="9:9" x14ac:dyDescent="0.3">
      <c r="I35232" s="101"/>
    </row>
    <row r="35233" spans="9:9" x14ac:dyDescent="0.3">
      <c r="I35233" s="101"/>
    </row>
    <row r="35234" spans="9:9" x14ac:dyDescent="0.3">
      <c r="I35234" s="101"/>
    </row>
    <row r="35235" spans="9:9" x14ac:dyDescent="0.3">
      <c r="I35235" s="101"/>
    </row>
    <row r="35236" spans="9:9" x14ac:dyDescent="0.3">
      <c r="I35236" s="101"/>
    </row>
    <row r="35237" spans="9:9" x14ac:dyDescent="0.3">
      <c r="I35237" s="101"/>
    </row>
    <row r="35238" spans="9:9" x14ac:dyDescent="0.3">
      <c r="I35238" s="101"/>
    </row>
    <row r="35239" spans="9:9" x14ac:dyDescent="0.3">
      <c r="I35239" s="101"/>
    </row>
    <row r="35240" spans="9:9" x14ac:dyDescent="0.3">
      <c r="I35240" s="101"/>
    </row>
    <row r="35241" spans="9:9" x14ac:dyDescent="0.3">
      <c r="I35241" s="101"/>
    </row>
    <row r="35242" spans="9:9" x14ac:dyDescent="0.3">
      <c r="I35242" s="101"/>
    </row>
    <row r="35243" spans="9:9" x14ac:dyDescent="0.3">
      <c r="I35243" s="101"/>
    </row>
    <row r="35244" spans="9:9" x14ac:dyDescent="0.3">
      <c r="I35244" s="101"/>
    </row>
    <row r="35245" spans="9:9" x14ac:dyDescent="0.3">
      <c r="I35245" s="101"/>
    </row>
    <row r="35246" spans="9:9" x14ac:dyDescent="0.3">
      <c r="I35246" s="101"/>
    </row>
    <row r="35247" spans="9:9" x14ac:dyDescent="0.3">
      <c r="I35247" s="101"/>
    </row>
    <row r="35248" spans="9:9" x14ac:dyDescent="0.3">
      <c r="I35248" s="101"/>
    </row>
    <row r="35249" spans="9:9" x14ac:dyDescent="0.3">
      <c r="I35249" s="101"/>
    </row>
    <row r="35250" spans="9:9" x14ac:dyDescent="0.3">
      <c r="I35250" s="101"/>
    </row>
    <row r="35251" spans="9:9" x14ac:dyDescent="0.3">
      <c r="I35251" s="101"/>
    </row>
    <row r="35252" spans="9:9" x14ac:dyDescent="0.3">
      <c r="I35252" s="101"/>
    </row>
    <row r="35253" spans="9:9" x14ac:dyDescent="0.3">
      <c r="I35253" s="101"/>
    </row>
    <row r="35254" spans="9:9" x14ac:dyDescent="0.3">
      <c r="I35254" s="101"/>
    </row>
    <row r="35255" spans="9:9" x14ac:dyDescent="0.3">
      <c r="I35255" s="101"/>
    </row>
    <row r="35256" spans="9:9" x14ac:dyDescent="0.3">
      <c r="I35256" s="101"/>
    </row>
    <row r="35257" spans="9:9" x14ac:dyDescent="0.3">
      <c r="I35257" s="101"/>
    </row>
    <row r="35258" spans="9:9" x14ac:dyDescent="0.3">
      <c r="I35258" s="101"/>
    </row>
    <row r="35259" spans="9:9" x14ac:dyDescent="0.3">
      <c r="I35259" s="101"/>
    </row>
    <row r="35260" spans="9:9" x14ac:dyDescent="0.3">
      <c r="I35260" s="101"/>
    </row>
    <row r="35261" spans="9:9" x14ac:dyDescent="0.3">
      <c r="I35261" s="101"/>
    </row>
    <row r="35262" spans="9:9" x14ac:dyDescent="0.3">
      <c r="I35262" s="101"/>
    </row>
    <row r="35263" spans="9:9" x14ac:dyDescent="0.3">
      <c r="I35263" s="101"/>
    </row>
    <row r="35264" spans="9:9" x14ac:dyDescent="0.3">
      <c r="I35264" s="101"/>
    </row>
    <row r="35265" spans="9:9" x14ac:dyDescent="0.3">
      <c r="I35265" s="101"/>
    </row>
    <row r="35266" spans="9:9" x14ac:dyDescent="0.3">
      <c r="I35266" s="101"/>
    </row>
    <row r="35267" spans="9:9" x14ac:dyDescent="0.3">
      <c r="I35267" s="101"/>
    </row>
    <row r="35268" spans="9:9" x14ac:dyDescent="0.3">
      <c r="I35268" s="101"/>
    </row>
    <row r="35269" spans="9:9" x14ac:dyDescent="0.3">
      <c r="I35269" s="101"/>
    </row>
    <row r="35270" spans="9:9" x14ac:dyDescent="0.3">
      <c r="I35270" s="101"/>
    </row>
    <row r="35271" spans="9:9" x14ac:dyDescent="0.3">
      <c r="I35271" s="101"/>
    </row>
    <row r="35272" spans="9:9" x14ac:dyDescent="0.3">
      <c r="I35272" s="101"/>
    </row>
    <row r="35273" spans="9:9" x14ac:dyDescent="0.3">
      <c r="I35273" s="101"/>
    </row>
    <row r="35274" spans="9:9" x14ac:dyDescent="0.3">
      <c r="I35274" s="101"/>
    </row>
    <row r="35275" spans="9:9" x14ac:dyDescent="0.3">
      <c r="I35275" s="101"/>
    </row>
    <row r="35276" spans="9:9" x14ac:dyDescent="0.3">
      <c r="I35276" s="101"/>
    </row>
    <row r="35277" spans="9:9" x14ac:dyDescent="0.3">
      <c r="I35277" s="101"/>
    </row>
    <row r="35278" spans="9:9" x14ac:dyDescent="0.3">
      <c r="I35278" s="101"/>
    </row>
    <row r="35279" spans="9:9" x14ac:dyDescent="0.3">
      <c r="I35279" s="101"/>
    </row>
    <row r="35280" spans="9:9" x14ac:dyDescent="0.3">
      <c r="I35280" s="101"/>
    </row>
    <row r="35281" spans="9:9" x14ac:dyDescent="0.3">
      <c r="I35281" s="101"/>
    </row>
    <row r="35282" spans="9:9" x14ac:dyDescent="0.3">
      <c r="I35282" s="101"/>
    </row>
    <row r="35283" spans="9:9" x14ac:dyDescent="0.3">
      <c r="I35283" s="101"/>
    </row>
    <row r="35284" spans="9:9" x14ac:dyDescent="0.3">
      <c r="I35284" s="101"/>
    </row>
    <row r="35285" spans="9:9" x14ac:dyDescent="0.3">
      <c r="I35285" s="101"/>
    </row>
    <row r="35286" spans="9:9" x14ac:dyDescent="0.3">
      <c r="I35286" s="101"/>
    </row>
    <row r="35287" spans="9:9" x14ac:dyDescent="0.3">
      <c r="I35287" s="101"/>
    </row>
    <row r="35288" spans="9:9" x14ac:dyDescent="0.3">
      <c r="I35288" s="101"/>
    </row>
    <row r="35289" spans="9:9" x14ac:dyDescent="0.3">
      <c r="I35289" s="101"/>
    </row>
    <row r="35290" spans="9:9" x14ac:dyDescent="0.3">
      <c r="I35290" s="101"/>
    </row>
    <row r="35291" spans="9:9" x14ac:dyDescent="0.3">
      <c r="I35291" s="101"/>
    </row>
    <row r="35292" spans="9:9" x14ac:dyDescent="0.3">
      <c r="I35292" s="101"/>
    </row>
    <row r="35293" spans="9:9" x14ac:dyDescent="0.3">
      <c r="I35293" s="101"/>
    </row>
    <row r="35294" spans="9:9" x14ac:dyDescent="0.3">
      <c r="I35294" s="101"/>
    </row>
    <row r="35295" spans="9:9" x14ac:dyDescent="0.3">
      <c r="I35295" s="101"/>
    </row>
    <row r="35296" spans="9:9" x14ac:dyDescent="0.3">
      <c r="I35296" s="101"/>
    </row>
    <row r="35297" spans="9:9" x14ac:dyDescent="0.3">
      <c r="I35297" s="101"/>
    </row>
    <row r="35298" spans="9:9" x14ac:dyDescent="0.3">
      <c r="I35298" s="101"/>
    </row>
    <row r="35299" spans="9:9" x14ac:dyDescent="0.3">
      <c r="I35299" s="101"/>
    </row>
    <row r="35300" spans="9:9" x14ac:dyDescent="0.3">
      <c r="I35300" s="101"/>
    </row>
    <row r="35301" spans="9:9" x14ac:dyDescent="0.3">
      <c r="I35301" s="101"/>
    </row>
    <row r="35302" spans="9:9" x14ac:dyDescent="0.3">
      <c r="I35302" s="101"/>
    </row>
    <row r="35303" spans="9:9" x14ac:dyDescent="0.3">
      <c r="I35303" s="101"/>
    </row>
    <row r="35304" spans="9:9" x14ac:dyDescent="0.3">
      <c r="I35304" s="101"/>
    </row>
    <row r="35305" spans="9:9" x14ac:dyDescent="0.3">
      <c r="I35305" s="101"/>
    </row>
    <row r="35306" spans="9:9" x14ac:dyDescent="0.3">
      <c r="I35306" s="101"/>
    </row>
    <row r="35307" spans="9:9" x14ac:dyDescent="0.3">
      <c r="I35307" s="101"/>
    </row>
    <row r="35308" spans="9:9" x14ac:dyDescent="0.3">
      <c r="I35308" s="101"/>
    </row>
    <row r="35309" spans="9:9" x14ac:dyDescent="0.3">
      <c r="I35309" s="101"/>
    </row>
    <row r="35310" spans="9:9" x14ac:dyDescent="0.3">
      <c r="I35310" s="101"/>
    </row>
    <row r="35311" spans="9:9" x14ac:dyDescent="0.3">
      <c r="I35311" s="101"/>
    </row>
    <row r="35312" spans="9:9" x14ac:dyDescent="0.3">
      <c r="I35312" s="101"/>
    </row>
    <row r="35313" spans="9:9" x14ac:dyDescent="0.3">
      <c r="I35313" s="101"/>
    </row>
    <row r="35314" spans="9:9" x14ac:dyDescent="0.3">
      <c r="I35314" s="101"/>
    </row>
    <row r="35315" spans="9:9" x14ac:dyDescent="0.3">
      <c r="I35315" s="101"/>
    </row>
    <row r="35316" spans="9:9" x14ac:dyDescent="0.3">
      <c r="I35316" s="101"/>
    </row>
    <row r="35317" spans="9:9" x14ac:dyDescent="0.3">
      <c r="I35317" s="101"/>
    </row>
    <row r="35318" spans="9:9" x14ac:dyDescent="0.3">
      <c r="I35318" s="101"/>
    </row>
    <row r="35319" spans="9:9" x14ac:dyDescent="0.3">
      <c r="I35319" s="101"/>
    </row>
    <row r="35320" spans="9:9" x14ac:dyDescent="0.3">
      <c r="I35320" s="101"/>
    </row>
    <row r="35321" spans="9:9" x14ac:dyDescent="0.3">
      <c r="I35321" s="101"/>
    </row>
    <row r="35322" spans="9:9" x14ac:dyDescent="0.3">
      <c r="I35322" s="101"/>
    </row>
    <row r="35323" spans="9:9" x14ac:dyDescent="0.3">
      <c r="I35323" s="101"/>
    </row>
    <row r="35324" spans="9:9" x14ac:dyDescent="0.3">
      <c r="I35324" s="101"/>
    </row>
    <row r="35325" spans="9:9" x14ac:dyDescent="0.3">
      <c r="I35325" s="101"/>
    </row>
    <row r="35326" spans="9:9" x14ac:dyDescent="0.3">
      <c r="I35326" s="101"/>
    </row>
    <row r="35327" spans="9:9" x14ac:dyDescent="0.3">
      <c r="I35327" s="101"/>
    </row>
    <row r="35328" spans="9:9" x14ac:dyDescent="0.3">
      <c r="I35328" s="101"/>
    </row>
    <row r="35329" spans="9:9" x14ac:dyDescent="0.3">
      <c r="I35329" s="101"/>
    </row>
    <row r="35330" spans="9:9" x14ac:dyDescent="0.3">
      <c r="I35330" s="101"/>
    </row>
    <row r="35331" spans="9:9" x14ac:dyDescent="0.3">
      <c r="I35331" s="101"/>
    </row>
    <row r="35332" spans="9:9" x14ac:dyDescent="0.3">
      <c r="I35332" s="101"/>
    </row>
    <row r="35333" spans="9:9" x14ac:dyDescent="0.3">
      <c r="I35333" s="101"/>
    </row>
    <row r="35334" spans="9:9" x14ac:dyDescent="0.3">
      <c r="I35334" s="101"/>
    </row>
    <row r="35335" spans="9:9" x14ac:dyDescent="0.3">
      <c r="I35335" s="101"/>
    </row>
    <row r="35336" spans="9:9" x14ac:dyDescent="0.3">
      <c r="I35336" s="101"/>
    </row>
    <row r="35337" spans="9:9" x14ac:dyDescent="0.3">
      <c r="I35337" s="101"/>
    </row>
    <row r="35338" spans="9:9" x14ac:dyDescent="0.3">
      <c r="I35338" s="101"/>
    </row>
    <row r="35339" spans="9:9" x14ac:dyDescent="0.3">
      <c r="I35339" s="101"/>
    </row>
    <row r="35340" spans="9:9" x14ac:dyDescent="0.3">
      <c r="I35340" s="101"/>
    </row>
    <row r="35341" spans="9:9" x14ac:dyDescent="0.3">
      <c r="I35341" s="101"/>
    </row>
    <row r="35342" spans="9:9" x14ac:dyDescent="0.3">
      <c r="I35342" s="101"/>
    </row>
    <row r="35343" spans="9:9" x14ac:dyDescent="0.3">
      <c r="I35343" s="101"/>
    </row>
    <row r="35344" spans="9:9" x14ac:dyDescent="0.3">
      <c r="I35344" s="101"/>
    </row>
    <row r="35345" spans="9:9" x14ac:dyDescent="0.3">
      <c r="I35345" s="101"/>
    </row>
    <row r="35346" spans="9:9" x14ac:dyDescent="0.3">
      <c r="I35346" s="101"/>
    </row>
    <row r="35347" spans="9:9" x14ac:dyDescent="0.3">
      <c r="I35347" s="101"/>
    </row>
    <row r="35348" spans="9:9" x14ac:dyDescent="0.3">
      <c r="I35348" s="101"/>
    </row>
    <row r="35349" spans="9:9" x14ac:dyDescent="0.3">
      <c r="I35349" s="101"/>
    </row>
    <row r="35350" spans="9:9" x14ac:dyDescent="0.3">
      <c r="I35350" s="101"/>
    </row>
    <row r="35351" spans="9:9" x14ac:dyDescent="0.3">
      <c r="I35351" s="101"/>
    </row>
    <row r="35352" spans="9:9" x14ac:dyDescent="0.3">
      <c r="I35352" s="101"/>
    </row>
    <row r="35353" spans="9:9" x14ac:dyDescent="0.3">
      <c r="I35353" s="101"/>
    </row>
    <row r="35354" spans="9:9" x14ac:dyDescent="0.3">
      <c r="I35354" s="101"/>
    </row>
    <row r="35355" spans="9:9" x14ac:dyDescent="0.3">
      <c r="I35355" s="101"/>
    </row>
    <row r="35356" spans="9:9" x14ac:dyDescent="0.3">
      <c r="I35356" s="101"/>
    </row>
    <row r="35357" spans="9:9" x14ac:dyDescent="0.3">
      <c r="I35357" s="101"/>
    </row>
    <row r="35358" spans="9:9" x14ac:dyDescent="0.3">
      <c r="I35358" s="101"/>
    </row>
    <row r="35359" spans="9:9" x14ac:dyDescent="0.3">
      <c r="I35359" s="101"/>
    </row>
    <row r="35360" spans="9:9" x14ac:dyDescent="0.3">
      <c r="I35360" s="101"/>
    </row>
    <row r="35361" spans="9:9" x14ac:dyDescent="0.3">
      <c r="I35361" s="101"/>
    </row>
    <row r="35362" spans="9:9" x14ac:dyDescent="0.3">
      <c r="I35362" s="101"/>
    </row>
    <row r="35363" spans="9:9" x14ac:dyDescent="0.3">
      <c r="I35363" s="101"/>
    </row>
    <row r="35364" spans="9:9" x14ac:dyDescent="0.3">
      <c r="I35364" s="101"/>
    </row>
    <row r="35365" spans="9:9" x14ac:dyDescent="0.3">
      <c r="I35365" s="101"/>
    </row>
    <row r="35366" spans="9:9" x14ac:dyDescent="0.3">
      <c r="I35366" s="101"/>
    </row>
    <row r="35367" spans="9:9" x14ac:dyDescent="0.3">
      <c r="I35367" s="101"/>
    </row>
    <row r="35368" spans="9:9" x14ac:dyDescent="0.3">
      <c r="I35368" s="101"/>
    </row>
    <row r="35369" spans="9:9" x14ac:dyDescent="0.3">
      <c r="I35369" s="101"/>
    </row>
    <row r="35370" spans="9:9" x14ac:dyDescent="0.3">
      <c r="I35370" s="101"/>
    </row>
    <row r="35371" spans="9:9" x14ac:dyDescent="0.3">
      <c r="I35371" s="101"/>
    </row>
    <row r="35372" spans="9:9" x14ac:dyDescent="0.3">
      <c r="I35372" s="101"/>
    </row>
    <row r="35373" spans="9:9" x14ac:dyDescent="0.3">
      <c r="I35373" s="101"/>
    </row>
    <row r="35374" spans="9:9" x14ac:dyDescent="0.3">
      <c r="I35374" s="101"/>
    </row>
    <row r="35375" spans="9:9" x14ac:dyDescent="0.3">
      <c r="I35375" s="101"/>
    </row>
    <row r="35376" spans="9:9" x14ac:dyDescent="0.3">
      <c r="I35376" s="101"/>
    </row>
    <row r="35377" spans="9:9" x14ac:dyDescent="0.3">
      <c r="I35377" s="101"/>
    </row>
    <row r="35378" spans="9:9" x14ac:dyDescent="0.3">
      <c r="I35378" s="101"/>
    </row>
    <row r="35379" spans="9:9" x14ac:dyDescent="0.3">
      <c r="I35379" s="101"/>
    </row>
    <row r="35380" spans="9:9" x14ac:dyDescent="0.3">
      <c r="I35380" s="101"/>
    </row>
    <row r="35381" spans="9:9" x14ac:dyDescent="0.3">
      <c r="I35381" s="101"/>
    </row>
    <row r="35382" spans="9:9" x14ac:dyDescent="0.3">
      <c r="I35382" s="101"/>
    </row>
    <row r="35383" spans="9:9" x14ac:dyDescent="0.3">
      <c r="I35383" s="101"/>
    </row>
    <row r="35384" spans="9:9" x14ac:dyDescent="0.3">
      <c r="I35384" s="101"/>
    </row>
    <row r="35385" spans="9:9" x14ac:dyDescent="0.3">
      <c r="I35385" s="101"/>
    </row>
    <row r="35386" spans="9:9" x14ac:dyDescent="0.3">
      <c r="I35386" s="101"/>
    </row>
    <row r="35387" spans="9:9" x14ac:dyDescent="0.3">
      <c r="I35387" s="101"/>
    </row>
    <row r="35388" spans="9:9" x14ac:dyDescent="0.3">
      <c r="I35388" s="101"/>
    </row>
    <row r="35389" spans="9:9" x14ac:dyDescent="0.3">
      <c r="I35389" s="101"/>
    </row>
    <row r="35390" spans="9:9" x14ac:dyDescent="0.3">
      <c r="I35390" s="101"/>
    </row>
    <row r="35391" spans="9:9" x14ac:dyDescent="0.3">
      <c r="I35391" s="101"/>
    </row>
    <row r="35392" spans="9:9" x14ac:dyDescent="0.3">
      <c r="I35392" s="101"/>
    </row>
    <row r="35393" spans="9:9" x14ac:dyDescent="0.3">
      <c r="I35393" s="101"/>
    </row>
    <row r="35394" spans="9:9" x14ac:dyDescent="0.3">
      <c r="I35394" s="101"/>
    </row>
    <row r="35395" spans="9:9" x14ac:dyDescent="0.3">
      <c r="I35395" s="101"/>
    </row>
    <row r="35396" spans="9:9" x14ac:dyDescent="0.3">
      <c r="I35396" s="101"/>
    </row>
    <row r="35397" spans="9:9" x14ac:dyDescent="0.3">
      <c r="I35397" s="101"/>
    </row>
    <row r="35398" spans="9:9" x14ac:dyDescent="0.3">
      <c r="I35398" s="101"/>
    </row>
    <row r="35399" spans="9:9" x14ac:dyDescent="0.3">
      <c r="I35399" s="101"/>
    </row>
    <row r="35400" spans="9:9" x14ac:dyDescent="0.3">
      <c r="I35400" s="101"/>
    </row>
    <row r="35401" spans="9:9" x14ac:dyDescent="0.3">
      <c r="I35401" s="101"/>
    </row>
    <row r="35402" spans="9:9" x14ac:dyDescent="0.3">
      <c r="I35402" s="101"/>
    </row>
    <row r="35403" spans="9:9" x14ac:dyDescent="0.3">
      <c r="I35403" s="101"/>
    </row>
    <row r="35404" spans="9:9" x14ac:dyDescent="0.3">
      <c r="I35404" s="101"/>
    </row>
    <row r="35405" spans="9:9" x14ac:dyDescent="0.3">
      <c r="I35405" s="101"/>
    </row>
    <row r="35406" spans="9:9" x14ac:dyDescent="0.3">
      <c r="I35406" s="101"/>
    </row>
    <row r="35407" spans="9:9" x14ac:dyDescent="0.3">
      <c r="I35407" s="101"/>
    </row>
    <row r="35408" spans="9:9" x14ac:dyDescent="0.3">
      <c r="I35408" s="101"/>
    </row>
    <row r="35409" spans="9:9" x14ac:dyDescent="0.3">
      <c r="I35409" s="101"/>
    </row>
    <row r="35410" spans="9:9" x14ac:dyDescent="0.3">
      <c r="I35410" s="101"/>
    </row>
    <row r="35411" spans="9:9" x14ac:dyDescent="0.3">
      <c r="I35411" s="101"/>
    </row>
    <row r="35412" spans="9:9" x14ac:dyDescent="0.3">
      <c r="I35412" s="101"/>
    </row>
    <row r="35413" spans="9:9" x14ac:dyDescent="0.3">
      <c r="I35413" s="101"/>
    </row>
    <row r="35414" spans="9:9" x14ac:dyDescent="0.3">
      <c r="I35414" s="101"/>
    </row>
    <row r="35415" spans="9:9" x14ac:dyDescent="0.3">
      <c r="I35415" s="101"/>
    </row>
    <row r="35416" spans="9:9" x14ac:dyDescent="0.3">
      <c r="I35416" s="101"/>
    </row>
    <row r="35417" spans="9:9" x14ac:dyDescent="0.3">
      <c r="I35417" s="101"/>
    </row>
    <row r="35418" spans="9:9" x14ac:dyDescent="0.3">
      <c r="I35418" s="101"/>
    </row>
    <row r="35419" spans="9:9" x14ac:dyDescent="0.3">
      <c r="I35419" s="101"/>
    </row>
    <row r="35420" spans="9:9" x14ac:dyDescent="0.3">
      <c r="I35420" s="101"/>
    </row>
    <row r="35421" spans="9:9" x14ac:dyDescent="0.3">
      <c r="I35421" s="101"/>
    </row>
    <row r="35422" spans="9:9" x14ac:dyDescent="0.3">
      <c r="I35422" s="101"/>
    </row>
    <row r="35423" spans="9:9" x14ac:dyDescent="0.3">
      <c r="I35423" s="101"/>
    </row>
    <row r="35424" spans="9:9" x14ac:dyDescent="0.3">
      <c r="I35424" s="101"/>
    </row>
    <row r="35425" spans="9:9" x14ac:dyDescent="0.3">
      <c r="I35425" s="101"/>
    </row>
    <row r="35426" spans="9:9" x14ac:dyDescent="0.3">
      <c r="I35426" s="101"/>
    </row>
    <row r="35427" spans="9:9" x14ac:dyDescent="0.3">
      <c r="I35427" s="101"/>
    </row>
    <row r="35428" spans="9:9" x14ac:dyDescent="0.3">
      <c r="I35428" s="101"/>
    </row>
    <row r="35429" spans="9:9" x14ac:dyDescent="0.3">
      <c r="I35429" s="101"/>
    </row>
    <row r="35430" spans="9:9" x14ac:dyDescent="0.3">
      <c r="I35430" s="101"/>
    </row>
    <row r="35431" spans="9:9" x14ac:dyDescent="0.3">
      <c r="I35431" s="101"/>
    </row>
    <row r="35432" spans="9:9" x14ac:dyDescent="0.3">
      <c r="I35432" s="101"/>
    </row>
    <row r="35433" spans="9:9" x14ac:dyDescent="0.3">
      <c r="I35433" s="101"/>
    </row>
    <row r="35434" spans="9:9" x14ac:dyDescent="0.3">
      <c r="I35434" s="101"/>
    </row>
    <row r="35435" spans="9:9" x14ac:dyDescent="0.3">
      <c r="I35435" s="101"/>
    </row>
    <row r="35436" spans="9:9" x14ac:dyDescent="0.3">
      <c r="I35436" s="101"/>
    </row>
    <row r="35437" spans="9:9" x14ac:dyDescent="0.3">
      <c r="I35437" s="101"/>
    </row>
    <row r="35438" spans="9:9" x14ac:dyDescent="0.3">
      <c r="I35438" s="101"/>
    </row>
    <row r="35439" spans="9:9" x14ac:dyDescent="0.3">
      <c r="I35439" s="101"/>
    </row>
    <row r="35440" spans="9:9" x14ac:dyDescent="0.3">
      <c r="I35440" s="101"/>
    </row>
    <row r="35441" spans="9:9" x14ac:dyDescent="0.3">
      <c r="I35441" s="101"/>
    </row>
    <row r="35442" spans="9:9" x14ac:dyDescent="0.3">
      <c r="I35442" s="101"/>
    </row>
    <row r="35443" spans="9:9" x14ac:dyDescent="0.3">
      <c r="I35443" s="101"/>
    </row>
    <row r="35444" spans="9:9" x14ac:dyDescent="0.3">
      <c r="I35444" s="101"/>
    </row>
    <row r="35445" spans="9:9" x14ac:dyDescent="0.3">
      <c r="I35445" s="101"/>
    </row>
    <row r="35446" spans="9:9" x14ac:dyDescent="0.3">
      <c r="I35446" s="101"/>
    </row>
    <row r="35447" spans="9:9" x14ac:dyDescent="0.3">
      <c r="I35447" s="101"/>
    </row>
    <row r="35448" spans="9:9" x14ac:dyDescent="0.3">
      <c r="I35448" s="101"/>
    </row>
    <row r="35449" spans="9:9" x14ac:dyDescent="0.3">
      <c r="I35449" s="101"/>
    </row>
    <row r="35450" spans="9:9" x14ac:dyDescent="0.3">
      <c r="I35450" s="101"/>
    </row>
    <row r="35451" spans="9:9" x14ac:dyDescent="0.3">
      <c r="I35451" s="101"/>
    </row>
    <row r="35452" spans="9:9" x14ac:dyDescent="0.3">
      <c r="I35452" s="101"/>
    </row>
    <row r="35453" spans="9:9" x14ac:dyDescent="0.3">
      <c r="I35453" s="101"/>
    </row>
    <row r="35454" spans="9:9" x14ac:dyDescent="0.3">
      <c r="I35454" s="101"/>
    </row>
    <row r="35455" spans="9:9" x14ac:dyDescent="0.3">
      <c r="I35455" s="101"/>
    </row>
    <row r="35456" spans="9:9" x14ac:dyDescent="0.3">
      <c r="I35456" s="101"/>
    </row>
    <row r="35457" spans="9:9" x14ac:dyDescent="0.3">
      <c r="I35457" s="101"/>
    </row>
    <row r="35458" spans="9:9" x14ac:dyDescent="0.3">
      <c r="I35458" s="101"/>
    </row>
    <row r="35459" spans="9:9" x14ac:dyDescent="0.3">
      <c r="I35459" s="101"/>
    </row>
    <row r="35460" spans="9:9" x14ac:dyDescent="0.3">
      <c r="I35460" s="101"/>
    </row>
    <row r="35461" spans="9:9" x14ac:dyDescent="0.3">
      <c r="I35461" s="101"/>
    </row>
    <row r="35462" spans="9:9" x14ac:dyDescent="0.3">
      <c r="I35462" s="101"/>
    </row>
    <row r="35463" spans="9:9" x14ac:dyDescent="0.3">
      <c r="I35463" s="101"/>
    </row>
    <row r="35464" spans="9:9" x14ac:dyDescent="0.3">
      <c r="I35464" s="101"/>
    </row>
    <row r="35465" spans="9:9" x14ac:dyDescent="0.3">
      <c r="I35465" s="101"/>
    </row>
    <row r="35466" spans="9:9" x14ac:dyDescent="0.3">
      <c r="I35466" s="101"/>
    </row>
    <row r="35467" spans="9:9" x14ac:dyDescent="0.3">
      <c r="I35467" s="101"/>
    </row>
    <row r="35468" spans="9:9" x14ac:dyDescent="0.3">
      <c r="I35468" s="101"/>
    </row>
    <row r="35469" spans="9:9" x14ac:dyDescent="0.3">
      <c r="I35469" s="101"/>
    </row>
    <row r="35470" spans="9:9" x14ac:dyDescent="0.3">
      <c r="I35470" s="101"/>
    </row>
    <row r="35471" spans="9:9" x14ac:dyDescent="0.3">
      <c r="I35471" s="101"/>
    </row>
    <row r="35472" spans="9:9" x14ac:dyDescent="0.3">
      <c r="I35472" s="101"/>
    </row>
    <row r="35473" spans="9:9" x14ac:dyDescent="0.3">
      <c r="I35473" s="101"/>
    </row>
    <row r="35474" spans="9:9" x14ac:dyDescent="0.3">
      <c r="I35474" s="101"/>
    </row>
    <row r="35475" spans="9:9" x14ac:dyDescent="0.3">
      <c r="I35475" s="101"/>
    </row>
    <row r="35476" spans="9:9" x14ac:dyDescent="0.3">
      <c r="I35476" s="101"/>
    </row>
    <row r="35477" spans="9:9" x14ac:dyDescent="0.3">
      <c r="I35477" s="101"/>
    </row>
    <row r="35478" spans="9:9" x14ac:dyDescent="0.3">
      <c r="I35478" s="101"/>
    </row>
    <row r="35479" spans="9:9" x14ac:dyDescent="0.3">
      <c r="I35479" s="101"/>
    </row>
    <row r="35480" spans="9:9" x14ac:dyDescent="0.3">
      <c r="I35480" s="101"/>
    </row>
    <row r="35481" spans="9:9" x14ac:dyDescent="0.3">
      <c r="I35481" s="101"/>
    </row>
    <row r="35482" spans="9:9" x14ac:dyDescent="0.3">
      <c r="I35482" s="101"/>
    </row>
    <row r="35483" spans="9:9" x14ac:dyDescent="0.3">
      <c r="I35483" s="101"/>
    </row>
    <row r="35484" spans="9:9" x14ac:dyDescent="0.3">
      <c r="I35484" s="101"/>
    </row>
    <row r="35485" spans="9:9" x14ac:dyDescent="0.3">
      <c r="I35485" s="101"/>
    </row>
    <row r="35486" spans="9:9" x14ac:dyDescent="0.3">
      <c r="I35486" s="101"/>
    </row>
    <row r="35487" spans="9:9" x14ac:dyDescent="0.3">
      <c r="I35487" s="101"/>
    </row>
    <row r="35488" spans="9:9" x14ac:dyDescent="0.3">
      <c r="I35488" s="101"/>
    </row>
    <row r="35489" spans="9:9" x14ac:dyDescent="0.3">
      <c r="I35489" s="101"/>
    </row>
    <row r="35490" spans="9:9" x14ac:dyDescent="0.3">
      <c r="I35490" s="101"/>
    </row>
    <row r="35491" spans="9:9" x14ac:dyDescent="0.3">
      <c r="I35491" s="101"/>
    </row>
    <row r="35492" spans="9:9" x14ac:dyDescent="0.3">
      <c r="I35492" s="101"/>
    </row>
    <row r="35493" spans="9:9" x14ac:dyDescent="0.3">
      <c r="I35493" s="101"/>
    </row>
    <row r="35494" spans="9:9" x14ac:dyDescent="0.3">
      <c r="I35494" s="101"/>
    </row>
    <row r="35495" spans="9:9" x14ac:dyDescent="0.3">
      <c r="I35495" s="101"/>
    </row>
    <row r="35496" spans="9:9" x14ac:dyDescent="0.3">
      <c r="I35496" s="101"/>
    </row>
    <row r="35497" spans="9:9" x14ac:dyDescent="0.3">
      <c r="I35497" s="101"/>
    </row>
    <row r="35498" spans="9:9" x14ac:dyDescent="0.3">
      <c r="I35498" s="101"/>
    </row>
    <row r="35499" spans="9:9" x14ac:dyDescent="0.3">
      <c r="I35499" s="101"/>
    </row>
    <row r="35500" spans="9:9" x14ac:dyDescent="0.3">
      <c r="I35500" s="101"/>
    </row>
    <row r="35501" spans="9:9" x14ac:dyDescent="0.3">
      <c r="I35501" s="101"/>
    </row>
    <row r="35502" spans="9:9" x14ac:dyDescent="0.3">
      <c r="I35502" s="101"/>
    </row>
    <row r="35503" spans="9:9" x14ac:dyDescent="0.3">
      <c r="I35503" s="101"/>
    </row>
    <row r="35504" spans="9:9" x14ac:dyDescent="0.3">
      <c r="I35504" s="101"/>
    </row>
    <row r="35505" spans="9:9" x14ac:dyDescent="0.3">
      <c r="I35505" s="101"/>
    </row>
    <row r="35506" spans="9:9" x14ac:dyDescent="0.3">
      <c r="I35506" s="101"/>
    </row>
    <row r="35507" spans="9:9" x14ac:dyDescent="0.3">
      <c r="I35507" s="101"/>
    </row>
    <row r="35508" spans="9:9" x14ac:dyDescent="0.3">
      <c r="I35508" s="101"/>
    </row>
    <row r="35509" spans="9:9" x14ac:dyDescent="0.3">
      <c r="I35509" s="101"/>
    </row>
    <row r="35510" spans="9:9" x14ac:dyDescent="0.3">
      <c r="I35510" s="101"/>
    </row>
    <row r="35511" spans="9:9" x14ac:dyDescent="0.3">
      <c r="I35511" s="101"/>
    </row>
    <row r="35512" spans="9:9" x14ac:dyDescent="0.3">
      <c r="I35512" s="101"/>
    </row>
    <row r="35513" spans="9:9" x14ac:dyDescent="0.3">
      <c r="I35513" s="101"/>
    </row>
    <row r="35514" spans="9:9" x14ac:dyDescent="0.3">
      <c r="I35514" s="101"/>
    </row>
    <row r="35515" spans="9:9" x14ac:dyDescent="0.3">
      <c r="I35515" s="101"/>
    </row>
    <row r="35516" spans="9:9" x14ac:dyDescent="0.3">
      <c r="I35516" s="101"/>
    </row>
    <row r="35517" spans="9:9" x14ac:dyDescent="0.3">
      <c r="I35517" s="101"/>
    </row>
    <row r="35518" spans="9:9" x14ac:dyDescent="0.3">
      <c r="I35518" s="101"/>
    </row>
    <row r="35519" spans="9:9" x14ac:dyDescent="0.3">
      <c r="I35519" s="101"/>
    </row>
    <row r="35520" spans="9:9" x14ac:dyDescent="0.3">
      <c r="I35520" s="101"/>
    </row>
    <row r="35521" spans="9:9" x14ac:dyDescent="0.3">
      <c r="I35521" s="101"/>
    </row>
    <row r="35522" spans="9:9" x14ac:dyDescent="0.3">
      <c r="I35522" s="101"/>
    </row>
    <row r="35523" spans="9:9" x14ac:dyDescent="0.3">
      <c r="I35523" s="101"/>
    </row>
    <row r="35524" spans="9:9" x14ac:dyDescent="0.3">
      <c r="I35524" s="101"/>
    </row>
    <row r="35525" spans="9:9" x14ac:dyDescent="0.3">
      <c r="I35525" s="101"/>
    </row>
    <row r="35526" spans="9:9" x14ac:dyDescent="0.3">
      <c r="I35526" s="101"/>
    </row>
    <row r="35527" spans="9:9" x14ac:dyDescent="0.3">
      <c r="I35527" s="101"/>
    </row>
    <row r="35528" spans="9:9" x14ac:dyDescent="0.3">
      <c r="I35528" s="101"/>
    </row>
    <row r="35529" spans="9:9" x14ac:dyDescent="0.3">
      <c r="I35529" s="101"/>
    </row>
    <row r="35530" spans="9:9" x14ac:dyDescent="0.3">
      <c r="I35530" s="101"/>
    </row>
    <row r="35531" spans="9:9" x14ac:dyDescent="0.3">
      <c r="I35531" s="101"/>
    </row>
    <row r="35532" spans="9:9" x14ac:dyDescent="0.3">
      <c r="I35532" s="101"/>
    </row>
    <row r="35533" spans="9:9" x14ac:dyDescent="0.3">
      <c r="I35533" s="101"/>
    </row>
    <row r="35534" spans="9:9" x14ac:dyDescent="0.3">
      <c r="I35534" s="101"/>
    </row>
    <row r="35535" spans="9:9" x14ac:dyDescent="0.3">
      <c r="I35535" s="101"/>
    </row>
    <row r="35536" spans="9:9" x14ac:dyDescent="0.3">
      <c r="I35536" s="101"/>
    </row>
    <row r="35537" spans="9:9" x14ac:dyDescent="0.3">
      <c r="I35537" s="101"/>
    </row>
    <row r="35538" spans="9:9" x14ac:dyDescent="0.3">
      <c r="I35538" s="101"/>
    </row>
    <row r="35539" spans="9:9" x14ac:dyDescent="0.3">
      <c r="I35539" s="101"/>
    </row>
    <row r="35540" spans="9:9" x14ac:dyDescent="0.3">
      <c r="I35540" s="101"/>
    </row>
    <row r="35541" spans="9:9" x14ac:dyDescent="0.3">
      <c r="I35541" s="101"/>
    </row>
    <row r="35542" spans="9:9" x14ac:dyDescent="0.3">
      <c r="I35542" s="101"/>
    </row>
    <row r="35543" spans="9:9" x14ac:dyDescent="0.3">
      <c r="I35543" s="101"/>
    </row>
    <row r="35544" spans="9:9" x14ac:dyDescent="0.3">
      <c r="I35544" s="101"/>
    </row>
    <row r="35545" spans="9:9" x14ac:dyDescent="0.3">
      <c r="I35545" s="101"/>
    </row>
    <row r="35546" spans="9:9" x14ac:dyDescent="0.3">
      <c r="I35546" s="101"/>
    </row>
    <row r="35547" spans="9:9" x14ac:dyDescent="0.3">
      <c r="I35547" s="101"/>
    </row>
    <row r="35548" spans="9:9" x14ac:dyDescent="0.3">
      <c r="I35548" s="101"/>
    </row>
    <row r="35549" spans="9:9" x14ac:dyDescent="0.3">
      <c r="I35549" s="101"/>
    </row>
    <row r="35550" spans="9:9" x14ac:dyDescent="0.3">
      <c r="I35550" s="101"/>
    </row>
    <row r="35551" spans="9:9" x14ac:dyDescent="0.3">
      <c r="I35551" s="101"/>
    </row>
    <row r="35552" spans="9:9" x14ac:dyDescent="0.3">
      <c r="I35552" s="101"/>
    </row>
    <row r="35553" spans="9:9" x14ac:dyDescent="0.3">
      <c r="I35553" s="101"/>
    </row>
    <row r="35554" spans="9:9" x14ac:dyDescent="0.3">
      <c r="I35554" s="101"/>
    </row>
    <row r="35555" spans="9:9" x14ac:dyDescent="0.3">
      <c r="I35555" s="101"/>
    </row>
    <row r="35556" spans="9:9" x14ac:dyDescent="0.3">
      <c r="I35556" s="101"/>
    </row>
    <row r="35557" spans="9:9" x14ac:dyDescent="0.3">
      <c r="I35557" s="101"/>
    </row>
    <row r="35558" spans="9:9" x14ac:dyDescent="0.3">
      <c r="I35558" s="101"/>
    </row>
    <row r="35559" spans="9:9" x14ac:dyDescent="0.3">
      <c r="I35559" s="101"/>
    </row>
    <row r="35560" spans="9:9" x14ac:dyDescent="0.3">
      <c r="I35560" s="101"/>
    </row>
    <row r="35561" spans="9:9" x14ac:dyDescent="0.3">
      <c r="I35561" s="101"/>
    </row>
    <row r="35562" spans="9:9" x14ac:dyDescent="0.3">
      <c r="I35562" s="101"/>
    </row>
    <row r="35563" spans="9:9" x14ac:dyDescent="0.3">
      <c r="I35563" s="101"/>
    </row>
    <row r="35564" spans="9:9" x14ac:dyDescent="0.3">
      <c r="I35564" s="101"/>
    </row>
    <row r="35565" spans="9:9" x14ac:dyDescent="0.3">
      <c r="I35565" s="101"/>
    </row>
    <row r="35566" spans="9:9" x14ac:dyDescent="0.3">
      <c r="I35566" s="101"/>
    </row>
    <row r="35567" spans="9:9" x14ac:dyDescent="0.3">
      <c r="I35567" s="101"/>
    </row>
    <row r="35568" spans="9:9" x14ac:dyDescent="0.3">
      <c r="I35568" s="101"/>
    </row>
    <row r="35569" spans="9:9" x14ac:dyDescent="0.3">
      <c r="I35569" s="101"/>
    </row>
    <row r="35570" spans="9:9" x14ac:dyDescent="0.3">
      <c r="I35570" s="101"/>
    </row>
    <row r="35571" spans="9:9" x14ac:dyDescent="0.3">
      <c r="I35571" s="101"/>
    </row>
    <row r="35572" spans="9:9" x14ac:dyDescent="0.3">
      <c r="I35572" s="101"/>
    </row>
    <row r="35573" spans="9:9" x14ac:dyDescent="0.3">
      <c r="I35573" s="101"/>
    </row>
    <row r="35574" spans="9:9" x14ac:dyDescent="0.3">
      <c r="I35574" s="101"/>
    </row>
    <row r="35575" spans="9:9" x14ac:dyDescent="0.3">
      <c r="I35575" s="101"/>
    </row>
    <row r="35576" spans="9:9" x14ac:dyDescent="0.3">
      <c r="I35576" s="101"/>
    </row>
    <row r="35577" spans="9:9" x14ac:dyDescent="0.3">
      <c r="I35577" s="101"/>
    </row>
    <row r="35578" spans="9:9" x14ac:dyDescent="0.3">
      <c r="I35578" s="101"/>
    </row>
    <row r="35579" spans="9:9" x14ac:dyDescent="0.3">
      <c r="I35579" s="101"/>
    </row>
    <row r="35580" spans="9:9" x14ac:dyDescent="0.3">
      <c r="I35580" s="101"/>
    </row>
    <row r="35581" spans="9:9" x14ac:dyDescent="0.3">
      <c r="I35581" s="101"/>
    </row>
    <row r="35582" spans="9:9" x14ac:dyDescent="0.3">
      <c r="I35582" s="101"/>
    </row>
    <row r="35583" spans="9:9" x14ac:dyDescent="0.3">
      <c r="I35583" s="101"/>
    </row>
    <row r="35584" spans="9:9" x14ac:dyDescent="0.3">
      <c r="I35584" s="101"/>
    </row>
    <row r="35585" spans="9:9" x14ac:dyDescent="0.3">
      <c r="I35585" s="101"/>
    </row>
    <row r="35586" spans="9:9" x14ac:dyDescent="0.3">
      <c r="I35586" s="101"/>
    </row>
    <row r="35587" spans="9:9" x14ac:dyDescent="0.3">
      <c r="I35587" s="101"/>
    </row>
    <row r="35588" spans="9:9" x14ac:dyDescent="0.3">
      <c r="I35588" s="101"/>
    </row>
    <row r="35589" spans="9:9" x14ac:dyDescent="0.3">
      <c r="I35589" s="101"/>
    </row>
    <row r="35590" spans="9:9" x14ac:dyDescent="0.3">
      <c r="I35590" s="101"/>
    </row>
    <row r="35591" spans="9:9" x14ac:dyDescent="0.3">
      <c r="I35591" s="101"/>
    </row>
    <row r="35592" spans="9:9" x14ac:dyDescent="0.3">
      <c r="I35592" s="101"/>
    </row>
    <row r="35593" spans="9:9" x14ac:dyDescent="0.3">
      <c r="I35593" s="101"/>
    </row>
    <row r="35594" spans="9:9" x14ac:dyDescent="0.3">
      <c r="I35594" s="101"/>
    </row>
    <row r="35595" spans="9:9" x14ac:dyDescent="0.3">
      <c r="I35595" s="101"/>
    </row>
    <row r="35596" spans="9:9" x14ac:dyDescent="0.3">
      <c r="I35596" s="101"/>
    </row>
    <row r="35597" spans="9:9" x14ac:dyDescent="0.3">
      <c r="I35597" s="101"/>
    </row>
    <row r="35598" spans="9:9" x14ac:dyDescent="0.3">
      <c r="I35598" s="101"/>
    </row>
    <row r="35599" spans="9:9" x14ac:dyDescent="0.3">
      <c r="I35599" s="101"/>
    </row>
    <row r="35600" spans="9:9" x14ac:dyDescent="0.3">
      <c r="I35600" s="101"/>
    </row>
    <row r="35601" spans="9:9" x14ac:dyDescent="0.3">
      <c r="I35601" s="101"/>
    </row>
    <row r="35602" spans="9:9" x14ac:dyDescent="0.3">
      <c r="I35602" s="101"/>
    </row>
    <row r="35603" spans="9:9" x14ac:dyDescent="0.3">
      <c r="I35603" s="101"/>
    </row>
    <row r="35604" spans="9:9" x14ac:dyDescent="0.3">
      <c r="I35604" s="101"/>
    </row>
    <row r="35605" spans="9:9" x14ac:dyDescent="0.3">
      <c r="I35605" s="101"/>
    </row>
    <row r="35606" spans="9:9" x14ac:dyDescent="0.3">
      <c r="I35606" s="101"/>
    </row>
    <row r="35607" spans="9:9" x14ac:dyDescent="0.3">
      <c r="I35607" s="101"/>
    </row>
    <row r="35608" spans="9:9" x14ac:dyDescent="0.3">
      <c r="I35608" s="101"/>
    </row>
    <row r="35609" spans="9:9" x14ac:dyDescent="0.3">
      <c r="I35609" s="101"/>
    </row>
    <row r="35610" spans="9:9" x14ac:dyDescent="0.3">
      <c r="I35610" s="101"/>
    </row>
    <row r="35611" spans="9:9" x14ac:dyDescent="0.3">
      <c r="I35611" s="101"/>
    </row>
    <row r="35612" spans="9:9" x14ac:dyDescent="0.3">
      <c r="I35612" s="101"/>
    </row>
    <row r="35613" spans="9:9" x14ac:dyDescent="0.3">
      <c r="I35613" s="101"/>
    </row>
    <row r="35614" spans="9:9" x14ac:dyDescent="0.3">
      <c r="I35614" s="101"/>
    </row>
    <row r="35615" spans="9:9" x14ac:dyDescent="0.3">
      <c r="I35615" s="101"/>
    </row>
    <row r="35616" spans="9:9" x14ac:dyDescent="0.3">
      <c r="I35616" s="101"/>
    </row>
    <row r="35617" spans="9:9" x14ac:dyDescent="0.3">
      <c r="I35617" s="101"/>
    </row>
    <row r="35618" spans="9:9" x14ac:dyDescent="0.3">
      <c r="I35618" s="101"/>
    </row>
    <row r="35619" spans="9:9" x14ac:dyDescent="0.3">
      <c r="I35619" s="101"/>
    </row>
    <row r="35620" spans="9:9" x14ac:dyDescent="0.3">
      <c r="I35620" s="101"/>
    </row>
    <row r="35621" spans="9:9" x14ac:dyDescent="0.3">
      <c r="I35621" s="101"/>
    </row>
    <row r="35622" spans="9:9" x14ac:dyDescent="0.3">
      <c r="I35622" s="101"/>
    </row>
    <row r="35623" spans="9:9" x14ac:dyDescent="0.3">
      <c r="I35623" s="101"/>
    </row>
    <row r="35624" spans="9:9" x14ac:dyDescent="0.3">
      <c r="I35624" s="101"/>
    </row>
    <row r="35625" spans="9:9" x14ac:dyDescent="0.3">
      <c r="I35625" s="101"/>
    </row>
    <row r="35626" spans="9:9" x14ac:dyDescent="0.3">
      <c r="I35626" s="101"/>
    </row>
    <row r="35627" spans="9:9" x14ac:dyDescent="0.3">
      <c r="I35627" s="101"/>
    </row>
    <row r="35628" spans="9:9" x14ac:dyDescent="0.3">
      <c r="I35628" s="101"/>
    </row>
    <row r="35629" spans="9:9" x14ac:dyDescent="0.3">
      <c r="I35629" s="101"/>
    </row>
    <row r="35630" spans="9:9" x14ac:dyDescent="0.3">
      <c r="I35630" s="101"/>
    </row>
    <row r="35631" spans="9:9" x14ac:dyDescent="0.3">
      <c r="I35631" s="101"/>
    </row>
    <row r="35632" spans="9:9" x14ac:dyDescent="0.3">
      <c r="I35632" s="101"/>
    </row>
    <row r="35633" spans="9:9" x14ac:dyDescent="0.3">
      <c r="I35633" s="101"/>
    </row>
    <row r="35634" spans="9:9" x14ac:dyDescent="0.3">
      <c r="I35634" s="101"/>
    </row>
    <row r="35635" spans="9:9" x14ac:dyDescent="0.3">
      <c r="I35635" s="101"/>
    </row>
    <row r="35636" spans="9:9" x14ac:dyDescent="0.3">
      <c r="I35636" s="101"/>
    </row>
    <row r="35637" spans="9:9" x14ac:dyDescent="0.3">
      <c r="I35637" s="101"/>
    </row>
    <row r="35638" spans="9:9" x14ac:dyDescent="0.3">
      <c r="I35638" s="101"/>
    </row>
    <row r="35639" spans="9:9" x14ac:dyDescent="0.3">
      <c r="I35639" s="101"/>
    </row>
    <row r="35640" spans="9:9" x14ac:dyDescent="0.3">
      <c r="I35640" s="101"/>
    </row>
    <row r="35641" spans="9:9" x14ac:dyDescent="0.3">
      <c r="I35641" s="101"/>
    </row>
    <row r="35642" spans="9:9" x14ac:dyDescent="0.3">
      <c r="I35642" s="101"/>
    </row>
    <row r="35643" spans="9:9" x14ac:dyDescent="0.3">
      <c r="I35643" s="101"/>
    </row>
    <row r="35644" spans="9:9" x14ac:dyDescent="0.3">
      <c r="I35644" s="101"/>
    </row>
    <row r="35645" spans="9:9" x14ac:dyDescent="0.3">
      <c r="I35645" s="101"/>
    </row>
    <row r="35646" spans="9:9" x14ac:dyDescent="0.3">
      <c r="I35646" s="101"/>
    </row>
    <row r="35647" spans="9:9" x14ac:dyDescent="0.3">
      <c r="I35647" s="101"/>
    </row>
    <row r="35648" spans="9:9" x14ac:dyDescent="0.3">
      <c r="I35648" s="101"/>
    </row>
    <row r="35649" spans="9:9" x14ac:dyDescent="0.3">
      <c r="I35649" s="101"/>
    </row>
    <row r="35650" spans="9:9" x14ac:dyDescent="0.3">
      <c r="I35650" s="101"/>
    </row>
    <row r="35651" spans="9:9" x14ac:dyDescent="0.3">
      <c r="I35651" s="101"/>
    </row>
    <row r="35652" spans="9:9" x14ac:dyDescent="0.3">
      <c r="I35652" s="101"/>
    </row>
    <row r="35653" spans="9:9" x14ac:dyDescent="0.3">
      <c r="I35653" s="101"/>
    </row>
    <row r="35654" spans="9:9" x14ac:dyDescent="0.3">
      <c r="I35654" s="101"/>
    </row>
    <row r="35655" spans="9:9" x14ac:dyDescent="0.3">
      <c r="I35655" s="101"/>
    </row>
    <row r="35656" spans="9:9" x14ac:dyDescent="0.3">
      <c r="I35656" s="101"/>
    </row>
    <row r="35657" spans="9:9" x14ac:dyDescent="0.3">
      <c r="I35657" s="101"/>
    </row>
    <row r="35658" spans="9:9" x14ac:dyDescent="0.3">
      <c r="I35658" s="101"/>
    </row>
    <row r="35659" spans="9:9" x14ac:dyDescent="0.3">
      <c r="I35659" s="101"/>
    </row>
    <row r="35660" spans="9:9" x14ac:dyDescent="0.3">
      <c r="I35660" s="101"/>
    </row>
    <row r="35661" spans="9:9" x14ac:dyDescent="0.3">
      <c r="I35661" s="101"/>
    </row>
    <row r="35662" spans="9:9" x14ac:dyDescent="0.3">
      <c r="I35662" s="101"/>
    </row>
    <row r="35663" spans="9:9" x14ac:dyDescent="0.3">
      <c r="I35663" s="101"/>
    </row>
    <row r="35664" spans="9:9" x14ac:dyDescent="0.3">
      <c r="I35664" s="101"/>
    </row>
    <row r="35665" spans="9:9" x14ac:dyDescent="0.3">
      <c r="I35665" s="101"/>
    </row>
    <row r="35666" spans="9:9" x14ac:dyDescent="0.3">
      <c r="I35666" s="101"/>
    </row>
    <row r="35667" spans="9:9" x14ac:dyDescent="0.3">
      <c r="I35667" s="101"/>
    </row>
    <row r="35668" spans="9:9" x14ac:dyDescent="0.3">
      <c r="I35668" s="101"/>
    </row>
    <row r="35669" spans="9:9" x14ac:dyDescent="0.3">
      <c r="I35669" s="101"/>
    </row>
    <row r="35670" spans="9:9" x14ac:dyDescent="0.3">
      <c r="I35670" s="101"/>
    </row>
    <row r="35671" spans="9:9" x14ac:dyDescent="0.3">
      <c r="I35671" s="101"/>
    </row>
    <row r="35672" spans="9:9" x14ac:dyDescent="0.3">
      <c r="I35672" s="101"/>
    </row>
    <row r="35673" spans="9:9" x14ac:dyDescent="0.3">
      <c r="I35673" s="101"/>
    </row>
    <row r="35674" spans="9:9" x14ac:dyDescent="0.3">
      <c r="I35674" s="101"/>
    </row>
    <row r="35675" spans="9:9" x14ac:dyDescent="0.3">
      <c r="I35675" s="101"/>
    </row>
    <row r="35676" spans="9:9" x14ac:dyDescent="0.3">
      <c r="I35676" s="101"/>
    </row>
    <row r="35677" spans="9:9" x14ac:dyDescent="0.3">
      <c r="I35677" s="101"/>
    </row>
    <row r="35678" spans="9:9" x14ac:dyDescent="0.3">
      <c r="I35678" s="101"/>
    </row>
    <row r="35679" spans="9:9" x14ac:dyDescent="0.3">
      <c r="I35679" s="101"/>
    </row>
    <row r="35680" spans="9:9" x14ac:dyDescent="0.3">
      <c r="I35680" s="101"/>
    </row>
    <row r="35681" spans="9:9" x14ac:dyDescent="0.3">
      <c r="I35681" s="101"/>
    </row>
    <row r="35682" spans="9:9" x14ac:dyDescent="0.3">
      <c r="I35682" s="101"/>
    </row>
    <row r="35683" spans="9:9" x14ac:dyDescent="0.3">
      <c r="I35683" s="101"/>
    </row>
    <row r="35684" spans="9:9" x14ac:dyDescent="0.3">
      <c r="I35684" s="101"/>
    </row>
    <row r="35685" spans="9:9" x14ac:dyDescent="0.3">
      <c r="I35685" s="101"/>
    </row>
    <row r="35686" spans="9:9" x14ac:dyDescent="0.3">
      <c r="I35686" s="101"/>
    </row>
    <row r="35687" spans="9:9" x14ac:dyDescent="0.3">
      <c r="I35687" s="101"/>
    </row>
    <row r="35688" spans="9:9" x14ac:dyDescent="0.3">
      <c r="I35688" s="101"/>
    </row>
    <row r="35689" spans="9:9" x14ac:dyDescent="0.3">
      <c r="I35689" s="101"/>
    </row>
    <row r="35690" spans="9:9" x14ac:dyDescent="0.3">
      <c r="I35690" s="101"/>
    </row>
    <row r="35691" spans="9:9" x14ac:dyDescent="0.3">
      <c r="I35691" s="101"/>
    </row>
    <row r="35692" spans="9:9" x14ac:dyDescent="0.3">
      <c r="I35692" s="101"/>
    </row>
    <row r="35693" spans="9:9" x14ac:dyDescent="0.3">
      <c r="I35693" s="101"/>
    </row>
    <row r="35694" spans="9:9" x14ac:dyDescent="0.3">
      <c r="I35694" s="101"/>
    </row>
    <row r="35695" spans="9:9" x14ac:dyDescent="0.3">
      <c r="I35695" s="101"/>
    </row>
    <row r="35696" spans="9:9" x14ac:dyDescent="0.3">
      <c r="I35696" s="101"/>
    </row>
    <row r="35697" spans="9:9" x14ac:dyDescent="0.3">
      <c r="I35697" s="101"/>
    </row>
    <row r="35698" spans="9:9" x14ac:dyDescent="0.3">
      <c r="I35698" s="101"/>
    </row>
    <row r="35699" spans="9:9" x14ac:dyDescent="0.3">
      <c r="I35699" s="101"/>
    </row>
    <row r="35700" spans="9:9" x14ac:dyDescent="0.3">
      <c r="I35700" s="101"/>
    </row>
    <row r="35701" spans="9:9" x14ac:dyDescent="0.3">
      <c r="I35701" s="101"/>
    </row>
    <row r="35702" spans="9:9" x14ac:dyDescent="0.3">
      <c r="I35702" s="101"/>
    </row>
    <row r="35703" spans="9:9" x14ac:dyDescent="0.3">
      <c r="I35703" s="101"/>
    </row>
    <row r="35704" spans="9:9" x14ac:dyDescent="0.3">
      <c r="I35704" s="101"/>
    </row>
    <row r="35705" spans="9:9" x14ac:dyDescent="0.3">
      <c r="I35705" s="101"/>
    </row>
    <row r="35706" spans="9:9" x14ac:dyDescent="0.3">
      <c r="I35706" s="101"/>
    </row>
    <row r="35707" spans="9:9" x14ac:dyDescent="0.3">
      <c r="I35707" s="101"/>
    </row>
    <row r="35708" spans="9:9" x14ac:dyDescent="0.3">
      <c r="I35708" s="101"/>
    </row>
    <row r="35709" spans="9:9" x14ac:dyDescent="0.3">
      <c r="I35709" s="101"/>
    </row>
    <row r="35710" spans="9:9" x14ac:dyDescent="0.3">
      <c r="I35710" s="101"/>
    </row>
    <row r="35711" spans="9:9" x14ac:dyDescent="0.3">
      <c r="I35711" s="101"/>
    </row>
    <row r="35712" spans="9:9" x14ac:dyDescent="0.3">
      <c r="I35712" s="101"/>
    </row>
    <row r="35713" spans="9:9" x14ac:dyDescent="0.3">
      <c r="I35713" s="101"/>
    </row>
    <row r="35714" spans="9:9" x14ac:dyDescent="0.3">
      <c r="I35714" s="101"/>
    </row>
    <row r="35715" spans="9:9" x14ac:dyDescent="0.3">
      <c r="I35715" s="101"/>
    </row>
    <row r="35716" spans="9:9" x14ac:dyDescent="0.3">
      <c r="I35716" s="101"/>
    </row>
    <row r="35717" spans="9:9" x14ac:dyDescent="0.3">
      <c r="I35717" s="101"/>
    </row>
    <row r="35718" spans="9:9" x14ac:dyDescent="0.3">
      <c r="I35718" s="101"/>
    </row>
    <row r="35719" spans="9:9" x14ac:dyDescent="0.3">
      <c r="I35719" s="101"/>
    </row>
    <row r="35720" spans="9:9" x14ac:dyDescent="0.3">
      <c r="I35720" s="101"/>
    </row>
    <row r="35721" spans="9:9" x14ac:dyDescent="0.3">
      <c r="I35721" s="101"/>
    </row>
    <row r="35722" spans="9:9" x14ac:dyDescent="0.3">
      <c r="I35722" s="101"/>
    </row>
    <row r="35723" spans="9:9" x14ac:dyDescent="0.3">
      <c r="I35723" s="101"/>
    </row>
    <row r="35724" spans="9:9" x14ac:dyDescent="0.3">
      <c r="I35724" s="101"/>
    </row>
    <row r="35725" spans="9:9" x14ac:dyDescent="0.3">
      <c r="I35725" s="101"/>
    </row>
    <row r="35726" spans="9:9" x14ac:dyDescent="0.3">
      <c r="I35726" s="101"/>
    </row>
    <row r="35727" spans="9:9" x14ac:dyDescent="0.3">
      <c r="I35727" s="101"/>
    </row>
    <row r="35728" spans="9:9" x14ac:dyDescent="0.3">
      <c r="I35728" s="101"/>
    </row>
    <row r="35729" spans="9:9" x14ac:dyDescent="0.3">
      <c r="I35729" s="101"/>
    </row>
    <row r="35730" spans="9:9" x14ac:dyDescent="0.3">
      <c r="I35730" s="101"/>
    </row>
    <row r="35731" spans="9:9" x14ac:dyDescent="0.3">
      <c r="I35731" s="101"/>
    </row>
    <row r="35732" spans="9:9" x14ac:dyDescent="0.3">
      <c r="I35732" s="101"/>
    </row>
    <row r="35733" spans="9:9" x14ac:dyDescent="0.3">
      <c r="I35733" s="101"/>
    </row>
    <row r="35734" spans="9:9" x14ac:dyDescent="0.3">
      <c r="I35734" s="101"/>
    </row>
    <row r="35735" spans="9:9" x14ac:dyDescent="0.3">
      <c r="I35735" s="101"/>
    </row>
    <row r="35736" spans="9:9" x14ac:dyDescent="0.3">
      <c r="I35736" s="101"/>
    </row>
    <row r="35737" spans="9:9" x14ac:dyDescent="0.3">
      <c r="I35737" s="101"/>
    </row>
    <row r="35738" spans="9:9" x14ac:dyDescent="0.3">
      <c r="I35738" s="101"/>
    </row>
    <row r="35739" spans="9:9" x14ac:dyDescent="0.3">
      <c r="I35739" s="101"/>
    </row>
    <row r="35740" spans="9:9" x14ac:dyDescent="0.3">
      <c r="I35740" s="101"/>
    </row>
    <row r="35741" spans="9:9" x14ac:dyDescent="0.3">
      <c r="I35741" s="101"/>
    </row>
    <row r="35742" spans="9:9" x14ac:dyDescent="0.3">
      <c r="I35742" s="101"/>
    </row>
    <row r="35743" spans="9:9" x14ac:dyDescent="0.3">
      <c r="I35743" s="101"/>
    </row>
    <row r="35744" spans="9:9" x14ac:dyDescent="0.3">
      <c r="I35744" s="101"/>
    </row>
    <row r="35745" spans="9:9" x14ac:dyDescent="0.3">
      <c r="I35745" s="101"/>
    </row>
    <row r="35746" spans="9:9" x14ac:dyDescent="0.3">
      <c r="I35746" s="101"/>
    </row>
    <row r="35747" spans="9:9" x14ac:dyDescent="0.3">
      <c r="I35747" s="101"/>
    </row>
    <row r="35748" spans="9:9" x14ac:dyDescent="0.3">
      <c r="I35748" s="101"/>
    </row>
    <row r="35749" spans="9:9" x14ac:dyDescent="0.3">
      <c r="I35749" s="101"/>
    </row>
    <row r="35750" spans="9:9" x14ac:dyDescent="0.3">
      <c r="I35750" s="101"/>
    </row>
    <row r="35751" spans="9:9" x14ac:dyDescent="0.3">
      <c r="I35751" s="101"/>
    </row>
    <row r="35752" spans="9:9" x14ac:dyDescent="0.3">
      <c r="I35752" s="101"/>
    </row>
    <row r="35753" spans="9:9" x14ac:dyDescent="0.3">
      <c r="I35753" s="101"/>
    </row>
    <row r="35754" spans="9:9" x14ac:dyDescent="0.3">
      <c r="I35754" s="101"/>
    </row>
    <row r="35755" spans="9:9" x14ac:dyDescent="0.3">
      <c r="I35755" s="101"/>
    </row>
    <row r="35756" spans="9:9" x14ac:dyDescent="0.3">
      <c r="I35756" s="101"/>
    </row>
    <row r="35757" spans="9:9" x14ac:dyDescent="0.3">
      <c r="I35757" s="101"/>
    </row>
    <row r="35758" spans="9:9" x14ac:dyDescent="0.3">
      <c r="I35758" s="101"/>
    </row>
    <row r="35759" spans="9:9" x14ac:dyDescent="0.3">
      <c r="I35759" s="101"/>
    </row>
    <row r="35760" spans="9:9" x14ac:dyDescent="0.3">
      <c r="I35760" s="101"/>
    </row>
    <row r="35761" spans="9:9" x14ac:dyDescent="0.3">
      <c r="I35761" s="101"/>
    </row>
    <row r="35762" spans="9:9" x14ac:dyDescent="0.3">
      <c r="I35762" s="101"/>
    </row>
    <row r="35763" spans="9:9" x14ac:dyDescent="0.3">
      <c r="I35763" s="101"/>
    </row>
    <row r="35764" spans="9:9" x14ac:dyDescent="0.3">
      <c r="I35764" s="101"/>
    </row>
    <row r="35765" spans="9:9" x14ac:dyDescent="0.3">
      <c r="I35765" s="101"/>
    </row>
    <row r="35766" spans="9:9" x14ac:dyDescent="0.3">
      <c r="I35766" s="101"/>
    </row>
    <row r="35767" spans="9:9" x14ac:dyDescent="0.3">
      <c r="I35767" s="101"/>
    </row>
    <row r="35768" spans="9:9" x14ac:dyDescent="0.3">
      <c r="I35768" s="101"/>
    </row>
    <row r="35769" spans="9:9" x14ac:dyDescent="0.3">
      <c r="I35769" s="101"/>
    </row>
    <row r="35770" spans="9:9" x14ac:dyDescent="0.3">
      <c r="I35770" s="101"/>
    </row>
    <row r="35771" spans="9:9" x14ac:dyDescent="0.3">
      <c r="I35771" s="101"/>
    </row>
    <row r="35772" spans="9:9" x14ac:dyDescent="0.3">
      <c r="I35772" s="101"/>
    </row>
    <row r="35773" spans="9:9" x14ac:dyDescent="0.3">
      <c r="I35773" s="101"/>
    </row>
    <row r="35774" spans="9:9" x14ac:dyDescent="0.3">
      <c r="I35774" s="101"/>
    </row>
    <row r="35775" spans="9:9" x14ac:dyDescent="0.3">
      <c r="I35775" s="101"/>
    </row>
    <row r="35776" spans="9:9" x14ac:dyDescent="0.3">
      <c r="I35776" s="101"/>
    </row>
    <row r="35777" spans="9:9" x14ac:dyDescent="0.3">
      <c r="I35777" s="101"/>
    </row>
    <row r="35778" spans="9:9" x14ac:dyDescent="0.3">
      <c r="I35778" s="101"/>
    </row>
    <row r="35779" spans="9:9" x14ac:dyDescent="0.3">
      <c r="I35779" s="101"/>
    </row>
    <row r="35780" spans="9:9" x14ac:dyDescent="0.3">
      <c r="I35780" s="101"/>
    </row>
    <row r="35781" spans="9:9" x14ac:dyDescent="0.3">
      <c r="I35781" s="101"/>
    </row>
    <row r="35782" spans="9:9" x14ac:dyDescent="0.3">
      <c r="I35782" s="101"/>
    </row>
    <row r="35783" spans="9:9" x14ac:dyDescent="0.3">
      <c r="I35783" s="101"/>
    </row>
    <row r="35784" spans="9:9" x14ac:dyDescent="0.3">
      <c r="I35784" s="101"/>
    </row>
    <row r="35785" spans="9:9" x14ac:dyDescent="0.3">
      <c r="I35785" s="101"/>
    </row>
    <row r="35786" spans="9:9" x14ac:dyDescent="0.3">
      <c r="I35786" s="101"/>
    </row>
    <row r="35787" spans="9:9" x14ac:dyDescent="0.3">
      <c r="I35787" s="101"/>
    </row>
    <row r="35788" spans="9:9" x14ac:dyDescent="0.3">
      <c r="I35788" s="101"/>
    </row>
    <row r="35789" spans="9:9" x14ac:dyDescent="0.3">
      <c r="I35789" s="101"/>
    </row>
    <row r="35790" spans="9:9" x14ac:dyDescent="0.3">
      <c r="I35790" s="101"/>
    </row>
    <row r="35791" spans="9:9" x14ac:dyDescent="0.3">
      <c r="I35791" s="101"/>
    </row>
    <row r="35792" spans="9:9" x14ac:dyDescent="0.3">
      <c r="I35792" s="101"/>
    </row>
    <row r="35793" spans="9:9" x14ac:dyDescent="0.3">
      <c r="I35793" s="101"/>
    </row>
    <row r="35794" spans="9:9" x14ac:dyDescent="0.3">
      <c r="I35794" s="101"/>
    </row>
    <row r="35795" spans="9:9" x14ac:dyDescent="0.3">
      <c r="I35795" s="101"/>
    </row>
    <row r="35796" spans="9:9" x14ac:dyDescent="0.3">
      <c r="I35796" s="101"/>
    </row>
    <row r="35797" spans="9:9" x14ac:dyDescent="0.3">
      <c r="I35797" s="101"/>
    </row>
    <row r="35798" spans="9:9" x14ac:dyDescent="0.3">
      <c r="I35798" s="101"/>
    </row>
    <row r="35799" spans="9:9" x14ac:dyDescent="0.3">
      <c r="I35799" s="101"/>
    </row>
    <row r="35800" spans="9:9" x14ac:dyDescent="0.3">
      <c r="I35800" s="101"/>
    </row>
    <row r="35801" spans="9:9" x14ac:dyDescent="0.3">
      <c r="I35801" s="101"/>
    </row>
    <row r="35802" spans="9:9" x14ac:dyDescent="0.3">
      <c r="I35802" s="101"/>
    </row>
    <row r="35803" spans="9:9" x14ac:dyDescent="0.3">
      <c r="I35803" s="101"/>
    </row>
    <row r="35804" spans="9:9" x14ac:dyDescent="0.3">
      <c r="I35804" s="101"/>
    </row>
    <row r="35805" spans="9:9" x14ac:dyDescent="0.3">
      <c r="I35805" s="101"/>
    </row>
    <row r="35806" spans="9:9" x14ac:dyDescent="0.3">
      <c r="I35806" s="101"/>
    </row>
    <row r="35807" spans="9:9" x14ac:dyDescent="0.3">
      <c r="I35807" s="101"/>
    </row>
    <row r="35808" spans="9:9" x14ac:dyDescent="0.3">
      <c r="I35808" s="101"/>
    </row>
    <row r="35809" spans="9:9" x14ac:dyDescent="0.3">
      <c r="I35809" s="101"/>
    </row>
    <row r="35810" spans="9:9" x14ac:dyDescent="0.3">
      <c r="I35810" s="101"/>
    </row>
    <row r="35811" spans="9:9" x14ac:dyDescent="0.3">
      <c r="I35811" s="101"/>
    </row>
    <row r="35812" spans="9:9" x14ac:dyDescent="0.3">
      <c r="I35812" s="101"/>
    </row>
    <row r="35813" spans="9:9" x14ac:dyDescent="0.3">
      <c r="I35813" s="101"/>
    </row>
    <row r="35814" spans="9:9" x14ac:dyDescent="0.3">
      <c r="I35814" s="101"/>
    </row>
    <row r="35815" spans="9:9" x14ac:dyDescent="0.3">
      <c r="I35815" s="101"/>
    </row>
    <row r="35816" spans="9:9" x14ac:dyDescent="0.3">
      <c r="I35816" s="101"/>
    </row>
    <row r="35817" spans="9:9" x14ac:dyDescent="0.3">
      <c r="I35817" s="101"/>
    </row>
    <row r="35818" spans="9:9" x14ac:dyDescent="0.3">
      <c r="I35818" s="101"/>
    </row>
    <row r="35819" spans="9:9" x14ac:dyDescent="0.3">
      <c r="I35819" s="101"/>
    </row>
    <row r="35820" spans="9:9" x14ac:dyDescent="0.3">
      <c r="I35820" s="101"/>
    </row>
    <row r="35821" spans="9:9" x14ac:dyDescent="0.3">
      <c r="I35821" s="101"/>
    </row>
    <row r="35822" spans="9:9" x14ac:dyDescent="0.3">
      <c r="I35822" s="101"/>
    </row>
    <row r="35823" spans="9:9" x14ac:dyDescent="0.3">
      <c r="I35823" s="101"/>
    </row>
    <row r="35824" spans="9:9" x14ac:dyDescent="0.3">
      <c r="I35824" s="101"/>
    </row>
    <row r="35825" spans="9:9" x14ac:dyDescent="0.3">
      <c r="I35825" s="101"/>
    </row>
    <row r="35826" spans="9:9" x14ac:dyDescent="0.3">
      <c r="I35826" s="101"/>
    </row>
    <row r="35827" spans="9:9" x14ac:dyDescent="0.3">
      <c r="I35827" s="101"/>
    </row>
    <row r="35828" spans="9:9" x14ac:dyDescent="0.3">
      <c r="I35828" s="101"/>
    </row>
    <row r="35829" spans="9:9" x14ac:dyDescent="0.3">
      <c r="I35829" s="101"/>
    </row>
    <row r="35830" spans="9:9" x14ac:dyDescent="0.3">
      <c r="I35830" s="101"/>
    </row>
    <row r="35831" spans="9:9" x14ac:dyDescent="0.3">
      <c r="I35831" s="101"/>
    </row>
    <row r="35832" spans="9:9" x14ac:dyDescent="0.3">
      <c r="I35832" s="101"/>
    </row>
    <row r="35833" spans="9:9" x14ac:dyDescent="0.3">
      <c r="I35833" s="101"/>
    </row>
    <row r="35834" spans="9:9" x14ac:dyDescent="0.3">
      <c r="I35834" s="101"/>
    </row>
    <row r="35835" spans="9:9" x14ac:dyDescent="0.3">
      <c r="I35835" s="101"/>
    </row>
    <row r="35836" spans="9:9" x14ac:dyDescent="0.3">
      <c r="I35836" s="101"/>
    </row>
    <row r="35837" spans="9:9" x14ac:dyDescent="0.3">
      <c r="I35837" s="101"/>
    </row>
    <row r="35838" spans="9:9" x14ac:dyDescent="0.3">
      <c r="I35838" s="101"/>
    </row>
    <row r="35839" spans="9:9" x14ac:dyDescent="0.3">
      <c r="I35839" s="101"/>
    </row>
    <row r="35840" spans="9:9" x14ac:dyDescent="0.3">
      <c r="I35840" s="101"/>
    </row>
    <row r="35841" spans="9:9" x14ac:dyDescent="0.3">
      <c r="I35841" s="101"/>
    </row>
    <row r="35842" spans="9:9" x14ac:dyDescent="0.3">
      <c r="I35842" s="101"/>
    </row>
    <row r="35843" spans="9:9" x14ac:dyDescent="0.3">
      <c r="I35843" s="101"/>
    </row>
    <row r="35844" spans="9:9" x14ac:dyDescent="0.3">
      <c r="I35844" s="101"/>
    </row>
    <row r="35845" spans="9:9" x14ac:dyDescent="0.3">
      <c r="I35845" s="101"/>
    </row>
    <row r="35846" spans="9:9" x14ac:dyDescent="0.3">
      <c r="I35846" s="101"/>
    </row>
    <row r="35847" spans="9:9" x14ac:dyDescent="0.3">
      <c r="I35847" s="101"/>
    </row>
    <row r="35848" spans="9:9" x14ac:dyDescent="0.3">
      <c r="I35848" s="101"/>
    </row>
    <row r="35849" spans="9:9" x14ac:dyDescent="0.3">
      <c r="I35849" s="101"/>
    </row>
    <row r="35850" spans="9:9" x14ac:dyDescent="0.3">
      <c r="I35850" s="101"/>
    </row>
    <row r="35851" spans="9:9" x14ac:dyDescent="0.3">
      <c r="I35851" s="101"/>
    </row>
    <row r="35852" spans="9:9" x14ac:dyDescent="0.3">
      <c r="I35852" s="101"/>
    </row>
    <row r="35853" spans="9:9" x14ac:dyDescent="0.3">
      <c r="I35853" s="101"/>
    </row>
    <row r="35854" spans="9:9" x14ac:dyDescent="0.3">
      <c r="I35854" s="101"/>
    </row>
    <row r="35855" spans="9:9" x14ac:dyDescent="0.3">
      <c r="I35855" s="101"/>
    </row>
    <row r="35856" spans="9:9" x14ac:dyDescent="0.3">
      <c r="I35856" s="101"/>
    </row>
    <row r="35857" spans="9:9" x14ac:dyDescent="0.3">
      <c r="I35857" s="101"/>
    </row>
    <row r="35858" spans="9:9" x14ac:dyDescent="0.3">
      <c r="I35858" s="101"/>
    </row>
    <row r="35859" spans="9:9" x14ac:dyDescent="0.3">
      <c r="I35859" s="101"/>
    </row>
    <row r="35860" spans="9:9" x14ac:dyDescent="0.3">
      <c r="I35860" s="101"/>
    </row>
    <row r="35861" spans="9:9" x14ac:dyDescent="0.3">
      <c r="I35861" s="101"/>
    </row>
    <row r="35862" spans="9:9" x14ac:dyDescent="0.3">
      <c r="I35862" s="101"/>
    </row>
    <row r="35863" spans="9:9" x14ac:dyDescent="0.3">
      <c r="I35863" s="101"/>
    </row>
    <row r="35864" spans="9:9" x14ac:dyDescent="0.3">
      <c r="I35864" s="101"/>
    </row>
    <row r="35865" spans="9:9" x14ac:dyDescent="0.3">
      <c r="I35865" s="101"/>
    </row>
    <row r="35866" spans="9:9" x14ac:dyDescent="0.3">
      <c r="I35866" s="101"/>
    </row>
    <row r="35867" spans="9:9" x14ac:dyDescent="0.3">
      <c r="I35867" s="101"/>
    </row>
    <row r="35868" spans="9:9" x14ac:dyDescent="0.3">
      <c r="I35868" s="101"/>
    </row>
    <row r="35869" spans="9:9" x14ac:dyDescent="0.3">
      <c r="I35869" s="101"/>
    </row>
    <row r="35870" spans="9:9" x14ac:dyDescent="0.3">
      <c r="I35870" s="101"/>
    </row>
    <row r="35871" spans="9:9" x14ac:dyDescent="0.3">
      <c r="I35871" s="101"/>
    </row>
    <row r="35872" spans="9:9" x14ac:dyDescent="0.3">
      <c r="I35872" s="101"/>
    </row>
    <row r="35873" spans="9:9" x14ac:dyDescent="0.3">
      <c r="I35873" s="101"/>
    </row>
    <row r="35874" spans="9:9" x14ac:dyDescent="0.3">
      <c r="I35874" s="101"/>
    </row>
    <row r="35875" spans="9:9" x14ac:dyDescent="0.3">
      <c r="I35875" s="101"/>
    </row>
    <row r="35876" spans="9:9" x14ac:dyDescent="0.3">
      <c r="I35876" s="101"/>
    </row>
    <row r="35877" spans="9:9" x14ac:dyDescent="0.3">
      <c r="I35877" s="101"/>
    </row>
    <row r="35878" spans="9:9" x14ac:dyDescent="0.3">
      <c r="I35878" s="101"/>
    </row>
    <row r="35879" spans="9:9" x14ac:dyDescent="0.3">
      <c r="I35879" s="101"/>
    </row>
    <row r="35880" spans="9:9" x14ac:dyDescent="0.3">
      <c r="I35880" s="101"/>
    </row>
    <row r="35881" spans="9:9" x14ac:dyDescent="0.3">
      <c r="I35881" s="101"/>
    </row>
    <row r="35882" spans="9:9" x14ac:dyDescent="0.3">
      <c r="I35882" s="101"/>
    </row>
    <row r="35883" spans="9:9" x14ac:dyDescent="0.3">
      <c r="I35883" s="101"/>
    </row>
    <row r="35884" spans="9:9" x14ac:dyDescent="0.3">
      <c r="I35884" s="101"/>
    </row>
    <row r="35885" spans="9:9" x14ac:dyDescent="0.3">
      <c r="I35885" s="101"/>
    </row>
    <row r="35886" spans="9:9" x14ac:dyDescent="0.3">
      <c r="I35886" s="101"/>
    </row>
    <row r="35887" spans="9:9" x14ac:dyDescent="0.3">
      <c r="I35887" s="101"/>
    </row>
    <row r="35888" spans="9:9" x14ac:dyDescent="0.3">
      <c r="I35888" s="101"/>
    </row>
    <row r="35889" spans="9:9" x14ac:dyDescent="0.3">
      <c r="I35889" s="101"/>
    </row>
    <row r="35890" spans="9:9" x14ac:dyDescent="0.3">
      <c r="I35890" s="101"/>
    </row>
    <row r="35891" spans="9:9" x14ac:dyDescent="0.3">
      <c r="I35891" s="101"/>
    </row>
    <row r="35892" spans="9:9" x14ac:dyDescent="0.3">
      <c r="I35892" s="101"/>
    </row>
    <row r="35893" spans="9:9" x14ac:dyDescent="0.3">
      <c r="I35893" s="101"/>
    </row>
    <row r="35894" spans="9:9" x14ac:dyDescent="0.3">
      <c r="I35894" s="101"/>
    </row>
    <row r="35895" spans="9:9" x14ac:dyDescent="0.3">
      <c r="I35895" s="101"/>
    </row>
    <row r="35896" spans="9:9" x14ac:dyDescent="0.3">
      <c r="I35896" s="101"/>
    </row>
    <row r="35897" spans="9:9" x14ac:dyDescent="0.3">
      <c r="I35897" s="101"/>
    </row>
    <row r="35898" spans="9:9" x14ac:dyDescent="0.3">
      <c r="I35898" s="101"/>
    </row>
    <row r="35899" spans="9:9" x14ac:dyDescent="0.3">
      <c r="I35899" s="101"/>
    </row>
    <row r="35900" spans="9:9" x14ac:dyDescent="0.3">
      <c r="I35900" s="101"/>
    </row>
    <row r="35901" spans="9:9" x14ac:dyDescent="0.3">
      <c r="I35901" s="101"/>
    </row>
    <row r="35902" spans="9:9" x14ac:dyDescent="0.3">
      <c r="I35902" s="101"/>
    </row>
    <row r="35903" spans="9:9" x14ac:dyDescent="0.3">
      <c r="I35903" s="101"/>
    </row>
    <row r="35904" spans="9:9" x14ac:dyDescent="0.3">
      <c r="I35904" s="101"/>
    </row>
    <row r="35905" spans="9:9" x14ac:dyDescent="0.3">
      <c r="I35905" s="101"/>
    </row>
    <row r="35906" spans="9:9" x14ac:dyDescent="0.3">
      <c r="I35906" s="101"/>
    </row>
    <row r="35907" spans="9:9" x14ac:dyDescent="0.3">
      <c r="I35907" s="101"/>
    </row>
    <row r="35908" spans="9:9" x14ac:dyDescent="0.3">
      <c r="I35908" s="101"/>
    </row>
    <row r="35909" spans="9:9" x14ac:dyDescent="0.3">
      <c r="I35909" s="101"/>
    </row>
    <row r="35910" spans="9:9" x14ac:dyDescent="0.3">
      <c r="I35910" s="101"/>
    </row>
    <row r="35911" spans="9:9" x14ac:dyDescent="0.3">
      <c r="I35911" s="101"/>
    </row>
    <row r="35912" spans="9:9" x14ac:dyDescent="0.3">
      <c r="I35912" s="101"/>
    </row>
    <row r="35913" spans="9:9" x14ac:dyDescent="0.3">
      <c r="I35913" s="101"/>
    </row>
    <row r="35914" spans="9:9" x14ac:dyDescent="0.3">
      <c r="I35914" s="101"/>
    </row>
    <row r="35915" spans="9:9" x14ac:dyDescent="0.3">
      <c r="I35915" s="101"/>
    </row>
    <row r="35916" spans="9:9" x14ac:dyDescent="0.3">
      <c r="I35916" s="101"/>
    </row>
    <row r="35917" spans="9:9" x14ac:dyDescent="0.3">
      <c r="I35917" s="101"/>
    </row>
    <row r="35918" spans="9:9" x14ac:dyDescent="0.3">
      <c r="I35918" s="101"/>
    </row>
    <row r="35919" spans="9:9" x14ac:dyDescent="0.3">
      <c r="I35919" s="101"/>
    </row>
    <row r="35920" spans="9:9" x14ac:dyDescent="0.3">
      <c r="I35920" s="101"/>
    </row>
    <row r="35921" spans="9:9" x14ac:dyDescent="0.3">
      <c r="I35921" s="101"/>
    </row>
    <row r="35922" spans="9:9" x14ac:dyDescent="0.3">
      <c r="I35922" s="101"/>
    </row>
    <row r="35923" spans="9:9" x14ac:dyDescent="0.3">
      <c r="I35923" s="101"/>
    </row>
    <row r="35924" spans="9:9" x14ac:dyDescent="0.3">
      <c r="I35924" s="101"/>
    </row>
    <row r="35925" spans="9:9" x14ac:dyDescent="0.3">
      <c r="I35925" s="101"/>
    </row>
    <row r="35926" spans="9:9" x14ac:dyDescent="0.3">
      <c r="I35926" s="101"/>
    </row>
    <row r="35927" spans="9:9" x14ac:dyDescent="0.3">
      <c r="I35927" s="101"/>
    </row>
    <row r="35928" spans="9:9" x14ac:dyDescent="0.3">
      <c r="I35928" s="101"/>
    </row>
    <row r="35929" spans="9:9" x14ac:dyDescent="0.3">
      <c r="I35929" s="101"/>
    </row>
    <row r="35930" spans="9:9" x14ac:dyDescent="0.3">
      <c r="I35930" s="101"/>
    </row>
    <row r="35931" spans="9:9" x14ac:dyDescent="0.3">
      <c r="I35931" s="101"/>
    </row>
    <row r="35932" spans="9:9" x14ac:dyDescent="0.3">
      <c r="I35932" s="101"/>
    </row>
    <row r="35933" spans="9:9" x14ac:dyDescent="0.3">
      <c r="I35933" s="101"/>
    </row>
    <row r="35934" spans="9:9" x14ac:dyDescent="0.3">
      <c r="I35934" s="101"/>
    </row>
    <row r="35935" spans="9:9" x14ac:dyDescent="0.3">
      <c r="I35935" s="101"/>
    </row>
    <row r="35936" spans="9:9" x14ac:dyDescent="0.3">
      <c r="I35936" s="101"/>
    </row>
    <row r="35937" spans="9:9" x14ac:dyDescent="0.3">
      <c r="I35937" s="101"/>
    </row>
    <row r="35938" spans="9:9" x14ac:dyDescent="0.3">
      <c r="I35938" s="101"/>
    </row>
    <row r="35939" spans="9:9" x14ac:dyDescent="0.3">
      <c r="I35939" s="101"/>
    </row>
    <row r="35940" spans="9:9" x14ac:dyDescent="0.3">
      <c r="I35940" s="101"/>
    </row>
    <row r="35941" spans="9:9" x14ac:dyDescent="0.3">
      <c r="I35941" s="101"/>
    </row>
    <row r="35942" spans="9:9" x14ac:dyDescent="0.3">
      <c r="I35942" s="101"/>
    </row>
    <row r="35943" spans="9:9" x14ac:dyDescent="0.3">
      <c r="I35943" s="101"/>
    </row>
    <row r="35944" spans="9:9" x14ac:dyDescent="0.3">
      <c r="I35944" s="101"/>
    </row>
    <row r="35945" spans="9:9" x14ac:dyDescent="0.3">
      <c r="I35945" s="101"/>
    </row>
    <row r="35946" spans="9:9" x14ac:dyDescent="0.3">
      <c r="I35946" s="101"/>
    </row>
    <row r="35947" spans="9:9" x14ac:dyDescent="0.3">
      <c r="I35947" s="101"/>
    </row>
    <row r="35948" spans="9:9" x14ac:dyDescent="0.3">
      <c r="I35948" s="101"/>
    </row>
    <row r="35949" spans="9:9" x14ac:dyDescent="0.3">
      <c r="I35949" s="101"/>
    </row>
    <row r="35950" spans="9:9" x14ac:dyDescent="0.3">
      <c r="I35950" s="101"/>
    </row>
    <row r="35951" spans="9:9" x14ac:dyDescent="0.3">
      <c r="I35951" s="101"/>
    </row>
    <row r="35952" spans="9:9" x14ac:dyDescent="0.3">
      <c r="I35952" s="101"/>
    </row>
    <row r="35953" spans="9:9" x14ac:dyDescent="0.3">
      <c r="I35953" s="101"/>
    </row>
    <row r="35954" spans="9:9" x14ac:dyDescent="0.3">
      <c r="I35954" s="101"/>
    </row>
    <row r="35955" spans="9:9" x14ac:dyDescent="0.3">
      <c r="I35955" s="101"/>
    </row>
    <row r="35956" spans="9:9" x14ac:dyDescent="0.3">
      <c r="I35956" s="101"/>
    </row>
    <row r="35957" spans="9:9" x14ac:dyDescent="0.3">
      <c r="I35957" s="101"/>
    </row>
    <row r="35958" spans="9:9" x14ac:dyDescent="0.3">
      <c r="I35958" s="101"/>
    </row>
    <row r="35959" spans="9:9" x14ac:dyDescent="0.3">
      <c r="I35959" s="101"/>
    </row>
    <row r="35960" spans="9:9" x14ac:dyDescent="0.3">
      <c r="I35960" s="101"/>
    </row>
    <row r="35961" spans="9:9" x14ac:dyDescent="0.3">
      <c r="I35961" s="101"/>
    </row>
    <row r="35962" spans="9:9" x14ac:dyDescent="0.3">
      <c r="I35962" s="101"/>
    </row>
    <row r="35963" spans="9:9" x14ac:dyDescent="0.3">
      <c r="I35963" s="101"/>
    </row>
    <row r="35964" spans="9:9" x14ac:dyDescent="0.3">
      <c r="I35964" s="101"/>
    </row>
    <row r="35965" spans="9:9" x14ac:dyDescent="0.3">
      <c r="I35965" s="101"/>
    </row>
    <row r="35966" spans="9:9" x14ac:dyDescent="0.3">
      <c r="I35966" s="101"/>
    </row>
    <row r="35967" spans="9:9" x14ac:dyDescent="0.3">
      <c r="I35967" s="101"/>
    </row>
    <row r="35968" spans="9:9" x14ac:dyDescent="0.3">
      <c r="I35968" s="101"/>
    </row>
    <row r="35969" spans="9:9" x14ac:dyDescent="0.3">
      <c r="I35969" s="101"/>
    </row>
    <row r="35970" spans="9:9" x14ac:dyDescent="0.3">
      <c r="I35970" s="101"/>
    </row>
    <row r="35971" spans="9:9" x14ac:dyDescent="0.3">
      <c r="I35971" s="101"/>
    </row>
    <row r="35972" spans="9:9" x14ac:dyDescent="0.3">
      <c r="I35972" s="101"/>
    </row>
    <row r="35973" spans="9:9" x14ac:dyDescent="0.3">
      <c r="I35973" s="101"/>
    </row>
    <row r="35974" spans="9:9" x14ac:dyDescent="0.3">
      <c r="I35974" s="101"/>
    </row>
    <row r="35975" spans="9:9" x14ac:dyDescent="0.3">
      <c r="I35975" s="101"/>
    </row>
    <row r="35976" spans="9:9" x14ac:dyDescent="0.3">
      <c r="I35976" s="101"/>
    </row>
    <row r="35977" spans="9:9" x14ac:dyDescent="0.3">
      <c r="I35977" s="101"/>
    </row>
    <row r="35978" spans="9:9" x14ac:dyDescent="0.3">
      <c r="I35978" s="101"/>
    </row>
    <row r="35979" spans="9:9" x14ac:dyDescent="0.3">
      <c r="I35979" s="101"/>
    </row>
    <row r="35980" spans="9:9" x14ac:dyDescent="0.3">
      <c r="I35980" s="101"/>
    </row>
    <row r="35981" spans="9:9" x14ac:dyDescent="0.3">
      <c r="I35981" s="101"/>
    </row>
    <row r="35982" spans="9:9" x14ac:dyDescent="0.3">
      <c r="I35982" s="101"/>
    </row>
    <row r="35983" spans="9:9" x14ac:dyDescent="0.3">
      <c r="I35983" s="101"/>
    </row>
    <row r="35984" spans="9:9" x14ac:dyDescent="0.3">
      <c r="I35984" s="101"/>
    </row>
    <row r="35985" spans="9:9" x14ac:dyDescent="0.3">
      <c r="I35985" s="101"/>
    </row>
    <row r="35986" spans="9:9" x14ac:dyDescent="0.3">
      <c r="I35986" s="101"/>
    </row>
    <row r="35987" spans="9:9" x14ac:dyDescent="0.3">
      <c r="I35987" s="101"/>
    </row>
    <row r="35988" spans="9:9" x14ac:dyDescent="0.3">
      <c r="I35988" s="101"/>
    </row>
    <row r="35989" spans="9:9" x14ac:dyDescent="0.3">
      <c r="I35989" s="101"/>
    </row>
    <row r="35990" spans="9:9" x14ac:dyDescent="0.3">
      <c r="I35990" s="101"/>
    </row>
    <row r="35991" spans="9:9" x14ac:dyDescent="0.3">
      <c r="I35991" s="101"/>
    </row>
    <row r="35992" spans="9:9" x14ac:dyDescent="0.3">
      <c r="I35992" s="101"/>
    </row>
    <row r="35993" spans="9:9" x14ac:dyDescent="0.3">
      <c r="I35993" s="101"/>
    </row>
    <row r="35994" spans="9:9" x14ac:dyDescent="0.3">
      <c r="I35994" s="101"/>
    </row>
    <row r="35995" spans="9:9" x14ac:dyDescent="0.3">
      <c r="I35995" s="101"/>
    </row>
    <row r="35996" spans="9:9" x14ac:dyDescent="0.3">
      <c r="I35996" s="101"/>
    </row>
    <row r="35997" spans="9:9" x14ac:dyDescent="0.3">
      <c r="I35997" s="101"/>
    </row>
    <row r="35998" spans="9:9" x14ac:dyDescent="0.3">
      <c r="I35998" s="101"/>
    </row>
    <row r="35999" spans="9:9" x14ac:dyDescent="0.3">
      <c r="I35999" s="101"/>
    </row>
    <row r="36000" spans="9:9" x14ac:dyDescent="0.3">
      <c r="I36000" s="101"/>
    </row>
    <row r="36001" spans="9:9" x14ac:dyDescent="0.3">
      <c r="I36001" s="101"/>
    </row>
    <row r="36002" spans="9:9" x14ac:dyDescent="0.3">
      <c r="I36002" s="101"/>
    </row>
    <row r="36003" spans="9:9" x14ac:dyDescent="0.3">
      <c r="I36003" s="101"/>
    </row>
    <row r="36004" spans="9:9" x14ac:dyDescent="0.3">
      <c r="I36004" s="101"/>
    </row>
    <row r="36005" spans="9:9" x14ac:dyDescent="0.3">
      <c r="I36005" s="101"/>
    </row>
    <row r="36006" spans="9:9" x14ac:dyDescent="0.3">
      <c r="I36006" s="101"/>
    </row>
    <row r="36007" spans="9:9" x14ac:dyDescent="0.3">
      <c r="I36007" s="101"/>
    </row>
    <row r="36008" spans="9:9" x14ac:dyDescent="0.3">
      <c r="I36008" s="101"/>
    </row>
    <row r="36009" spans="9:9" x14ac:dyDescent="0.3">
      <c r="I36009" s="101"/>
    </row>
    <row r="36010" spans="9:9" x14ac:dyDescent="0.3">
      <c r="I36010" s="101"/>
    </row>
    <row r="36011" spans="9:9" x14ac:dyDescent="0.3">
      <c r="I36011" s="101"/>
    </row>
    <row r="36012" spans="9:9" x14ac:dyDescent="0.3">
      <c r="I36012" s="101"/>
    </row>
    <row r="36013" spans="9:9" x14ac:dyDescent="0.3">
      <c r="I36013" s="101"/>
    </row>
    <row r="36014" spans="9:9" x14ac:dyDescent="0.3">
      <c r="I36014" s="101"/>
    </row>
    <row r="36015" spans="9:9" x14ac:dyDescent="0.3">
      <c r="I36015" s="101"/>
    </row>
    <row r="36016" spans="9:9" x14ac:dyDescent="0.3">
      <c r="I36016" s="101"/>
    </row>
    <row r="36017" spans="9:9" x14ac:dyDescent="0.3">
      <c r="I36017" s="101"/>
    </row>
    <row r="36018" spans="9:9" x14ac:dyDescent="0.3">
      <c r="I36018" s="101"/>
    </row>
    <row r="36019" spans="9:9" x14ac:dyDescent="0.3">
      <c r="I36019" s="101"/>
    </row>
    <row r="36020" spans="9:9" x14ac:dyDescent="0.3">
      <c r="I36020" s="101"/>
    </row>
    <row r="36021" spans="9:9" x14ac:dyDescent="0.3">
      <c r="I36021" s="101"/>
    </row>
    <row r="36022" spans="9:9" x14ac:dyDescent="0.3">
      <c r="I36022" s="101"/>
    </row>
    <row r="36023" spans="9:9" x14ac:dyDescent="0.3">
      <c r="I36023" s="101"/>
    </row>
    <row r="36024" spans="9:9" x14ac:dyDescent="0.3">
      <c r="I36024" s="101"/>
    </row>
    <row r="36025" spans="9:9" x14ac:dyDescent="0.3">
      <c r="I36025" s="101"/>
    </row>
    <row r="36026" spans="9:9" x14ac:dyDescent="0.3">
      <c r="I36026" s="101"/>
    </row>
    <row r="36027" spans="9:9" x14ac:dyDescent="0.3">
      <c r="I36027" s="101"/>
    </row>
    <row r="36028" spans="9:9" x14ac:dyDescent="0.3">
      <c r="I36028" s="101"/>
    </row>
    <row r="36029" spans="9:9" x14ac:dyDescent="0.3">
      <c r="I36029" s="101"/>
    </row>
    <row r="36030" spans="9:9" x14ac:dyDescent="0.3">
      <c r="I36030" s="101"/>
    </row>
    <row r="36031" spans="9:9" x14ac:dyDescent="0.3">
      <c r="I36031" s="101"/>
    </row>
    <row r="36032" spans="9:9" x14ac:dyDescent="0.3">
      <c r="I36032" s="101"/>
    </row>
    <row r="36033" spans="9:9" x14ac:dyDescent="0.3">
      <c r="I36033" s="101"/>
    </row>
    <row r="36034" spans="9:9" x14ac:dyDescent="0.3">
      <c r="I36034" s="101"/>
    </row>
    <row r="36035" spans="9:9" x14ac:dyDescent="0.3">
      <c r="I36035" s="101"/>
    </row>
    <row r="36036" spans="9:9" x14ac:dyDescent="0.3">
      <c r="I36036" s="101"/>
    </row>
    <row r="36037" spans="9:9" x14ac:dyDescent="0.3">
      <c r="I36037" s="101"/>
    </row>
    <row r="36038" spans="9:9" x14ac:dyDescent="0.3">
      <c r="I36038" s="101"/>
    </row>
    <row r="36039" spans="9:9" x14ac:dyDescent="0.3">
      <c r="I36039" s="101"/>
    </row>
    <row r="36040" spans="9:9" x14ac:dyDescent="0.3">
      <c r="I36040" s="101"/>
    </row>
    <row r="36041" spans="9:9" x14ac:dyDescent="0.3">
      <c r="I36041" s="101"/>
    </row>
    <row r="36042" spans="9:9" x14ac:dyDescent="0.3">
      <c r="I36042" s="101"/>
    </row>
    <row r="36043" spans="9:9" x14ac:dyDescent="0.3">
      <c r="I36043" s="101"/>
    </row>
    <row r="36044" spans="9:9" x14ac:dyDescent="0.3">
      <c r="I36044" s="101"/>
    </row>
    <row r="36045" spans="9:9" x14ac:dyDescent="0.3">
      <c r="I36045" s="101"/>
    </row>
    <row r="36046" spans="9:9" x14ac:dyDescent="0.3">
      <c r="I36046" s="101"/>
    </row>
    <row r="36047" spans="9:9" x14ac:dyDescent="0.3">
      <c r="I36047" s="101"/>
    </row>
    <row r="36048" spans="9:9" x14ac:dyDescent="0.3">
      <c r="I36048" s="101"/>
    </row>
    <row r="36049" spans="9:9" x14ac:dyDescent="0.3">
      <c r="I36049" s="101"/>
    </row>
    <row r="36050" spans="9:9" x14ac:dyDescent="0.3">
      <c r="I36050" s="101"/>
    </row>
    <row r="36051" spans="9:9" x14ac:dyDescent="0.3">
      <c r="I36051" s="101"/>
    </row>
    <row r="36052" spans="9:9" x14ac:dyDescent="0.3">
      <c r="I36052" s="101"/>
    </row>
    <row r="36053" spans="9:9" x14ac:dyDescent="0.3">
      <c r="I36053" s="101"/>
    </row>
    <row r="36054" spans="9:9" x14ac:dyDescent="0.3">
      <c r="I36054" s="101"/>
    </row>
    <row r="36055" spans="9:9" x14ac:dyDescent="0.3">
      <c r="I36055" s="101"/>
    </row>
    <row r="36056" spans="9:9" x14ac:dyDescent="0.3">
      <c r="I36056" s="101"/>
    </row>
    <row r="36057" spans="9:9" x14ac:dyDescent="0.3">
      <c r="I36057" s="101"/>
    </row>
    <row r="36058" spans="9:9" x14ac:dyDescent="0.3">
      <c r="I36058" s="101"/>
    </row>
    <row r="36059" spans="9:9" x14ac:dyDescent="0.3">
      <c r="I36059" s="101"/>
    </row>
    <row r="36060" spans="9:9" x14ac:dyDescent="0.3">
      <c r="I36060" s="101"/>
    </row>
    <row r="36061" spans="9:9" x14ac:dyDescent="0.3">
      <c r="I36061" s="101"/>
    </row>
    <row r="36062" spans="9:9" x14ac:dyDescent="0.3">
      <c r="I36062" s="101"/>
    </row>
    <row r="36063" spans="9:9" x14ac:dyDescent="0.3">
      <c r="I36063" s="101"/>
    </row>
    <row r="36064" spans="9:9" x14ac:dyDescent="0.3">
      <c r="I36064" s="101"/>
    </row>
    <row r="36065" spans="9:9" x14ac:dyDescent="0.3">
      <c r="I36065" s="101"/>
    </row>
    <row r="36066" spans="9:9" x14ac:dyDescent="0.3">
      <c r="I36066" s="101"/>
    </row>
    <row r="36067" spans="9:9" x14ac:dyDescent="0.3">
      <c r="I36067" s="101"/>
    </row>
    <row r="36068" spans="9:9" x14ac:dyDescent="0.3">
      <c r="I36068" s="101"/>
    </row>
    <row r="36069" spans="9:9" x14ac:dyDescent="0.3">
      <c r="I36069" s="101"/>
    </row>
    <row r="36070" spans="9:9" x14ac:dyDescent="0.3">
      <c r="I36070" s="101"/>
    </row>
    <row r="36071" spans="9:9" x14ac:dyDescent="0.3">
      <c r="I36071" s="101"/>
    </row>
    <row r="36072" spans="9:9" x14ac:dyDescent="0.3">
      <c r="I36072" s="101"/>
    </row>
    <row r="36073" spans="9:9" x14ac:dyDescent="0.3">
      <c r="I36073" s="101"/>
    </row>
    <row r="36074" spans="9:9" x14ac:dyDescent="0.3">
      <c r="I36074" s="101"/>
    </row>
    <row r="36075" spans="9:9" x14ac:dyDescent="0.3">
      <c r="I36075" s="101"/>
    </row>
    <row r="36076" spans="9:9" x14ac:dyDescent="0.3">
      <c r="I36076" s="101"/>
    </row>
    <row r="36077" spans="9:9" x14ac:dyDescent="0.3">
      <c r="I36077" s="101"/>
    </row>
    <row r="36078" spans="9:9" x14ac:dyDescent="0.3">
      <c r="I36078" s="101"/>
    </row>
    <row r="36079" spans="9:9" x14ac:dyDescent="0.3">
      <c r="I36079" s="101"/>
    </row>
    <row r="36080" spans="9:9" x14ac:dyDescent="0.3">
      <c r="I36080" s="101"/>
    </row>
    <row r="36081" spans="9:9" x14ac:dyDescent="0.3">
      <c r="I36081" s="101"/>
    </row>
    <row r="36082" spans="9:9" x14ac:dyDescent="0.3">
      <c r="I36082" s="101"/>
    </row>
    <row r="36083" spans="9:9" x14ac:dyDescent="0.3">
      <c r="I36083" s="101"/>
    </row>
    <row r="36084" spans="9:9" x14ac:dyDescent="0.3">
      <c r="I36084" s="101"/>
    </row>
    <row r="36085" spans="9:9" x14ac:dyDescent="0.3">
      <c r="I36085" s="101"/>
    </row>
    <row r="36086" spans="9:9" x14ac:dyDescent="0.3">
      <c r="I36086" s="101"/>
    </row>
    <row r="36087" spans="9:9" x14ac:dyDescent="0.3">
      <c r="I36087" s="101"/>
    </row>
    <row r="36088" spans="9:9" x14ac:dyDescent="0.3">
      <c r="I36088" s="101"/>
    </row>
    <row r="36089" spans="9:9" x14ac:dyDescent="0.3">
      <c r="I36089" s="101"/>
    </row>
    <row r="36090" spans="9:9" x14ac:dyDescent="0.3">
      <c r="I36090" s="101"/>
    </row>
    <row r="36091" spans="9:9" x14ac:dyDescent="0.3">
      <c r="I36091" s="101"/>
    </row>
    <row r="36092" spans="9:9" x14ac:dyDescent="0.3">
      <c r="I36092" s="101"/>
    </row>
    <row r="36093" spans="9:9" x14ac:dyDescent="0.3">
      <c r="I36093" s="101"/>
    </row>
    <row r="36094" spans="9:9" x14ac:dyDescent="0.3">
      <c r="I36094" s="101"/>
    </row>
    <row r="36095" spans="9:9" x14ac:dyDescent="0.3">
      <c r="I36095" s="101"/>
    </row>
    <row r="36096" spans="9:9" x14ac:dyDescent="0.3">
      <c r="I36096" s="101"/>
    </row>
    <row r="36097" spans="9:9" x14ac:dyDescent="0.3">
      <c r="I36097" s="101"/>
    </row>
    <row r="36098" spans="9:9" x14ac:dyDescent="0.3">
      <c r="I36098" s="101"/>
    </row>
    <row r="36099" spans="9:9" x14ac:dyDescent="0.3">
      <c r="I36099" s="101"/>
    </row>
    <row r="36100" spans="9:9" x14ac:dyDescent="0.3">
      <c r="I36100" s="101"/>
    </row>
    <row r="36101" spans="9:9" x14ac:dyDescent="0.3">
      <c r="I36101" s="101"/>
    </row>
    <row r="36102" spans="9:9" x14ac:dyDescent="0.3">
      <c r="I36102" s="101"/>
    </row>
    <row r="36103" spans="9:9" x14ac:dyDescent="0.3">
      <c r="I36103" s="101"/>
    </row>
    <row r="36104" spans="9:9" x14ac:dyDescent="0.3">
      <c r="I36104" s="101"/>
    </row>
    <row r="36105" spans="9:9" x14ac:dyDescent="0.3">
      <c r="I36105" s="101"/>
    </row>
    <row r="36106" spans="9:9" x14ac:dyDescent="0.3">
      <c r="I36106" s="101"/>
    </row>
    <row r="36107" spans="9:9" x14ac:dyDescent="0.3">
      <c r="I36107" s="101"/>
    </row>
    <row r="36108" spans="9:9" x14ac:dyDescent="0.3">
      <c r="I36108" s="101"/>
    </row>
    <row r="36109" spans="9:9" x14ac:dyDescent="0.3">
      <c r="I36109" s="101"/>
    </row>
    <row r="36110" spans="9:9" x14ac:dyDescent="0.3">
      <c r="I36110" s="101"/>
    </row>
    <row r="36111" spans="9:9" x14ac:dyDescent="0.3">
      <c r="I36111" s="101"/>
    </row>
    <row r="36112" spans="9:9" x14ac:dyDescent="0.3">
      <c r="I36112" s="101"/>
    </row>
    <row r="36113" spans="9:9" x14ac:dyDescent="0.3">
      <c r="I36113" s="101"/>
    </row>
    <row r="36114" spans="9:9" x14ac:dyDescent="0.3">
      <c r="I36114" s="101"/>
    </row>
    <row r="36115" spans="9:9" x14ac:dyDescent="0.3">
      <c r="I36115" s="101"/>
    </row>
    <row r="36116" spans="9:9" x14ac:dyDescent="0.3">
      <c r="I36116" s="101"/>
    </row>
    <row r="36117" spans="9:9" x14ac:dyDescent="0.3">
      <c r="I36117" s="101"/>
    </row>
    <row r="36118" spans="9:9" x14ac:dyDescent="0.3">
      <c r="I36118" s="101"/>
    </row>
    <row r="36119" spans="9:9" x14ac:dyDescent="0.3">
      <c r="I36119" s="101"/>
    </row>
    <row r="36120" spans="9:9" x14ac:dyDescent="0.3">
      <c r="I36120" s="101"/>
    </row>
    <row r="36121" spans="9:9" x14ac:dyDescent="0.3">
      <c r="I36121" s="101"/>
    </row>
    <row r="36122" spans="9:9" x14ac:dyDescent="0.3">
      <c r="I36122" s="101"/>
    </row>
    <row r="36123" spans="9:9" x14ac:dyDescent="0.3">
      <c r="I36123" s="101"/>
    </row>
    <row r="36124" spans="9:9" x14ac:dyDescent="0.3">
      <c r="I36124" s="101"/>
    </row>
    <row r="36125" spans="9:9" x14ac:dyDescent="0.3">
      <c r="I36125" s="101"/>
    </row>
    <row r="36126" spans="9:9" x14ac:dyDescent="0.3">
      <c r="I36126" s="101"/>
    </row>
    <row r="36127" spans="9:9" x14ac:dyDescent="0.3">
      <c r="I36127" s="101"/>
    </row>
    <row r="36128" spans="9:9" x14ac:dyDescent="0.3">
      <c r="I36128" s="101"/>
    </row>
    <row r="36129" spans="9:9" x14ac:dyDescent="0.3">
      <c r="I36129" s="101"/>
    </row>
    <row r="36130" spans="9:9" x14ac:dyDescent="0.3">
      <c r="I36130" s="101"/>
    </row>
    <row r="36131" spans="9:9" x14ac:dyDescent="0.3">
      <c r="I36131" s="101"/>
    </row>
    <row r="36132" spans="9:9" x14ac:dyDescent="0.3">
      <c r="I36132" s="101"/>
    </row>
    <row r="36133" spans="9:9" x14ac:dyDescent="0.3">
      <c r="I36133" s="101"/>
    </row>
    <row r="36134" spans="9:9" x14ac:dyDescent="0.3">
      <c r="I36134" s="101"/>
    </row>
    <row r="36135" spans="9:9" x14ac:dyDescent="0.3">
      <c r="I36135" s="101"/>
    </row>
    <row r="36136" spans="9:9" x14ac:dyDescent="0.3">
      <c r="I36136" s="101"/>
    </row>
    <row r="36137" spans="9:9" x14ac:dyDescent="0.3">
      <c r="I36137" s="101"/>
    </row>
    <row r="36138" spans="9:9" x14ac:dyDescent="0.3">
      <c r="I36138" s="101"/>
    </row>
    <row r="36139" spans="9:9" x14ac:dyDescent="0.3">
      <c r="I36139" s="101"/>
    </row>
    <row r="36140" spans="9:9" x14ac:dyDescent="0.3">
      <c r="I36140" s="101"/>
    </row>
    <row r="36141" spans="9:9" x14ac:dyDescent="0.3">
      <c r="I36141" s="101"/>
    </row>
    <row r="36142" spans="9:9" x14ac:dyDescent="0.3">
      <c r="I36142" s="101"/>
    </row>
    <row r="36143" spans="9:9" x14ac:dyDescent="0.3">
      <c r="I36143" s="101"/>
    </row>
    <row r="36144" spans="9:9" x14ac:dyDescent="0.3">
      <c r="I36144" s="101"/>
    </row>
    <row r="36145" spans="9:9" x14ac:dyDescent="0.3">
      <c r="I36145" s="101"/>
    </row>
    <row r="36146" spans="9:9" x14ac:dyDescent="0.3">
      <c r="I36146" s="101"/>
    </row>
    <row r="36147" spans="9:9" x14ac:dyDescent="0.3">
      <c r="I36147" s="101"/>
    </row>
    <row r="36148" spans="9:9" x14ac:dyDescent="0.3">
      <c r="I36148" s="101"/>
    </row>
    <row r="36149" spans="9:9" x14ac:dyDescent="0.3">
      <c r="I36149" s="101"/>
    </row>
    <row r="36150" spans="9:9" x14ac:dyDescent="0.3">
      <c r="I36150" s="101"/>
    </row>
    <row r="36151" spans="9:9" x14ac:dyDescent="0.3">
      <c r="I36151" s="101"/>
    </row>
    <row r="36152" spans="9:9" x14ac:dyDescent="0.3">
      <c r="I36152" s="101"/>
    </row>
    <row r="36153" spans="9:9" x14ac:dyDescent="0.3">
      <c r="I36153" s="101"/>
    </row>
    <row r="36154" spans="9:9" x14ac:dyDescent="0.3">
      <c r="I36154" s="101"/>
    </row>
    <row r="36155" spans="9:9" x14ac:dyDescent="0.3">
      <c r="I36155" s="101"/>
    </row>
    <row r="36156" spans="9:9" x14ac:dyDescent="0.3">
      <c r="I36156" s="101"/>
    </row>
    <row r="36157" spans="9:9" x14ac:dyDescent="0.3">
      <c r="I36157" s="101"/>
    </row>
    <row r="36158" spans="9:9" x14ac:dyDescent="0.3">
      <c r="I36158" s="101"/>
    </row>
    <row r="36159" spans="9:9" x14ac:dyDescent="0.3">
      <c r="I36159" s="101"/>
    </row>
    <row r="36160" spans="9:9" x14ac:dyDescent="0.3">
      <c r="I36160" s="101"/>
    </row>
    <row r="36161" spans="9:9" x14ac:dyDescent="0.3">
      <c r="I36161" s="101"/>
    </row>
    <row r="36162" spans="9:9" x14ac:dyDescent="0.3">
      <c r="I36162" s="101"/>
    </row>
    <row r="36163" spans="9:9" x14ac:dyDescent="0.3">
      <c r="I36163" s="101"/>
    </row>
    <row r="36164" spans="9:9" x14ac:dyDescent="0.3">
      <c r="I36164" s="101"/>
    </row>
    <row r="36165" spans="9:9" x14ac:dyDescent="0.3">
      <c r="I36165" s="101"/>
    </row>
    <row r="36166" spans="9:9" x14ac:dyDescent="0.3">
      <c r="I36166" s="101"/>
    </row>
    <row r="36167" spans="9:9" x14ac:dyDescent="0.3">
      <c r="I36167" s="101"/>
    </row>
    <row r="36168" spans="9:9" x14ac:dyDescent="0.3">
      <c r="I36168" s="101"/>
    </row>
    <row r="36169" spans="9:9" x14ac:dyDescent="0.3">
      <c r="I36169" s="101"/>
    </row>
    <row r="36170" spans="9:9" x14ac:dyDescent="0.3">
      <c r="I36170" s="101"/>
    </row>
    <row r="36171" spans="9:9" x14ac:dyDescent="0.3">
      <c r="I36171" s="101"/>
    </row>
    <row r="36172" spans="9:9" x14ac:dyDescent="0.3">
      <c r="I36172" s="101"/>
    </row>
    <row r="36173" spans="9:9" x14ac:dyDescent="0.3">
      <c r="I36173" s="101"/>
    </row>
    <row r="36174" spans="9:9" x14ac:dyDescent="0.3">
      <c r="I36174" s="101"/>
    </row>
    <row r="36175" spans="9:9" x14ac:dyDescent="0.3">
      <c r="I36175" s="101"/>
    </row>
    <row r="36176" spans="9:9" x14ac:dyDescent="0.3">
      <c r="I36176" s="101"/>
    </row>
    <row r="36177" spans="9:9" x14ac:dyDescent="0.3">
      <c r="I36177" s="101"/>
    </row>
    <row r="36178" spans="9:9" x14ac:dyDescent="0.3">
      <c r="I36178" s="101"/>
    </row>
    <row r="36179" spans="9:9" x14ac:dyDescent="0.3">
      <c r="I36179" s="101"/>
    </row>
    <row r="36180" spans="9:9" x14ac:dyDescent="0.3">
      <c r="I36180" s="101"/>
    </row>
    <row r="36181" spans="9:9" x14ac:dyDescent="0.3">
      <c r="I36181" s="101"/>
    </row>
    <row r="36182" spans="9:9" x14ac:dyDescent="0.3">
      <c r="I36182" s="101"/>
    </row>
    <row r="36183" spans="9:9" x14ac:dyDescent="0.3">
      <c r="I36183" s="101"/>
    </row>
    <row r="36184" spans="9:9" x14ac:dyDescent="0.3">
      <c r="I36184" s="101"/>
    </row>
    <row r="36185" spans="9:9" x14ac:dyDescent="0.3">
      <c r="I36185" s="101"/>
    </row>
    <row r="36186" spans="9:9" x14ac:dyDescent="0.3">
      <c r="I36186" s="101"/>
    </row>
    <row r="36187" spans="9:9" x14ac:dyDescent="0.3">
      <c r="I36187" s="101"/>
    </row>
    <row r="36188" spans="9:9" x14ac:dyDescent="0.3">
      <c r="I36188" s="101"/>
    </row>
    <row r="36189" spans="9:9" x14ac:dyDescent="0.3">
      <c r="I36189" s="101"/>
    </row>
    <row r="36190" spans="9:9" x14ac:dyDescent="0.3">
      <c r="I36190" s="101"/>
    </row>
    <row r="36191" spans="9:9" x14ac:dyDescent="0.3">
      <c r="I36191" s="101"/>
    </row>
    <row r="36192" spans="9:9" x14ac:dyDescent="0.3">
      <c r="I36192" s="101"/>
    </row>
    <row r="36193" spans="9:9" x14ac:dyDescent="0.3">
      <c r="I36193" s="101"/>
    </row>
    <row r="36194" spans="9:9" x14ac:dyDescent="0.3">
      <c r="I36194" s="101"/>
    </row>
    <row r="36195" spans="9:9" x14ac:dyDescent="0.3">
      <c r="I36195" s="101"/>
    </row>
    <row r="36196" spans="9:9" x14ac:dyDescent="0.3">
      <c r="I36196" s="101"/>
    </row>
    <row r="36197" spans="9:9" x14ac:dyDescent="0.3">
      <c r="I36197" s="101"/>
    </row>
    <row r="36198" spans="9:9" x14ac:dyDescent="0.3">
      <c r="I36198" s="101"/>
    </row>
    <row r="36199" spans="9:9" x14ac:dyDescent="0.3">
      <c r="I36199" s="101"/>
    </row>
    <row r="36200" spans="9:9" x14ac:dyDescent="0.3">
      <c r="I36200" s="101"/>
    </row>
    <row r="36201" spans="9:9" x14ac:dyDescent="0.3">
      <c r="I36201" s="101"/>
    </row>
    <row r="36202" spans="9:9" x14ac:dyDescent="0.3">
      <c r="I36202" s="101"/>
    </row>
    <row r="36203" spans="9:9" x14ac:dyDescent="0.3">
      <c r="I36203" s="101"/>
    </row>
    <row r="36204" spans="9:9" x14ac:dyDescent="0.3">
      <c r="I36204" s="101"/>
    </row>
    <row r="36205" spans="9:9" x14ac:dyDescent="0.3">
      <c r="I36205" s="101"/>
    </row>
    <row r="36206" spans="9:9" x14ac:dyDescent="0.3">
      <c r="I36206" s="101"/>
    </row>
    <row r="36207" spans="9:9" x14ac:dyDescent="0.3">
      <c r="I36207" s="101"/>
    </row>
    <row r="36208" spans="9:9" x14ac:dyDescent="0.3">
      <c r="I36208" s="101"/>
    </row>
    <row r="36209" spans="9:9" x14ac:dyDescent="0.3">
      <c r="I36209" s="101"/>
    </row>
    <row r="36210" spans="9:9" x14ac:dyDescent="0.3">
      <c r="I36210" s="101"/>
    </row>
    <row r="36211" spans="9:9" x14ac:dyDescent="0.3">
      <c r="I36211" s="101"/>
    </row>
    <row r="36212" spans="9:9" x14ac:dyDescent="0.3">
      <c r="I36212" s="101"/>
    </row>
    <row r="36213" spans="9:9" x14ac:dyDescent="0.3">
      <c r="I36213" s="101"/>
    </row>
    <row r="36214" spans="9:9" x14ac:dyDescent="0.3">
      <c r="I36214" s="101"/>
    </row>
    <row r="36215" spans="9:9" x14ac:dyDescent="0.3">
      <c r="I36215" s="101"/>
    </row>
    <row r="36216" spans="9:9" x14ac:dyDescent="0.3">
      <c r="I36216" s="101"/>
    </row>
    <row r="36217" spans="9:9" x14ac:dyDescent="0.3">
      <c r="I36217" s="101"/>
    </row>
    <row r="36218" spans="9:9" x14ac:dyDescent="0.3">
      <c r="I36218" s="101"/>
    </row>
    <row r="36219" spans="9:9" x14ac:dyDescent="0.3">
      <c r="I36219" s="101"/>
    </row>
    <row r="36220" spans="9:9" x14ac:dyDescent="0.3">
      <c r="I36220" s="101"/>
    </row>
    <row r="36221" spans="9:9" x14ac:dyDescent="0.3">
      <c r="I36221" s="101"/>
    </row>
    <row r="36222" spans="9:9" x14ac:dyDescent="0.3">
      <c r="I36222" s="101"/>
    </row>
    <row r="36223" spans="9:9" x14ac:dyDescent="0.3">
      <c r="I36223" s="101"/>
    </row>
    <row r="36224" spans="9:9" x14ac:dyDescent="0.3">
      <c r="I36224" s="101"/>
    </row>
    <row r="36225" spans="9:9" x14ac:dyDescent="0.3">
      <c r="I36225" s="101"/>
    </row>
    <row r="36226" spans="9:9" x14ac:dyDescent="0.3">
      <c r="I36226" s="101"/>
    </row>
    <row r="36227" spans="9:9" x14ac:dyDescent="0.3">
      <c r="I36227" s="101"/>
    </row>
    <row r="36228" spans="9:9" x14ac:dyDescent="0.3">
      <c r="I36228" s="101"/>
    </row>
    <row r="36229" spans="9:9" x14ac:dyDescent="0.3">
      <c r="I36229" s="101"/>
    </row>
    <row r="36230" spans="9:9" x14ac:dyDescent="0.3">
      <c r="I36230" s="101"/>
    </row>
    <row r="36231" spans="9:9" x14ac:dyDescent="0.3">
      <c r="I36231" s="101"/>
    </row>
    <row r="36232" spans="9:9" x14ac:dyDescent="0.3">
      <c r="I36232" s="101"/>
    </row>
    <row r="36233" spans="9:9" x14ac:dyDescent="0.3">
      <c r="I36233" s="101"/>
    </row>
    <row r="36234" spans="9:9" x14ac:dyDescent="0.3">
      <c r="I36234" s="101"/>
    </row>
    <row r="36235" spans="9:9" x14ac:dyDescent="0.3">
      <c r="I36235" s="101"/>
    </row>
    <row r="36236" spans="9:9" x14ac:dyDescent="0.3">
      <c r="I36236" s="101"/>
    </row>
    <row r="36237" spans="9:9" x14ac:dyDescent="0.3">
      <c r="I36237" s="101"/>
    </row>
    <row r="36238" spans="9:9" x14ac:dyDescent="0.3">
      <c r="I36238" s="101"/>
    </row>
    <row r="36239" spans="9:9" x14ac:dyDescent="0.3">
      <c r="I36239" s="101"/>
    </row>
    <row r="36240" spans="9:9" x14ac:dyDescent="0.3">
      <c r="I36240" s="101"/>
    </row>
    <row r="36241" spans="9:9" x14ac:dyDescent="0.3">
      <c r="I36241" s="101"/>
    </row>
    <row r="36242" spans="9:9" x14ac:dyDescent="0.3">
      <c r="I36242" s="101"/>
    </row>
    <row r="36243" spans="9:9" x14ac:dyDescent="0.3">
      <c r="I36243" s="101"/>
    </row>
    <row r="36244" spans="9:9" x14ac:dyDescent="0.3">
      <c r="I36244" s="101"/>
    </row>
    <row r="36245" spans="9:9" x14ac:dyDescent="0.3">
      <c r="I36245" s="101"/>
    </row>
    <row r="36246" spans="9:9" x14ac:dyDescent="0.3">
      <c r="I36246" s="101"/>
    </row>
    <row r="36247" spans="9:9" x14ac:dyDescent="0.3">
      <c r="I36247" s="101"/>
    </row>
    <row r="36248" spans="9:9" x14ac:dyDescent="0.3">
      <c r="I36248" s="101"/>
    </row>
    <row r="36249" spans="9:9" x14ac:dyDescent="0.3">
      <c r="I36249" s="101"/>
    </row>
    <row r="36250" spans="9:9" x14ac:dyDescent="0.3">
      <c r="I36250" s="101"/>
    </row>
    <row r="36251" spans="9:9" x14ac:dyDescent="0.3">
      <c r="I36251" s="101"/>
    </row>
    <row r="36252" spans="9:9" x14ac:dyDescent="0.3">
      <c r="I36252" s="101"/>
    </row>
    <row r="36253" spans="9:9" x14ac:dyDescent="0.3">
      <c r="I36253" s="101"/>
    </row>
    <row r="36254" spans="9:9" x14ac:dyDescent="0.3">
      <c r="I36254" s="101"/>
    </row>
    <row r="36255" spans="9:9" x14ac:dyDescent="0.3">
      <c r="I36255" s="101"/>
    </row>
    <row r="36256" spans="9:9" x14ac:dyDescent="0.3">
      <c r="I36256" s="101"/>
    </row>
    <row r="36257" spans="9:9" x14ac:dyDescent="0.3">
      <c r="I36257" s="101"/>
    </row>
    <row r="36258" spans="9:9" x14ac:dyDescent="0.3">
      <c r="I36258" s="101"/>
    </row>
    <row r="36259" spans="9:9" x14ac:dyDescent="0.3">
      <c r="I36259" s="101"/>
    </row>
    <row r="36260" spans="9:9" x14ac:dyDescent="0.3">
      <c r="I36260" s="101"/>
    </row>
    <row r="36261" spans="9:9" x14ac:dyDescent="0.3">
      <c r="I36261" s="101"/>
    </row>
    <row r="36262" spans="9:9" x14ac:dyDescent="0.3">
      <c r="I36262" s="101"/>
    </row>
    <row r="36263" spans="9:9" x14ac:dyDescent="0.3">
      <c r="I36263" s="101"/>
    </row>
    <row r="36264" spans="9:9" x14ac:dyDescent="0.3">
      <c r="I36264" s="101"/>
    </row>
    <row r="36265" spans="9:9" x14ac:dyDescent="0.3">
      <c r="I36265" s="101"/>
    </row>
    <row r="36266" spans="9:9" x14ac:dyDescent="0.3">
      <c r="I36266" s="101"/>
    </row>
    <row r="36267" spans="9:9" x14ac:dyDescent="0.3">
      <c r="I36267" s="101"/>
    </row>
    <row r="36268" spans="9:9" x14ac:dyDescent="0.3">
      <c r="I36268" s="101"/>
    </row>
    <row r="36269" spans="9:9" x14ac:dyDescent="0.3">
      <c r="I36269" s="101"/>
    </row>
    <row r="36270" spans="9:9" x14ac:dyDescent="0.3">
      <c r="I36270" s="101"/>
    </row>
    <row r="36271" spans="9:9" x14ac:dyDescent="0.3">
      <c r="I36271" s="101"/>
    </row>
    <row r="36272" spans="9:9" x14ac:dyDescent="0.3">
      <c r="I36272" s="101"/>
    </row>
    <row r="36273" spans="9:9" x14ac:dyDescent="0.3">
      <c r="I36273" s="101"/>
    </row>
    <row r="36274" spans="9:9" x14ac:dyDescent="0.3">
      <c r="I36274" s="101"/>
    </row>
    <row r="36275" spans="9:9" x14ac:dyDescent="0.3">
      <c r="I36275" s="101"/>
    </row>
    <row r="36276" spans="9:9" x14ac:dyDescent="0.3">
      <c r="I36276" s="101"/>
    </row>
    <row r="36277" spans="9:9" x14ac:dyDescent="0.3">
      <c r="I36277" s="101"/>
    </row>
    <row r="36278" spans="9:9" x14ac:dyDescent="0.3">
      <c r="I36278" s="101"/>
    </row>
    <row r="36279" spans="9:9" x14ac:dyDescent="0.3">
      <c r="I36279" s="101"/>
    </row>
    <row r="36280" spans="9:9" x14ac:dyDescent="0.3">
      <c r="I36280" s="101"/>
    </row>
    <row r="36281" spans="9:9" x14ac:dyDescent="0.3">
      <c r="I36281" s="101"/>
    </row>
    <row r="36282" spans="9:9" x14ac:dyDescent="0.3">
      <c r="I36282" s="101"/>
    </row>
    <row r="36283" spans="9:9" x14ac:dyDescent="0.3">
      <c r="I36283" s="101"/>
    </row>
    <row r="36284" spans="9:9" x14ac:dyDescent="0.3">
      <c r="I36284" s="101"/>
    </row>
    <row r="36285" spans="9:9" x14ac:dyDescent="0.3">
      <c r="I36285" s="101"/>
    </row>
    <row r="36286" spans="9:9" x14ac:dyDescent="0.3">
      <c r="I36286" s="101"/>
    </row>
    <row r="36287" spans="9:9" x14ac:dyDescent="0.3">
      <c r="I36287" s="101"/>
    </row>
    <row r="36288" spans="9:9" x14ac:dyDescent="0.3">
      <c r="I36288" s="101"/>
    </row>
    <row r="36289" spans="9:9" x14ac:dyDescent="0.3">
      <c r="I36289" s="101"/>
    </row>
    <row r="36290" spans="9:9" x14ac:dyDescent="0.3">
      <c r="I36290" s="101"/>
    </row>
    <row r="36291" spans="9:9" x14ac:dyDescent="0.3">
      <c r="I36291" s="101"/>
    </row>
    <row r="36292" spans="9:9" x14ac:dyDescent="0.3">
      <c r="I36292" s="101"/>
    </row>
    <row r="36293" spans="9:9" x14ac:dyDescent="0.3">
      <c r="I36293" s="101"/>
    </row>
    <row r="36294" spans="9:9" x14ac:dyDescent="0.3">
      <c r="I36294" s="101"/>
    </row>
    <row r="36295" spans="9:9" x14ac:dyDescent="0.3">
      <c r="I36295" s="101"/>
    </row>
    <row r="36296" spans="9:9" x14ac:dyDescent="0.3">
      <c r="I36296" s="101"/>
    </row>
    <row r="36297" spans="9:9" x14ac:dyDescent="0.3">
      <c r="I36297" s="101"/>
    </row>
    <row r="36298" spans="9:9" x14ac:dyDescent="0.3">
      <c r="I36298" s="101"/>
    </row>
    <row r="36299" spans="9:9" x14ac:dyDescent="0.3">
      <c r="I36299" s="101"/>
    </row>
    <row r="36300" spans="9:9" x14ac:dyDescent="0.3">
      <c r="I36300" s="101"/>
    </row>
    <row r="36301" spans="9:9" x14ac:dyDescent="0.3">
      <c r="I36301" s="101"/>
    </row>
    <row r="36302" spans="9:9" x14ac:dyDescent="0.3">
      <c r="I36302" s="101"/>
    </row>
    <row r="36303" spans="9:9" x14ac:dyDescent="0.3">
      <c r="I36303" s="101"/>
    </row>
    <row r="36304" spans="9:9" x14ac:dyDescent="0.3">
      <c r="I36304" s="101"/>
    </row>
    <row r="36305" spans="9:9" x14ac:dyDescent="0.3">
      <c r="I36305" s="101"/>
    </row>
    <row r="36306" spans="9:9" x14ac:dyDescent="0.3">
      <c r="I36306" s="101"/>
    </row>
    <row r="36307" spans="9:9" x14ac:dyDescent="0.3">
      <c r="I36307" s="101"/>
    </row>
    <row r="36308" spans="9:9" x14ac:dyDescent="0.3">
      <c r="I36308" s="101"/>
    </row>
    <row r="36309" spans="9:9" x14ac:dyDescent="0.3">
      <c r="I36309" s="101"/>
    </row>
    <row r="36310" spans="9:9" x14ac:dyDescent="0.3">
      <c r="I36310" s="101"/>
    </row>
    <row r="36311" spans="9:9" x14ac:dyDescent="0.3">
      <c r="I36311" s="101"/>
    </row>
    <row r="36312" spans="9:9" x14ac:dyDescent="0.3">
      <c r="I36312" s="101"/>
    </row>
    <row r="36313" spans="9:9" x14ac:dyDescent="0.3">
      <c r="I36313" s="101"/>
    </row>
    <row r="36314" spans="9:9" x14ac:dyDescent="0.3">
      <c r="I36314" s="101"/>
    </row>
    <row r="36315" spans="9:9" x14ac:dyDescent="0.3">
      <c r="I36315" s="101"/>
    </row>
    <row r="36316" spans="9:9" x14ac:dyDescent="0.3">
      <c r="I36316" s="101"/>
    </row>
    <row r="36317" spans="9:9" x14ac:dyDescent="0.3">
      <c r="I36317" s="101"/>
    </row>
    <row r="36318" spans="9:9" x14ac:dyDescent="0.3">
      <c r="I36318" s="101"/>
    </row>
    <row r="36319" spans="9:9" x14ac:dyDescent="0.3">
      <c r="I36319" s="101"/>
    </row>
    <row r="36320" spans="9:9" x14ac:dyDescent="0.3">
      <c r="I36320" s="101"/>
    </row>
    <row r="36321" spans="9:9" x14ac:dyDescent="0.3">
      <c r="I36321" s="101"/>
    </row>
    <row r="36322" spans="9:9" x14ac:dyDescent="0.3">
      <c r="I36322" s="101"/>
    </row>
    <row r="36323" spans="9:9" x14ac:dyDescent="0.3">
      <c r="I36323" s="101"/>
    </row>
    <row r="36324" spans="9:9" x14ac:dyDescent="0.3">
      <c r="I36324" s="101"/>
    </row>
    <row r="36325" spans="9:9" x14ac:dyDescent="0.3">
      <c r="I36325" s="101"/>
    </row>
    <row r="36326" spans="9:9" x14ac:dyDescent="0.3">
      <c r="I36326" s="101"/>
    </row>
    <row r="36327" spans="9:9" x14ac:dyDescent="0.3">
      <c r="I36327" s="101"/>
    </row>
    <row r="36328" spans="9:9" x14ac:dyDescent="0.3">
      <c r="I36328" s="101"/>
    </row>
    <row r="36329" spans="9:9" x14ac:dyDescent="0.3">
      <c r="I36329" s="101"/>
    </row>
    <row r="36330" spans="9:9" x14ac:dyDescent="0.3">
      <c r="I36330" s="101"/>
    </row>
    <row r="36331" spans="9:9" x14ac:dyDescent="0.3">
      <c r="I36331" s="101"/>
    </row>
    <row r="36332" spans="9:9" x14ac:dyDescent="0.3">
      <c r="I36332" s="101"/>
    </row>
    <row r="36333" spans="9:9" x14ac:dyDescent="0.3">
      <c r="I36333" s="101"/>
    </row>
    <row r="36334" spans="9:9" x14ac:dyDescent="0.3">
      <c r="I36334" s="101"/>
    </row>
    <row r="36335" spans="9:9" x14ac:dyDescent="0.3">
      <c r="I36335" s="101"/>
    </row>
    <row r="36336" spans="9:9" x14ac:dyDescent="0.3">
      <c r="I36336" s="101"/>
    </row>
    <row r="36337" spans="9:9" x14ac:dyDescent="0.3">
      <c r="I36337" s="101"/>
    </row>
    <row r="36338" spans="9:9" x14ac:dyDescent="0.3">
      <c r="I36338" s="101"/>
    </row>
    <row r="36339" spans="9:9" x14ac:dyDescent="0.3">
      <c r="I36339" s="101"/>
    </row>
    <row r="36340" spans="9:9" x14ac:dyDescent="0.3">
      <c r="I36340" s="101"/>
    </row>
    <row r="36341" spans="9:9" x14ac:dyDescent="0.3">
      <c r="I36341" s="101"/>
    </row>
    <row r="36342" spans="9:9" x14ac:dyDescent="0.3">
      <c r="I36342" s="101"/>
    </row>
    <row r="36343" spans="9:9" x14ac:dyDescent="0.3">
      <c r="I36343" s="101"/>
    </row>
    <row r="36344" spans="9:9" x14ac:dyDescent="0.3">
      <c r="I36344" s="101"/>
    </row>
    <row r="36345" spans="9:9" x14ac:dyDescent="0.3">
      <c r="I36345" s="101"/>
    </row>
    <row r="36346" spans="9:9" x14ac:dyDescent="0.3">
      <c r="I36346" s="101"/>
    </row>
    <row r="36347" spans="9:9" x14ac:dyDescent="0.3">
      <c r="I36347" s="101"/>
    </row>
    <row r="36348" spans="9:9" x14ac:dyDescent="0.3">
      <c r="I36348" s="101"/>
    </row>
    <row r="36349" spans="9:9" x14ac:dyDescent="0.3">
      <c r="I36349" s="101"/>
    </row>
    <row r="36350" spans="9:9" x14ac:dyDescent="0.3">
      <c r="I36350" s="101"/>
    </row>
    <row r="36351" spans="9:9" x14ac:dyDescent="0.3">
      <c r="I36351" s="101"/>
    </row>
    <row r="36352" spans="9:9" x14ac:dyDescent="0.3">
      <c r="I36352" s="101"/>
    </row>
    <row r="36353" spans="9:9" x14ac:dyDescent="0.3">
      <c r="I36353" s="101"/>
    </row>
    <row r="36354" spans="9:9" x14ac:dyDescent="0.3">
      <c r="I36354" s="101"/>
    </row>
    <row r="36355" spans="9:9" x14ac:dyDescent="0.3">
      <c r="I36355" s="101"/>
    </row>
    <row r="36356" spans="9:9" x14ac:dyDescent="0.3">
      <c r="I36356" s="101"/>
    </row>
    <row r="36357" spans="9:9" x14ac:dyDescent="0.3">
      <c r="I36357" s="101"/>
    </row>
    <row r="36358" spans="9:9" x14ac:dyDescent="0.3">
      <c r="I36358" s="101"/>
    </row>
    <row r="36359" spans="9:9" x14ac:dyDescent="0.3">
      <c r="I36359" s="101"/>
    </row>
    <row r="36360" spans="9:9" x14ac:dyDescent="0.3">
      <c r="I36360" s="101"/>
    </row>
    <row r="36361" spans="9:9" x14ac:dyDescent="0.3">
      <c r="I36361" s="101"/>
    </row>
    <row r="36362" spans="9:9" x14ac:dyDescent="0.3">
      <c r="I36362" s="101"/>
    </row>
    <row r="36363" spans="9:9" x14ac:dyDescent="0.3">
      <c r="I36363" s="101"/>
    </row>
    <row r="36364" spans="9:9" x14ac:dyDescent="0.3">
      <c r="I36364" s="101"/>
    </row>
    <row r="36365" spans="9:9" x14ac:dyDescent="0.3">
      <c r="I36365" s="101"/>
    </row>
    <row r="36366" spans="9:9" x14ac:dyDescent="0.3">
      <c r="I36366" s="101"/>
    </row>
    <row r="36367" spans="9:9" x14ac:dyDescent="0.3">
      <c r="I36367" s="101"/>
    </row>
    <row r="36368" spans="9:9" x14ac:dyDescent="0.3">
      <c r="I36368" s="101"/>
    </row>
    <row r="36369" spans="9:9" x14ac:dyDescent="0.3">
      <c r="I36369" s="101"/>
    </row>
    <row r="36370" spans="9:9" x14ac:dyDescent="0.3">
      <c r="I36370" s="101"/>
    </row>
    <row r="36371" spans="9:9" x14ac:dyDescent="0.3">
      <c r="I36371" s="101"/>
    </row>
    <row r="36372" spans="9:9" x14ac:dyDescent="0.3">
      <c r="I36372" s="101"/>
    </row>
    <row r="36373" spans="9:9" x14ac:dyDescent="0.3">
      <c r="I36373" s="101"/>
    </row>
    <row r="36374" spans="9:9" x14ac:dyDescent="0.3">
      <c r="I36374" s="101"/>
    </row>
    <row r="36375" spans="9:9" x14ac:dyDescent="0.3">
      <c r="I36375" s="101"/>
    </row>
    <row r="36376" spans="9:9" x14ac:dyDescent="0.3">
      <c r="I36376" s="101"/>
    </row>
    <row r="36377" spans="9:9" x14ac:dyDescent="0.3">
      <c r="I36377" s="101"/>
    </row>
    <row r="36378" spans="9:9" x14ac:dyDescent="0.3">
      <c r="I36378" s="101"/>
    </row>
    <row r="36379" spans="9:9" x14ac:dyDescent="0.3">
      <c r="I36379" s="101"/>
    </row>
    <row r="36380" spans="9:9" x14ac:dyDescent="0.3">
      <c r="I36380" s="101"/>
    </row>
    <row r="36381" spans="9:9" x14ac:dyDescent="0.3">
      <c r="I36381" s="101"/>
    </row>
    <row r="36382" spans="9:9" x14ac:dyDescent="0.3">
      <c r="I36382" s="101"/>
    </row>
    <row r="36383" spans="9:9" x14ac:dyDescent="0.3">
      <c r="I36383" s="101"/>
    </row>
    <row r="36384" spans="9:9" x14ac:dyDescent="0.3">
      <c r="I36384" s="101"/>
    </row>
    <row r="36385" spans="9:9" x14ac:dyDescent="0.3">
      <c r="I36385" s="101"/>
    </row>
    <row r="36386" spans="9:9" x14ac:dyDescent="0.3">
      <c r="I36386" s="101"/>
    </row>
    <row r="36387" spans="9:9" x14ac:dyDescent="0.3">
      <c r="I36387" s="101"/>
    </row>
    <row r="36388" spans="9:9" x14ac:dyDescent="0.3">
      <c r="I36388" s="101"/>
    </row>
    <row r="36389" spans="9:9" x14ac:dyDescent="0.3">
      <c r="I36389" s="101"/>
    </row>
    <row r="36390" spans="9:9" x14ac:dyDescent="0.3">
      <c r="I36390" s="101"/>
    </row>
    <row r="36391" spans="9:9" x14ac:dyDescent="0.3">
      <c r="I36391" s="101"/>
    </row>
    <row r="36392" spans="9:9" x14ac:dyDescent="0.3">
      <c r="I36392" s="101"/>
    </row>
    <row r="36393" spans="9:9" x14ac:dyDescent="0.3">
      <c r="I36393" s="101"/>
    </row>
    <row r="36394" spans="9:9" x14ac:dyDescent="0.3">
      <c r="I36394" s="101"/>
    </row>
    <row r="36395" spans="9:9" x14ac:dyDescent="0.3">
      <c r="I36395" s="101"/>
    </row>
    <row r="36396" spans="9:9" x14ac:dyDescent="0.3">
      <c r="I36396" s="101"/>
    </row>
    <row r="36397" spans="9:9" x14ac:dyDescent="0.3">
      <c r="I36397" s="101"/>
    </row>
    <row r="36398" spans="9:9" x14ac:dyDescent="0.3">
      <c r="I36398" s="101"/>
    </row>
    <row r="36399" spans="9:9" x14ac:dyDescent="0.3">
      <c r="I36399" s="101"/>
    </row>
    <row r="36400" spans="9:9" x14ac:dyDescent="0.3">
      <c r="I36400" s="101"/>
    </row>
    <row r="36401" spans="9:9" x14ac:dyDescent="0.3">
      <c r="I36401" s="101"/>
    </row>
    <row r="36402" spans="9:9" x14ac:dyDescent="0.3">
      <c r="I36402" s="101"/>
    </row>
    <row r="36403" spans="9:9" x14ac:dyDescent="0.3">
      <c r="I36403" s="101"/>
    </row>
    <row r="36404" spans="9:9" x14ac:dyDescent="0.3">
      <c r="I36404" s="101"/>
    </row>
    <row r="36405" spans="9:9" x14ac:dyDescent="0.3">
      <c r="I36405" s="101"/>
    </row>
    <row r="36406" spans="9:9" x14ac:dyDescent="0.3">
      <c r="I36406" s="101"/>
    </row>
    <row r="36407" spans="9:9" x14ac:dyDescent="0.3">
      <c r="I36407" s="101"/>
    </row>
    <row r="36408" spans="9:9" x14ac:dyDescent="0.3">
      <c r="I36408" s="101"/>
    </row>
    <row r="36409" spans="9:9" x14ac:dyDescent="0.3">
      <c r="I36409" s="101"/>
    </row>
    <row r="36410" spans="9:9" x14ac:dyDescent="0.3">
      <c r="I36410" s="101"/>
    </row>
    <row r="36411" spans="9:9" x14ac:dyDescent="0.3">
      <c r="I36411" s="101"/>
    </row>
    <row r="36412" spans="9:9" x14ac:dyDescent="0.3">
      <c r="I36412" s="101"/>
    </row>
    <row r="36413" spans="9:9" x14ac:dyDescent="0.3">
      <c r="I36413" s="101"/>
    </row>
    <row r="36414" spans="9:9" x14ac:dyDescent="0.3">
      <c r="I36414" s="101"/>
    </row>
    <row r="36415" spans="9:9" x14ac:dyDescent="0.3">
      <c r="I36415" s="101"/>
    </row>
    <row r="36416" spans="9:9" x14ac:dyDescent="0.3">
      <c r="I36416" s="101"/>
    </row>
    <row r="36417" spans="9:9" x14ac:dyDescent="0.3">
      <c r="I36417" s="101"/>
    </row>
    <row r="36418" spans="9:9" x14ac:dyDescent="0.3">
      <c r="I36418" s="101"/>
    </row>
    <row r="36419" spans="9:9" x14ac:dyDescent="0.3">
      <c r="I36419" s="101"/>
    </row>
    <row r="36420" spans="9:9" x14ac:dyDescent="0.3">
      <c r="I36420" s="101"/>
    </row>
    <row r="36421" spans="9:9" x14ac:dyDescent="0.3">
      <c r="I36421" s="101"/>
    </row>
    <row r="36422" spans="9:9" x14ac:dyDescent="0.3">
      <c r="I36422" s="101"/>
    </row>
    <row r="36423" spans="9:9" x14ac:dyDescent="0.3">
      <c r="I36423" s="101"/>
    </row>
    <row r="36424" spans="9:9" x14ac:dyDescent="0.3">
      <c r="I36424" s="101"/>
    </row>
    <row r="36425" spans="9:9" x14ac:dyDescent="0.3">
      <c r="I36425" s="101"/>
    </row>
    <row r="36426" spans="9:9" x14ac:dyDescent="0.3">
      <c r="I36426" s="101"/>
    </row>
    <row r="36427" spans="9:9" x14ac:dyDescent="0.3">
      <c r="I36427" s="101"/>
    </row>
    <row r="36428" spans="9:9" x14ac:dyDescent="0.3">
      <c r="I36428" s="101"/>
    </row>
    <row r="36429" spans="9:9" x14ac:dyDescent="0.3">
      <c r="I36429" s="101"/>
    </row>
    <row r="36430" spans="9:9" x14ac:dyDescent="0.3">
      <c r="I36430" s="101"/>
    </row>
    <row r="36431" spans="9:9" x14ac:dyDescent="0.3">
      <c r="I36431" s="101"/>
    </row>
    <row r="36432" spans="9:9" x14ac:dyDescent="0.3">
      <c r="I36432" s="101"/>
    </row>
    <row r="36433" spans="9:9" x14ac:dyDescent="0.3">
      <c r="I36433" s="101"/>
    </row>
    <row r="36434" spans="9:9" x14ac:dyDescent="0.3">
      <c r="I36434" s="101"/>
    </row>
    <row r="36435" spans="9:9" x14ac:dyDescent="0.3">
      <c r="I36435" s="101"/>
    </row>
    <row r="36436" spans="9:9" x14ac:dyDescent="0.3">
      <c r="I36436" s="101"/>
    </row>
    <row r="36437" spans="9:9" x14ac:dyDescent="0.3">
      <c r="I36437" s="101"/>
    </row>
    <row r="36438" spans="9:9" x14ac:dyDescent="0.3">
      <c r="I36438" s="101"/>
    </row>
    <row r="36439" spans="9:9" x14ac:dyDescent="0.3">
      <c r="I36439" s="101"/>
    </row>
    <row r="36440" spans="9:9" x14ac:dyDescent="0.3">
      <c r="I36440" s="101"/>
    </row>
    <row r="36441" spans="9:9" x14ac:dyDescent="0.3">
      <c r="I36441" s="101"/>
    </row>
    <row r="36442" spans="9:9" x14ac:dyDescent="0.3">
      <c r="I36442" s="101"/>
    </row>
    <row r="36443" spans="9:9" x14ac:dyDescent="0.3">
      <c r="I36443" s="101"/>
    </row>
    <row r="36444" spans="9:9" x14ac:dyDescent="0.3">
      <c r="I36444" s="101"/>
    </row>
    <row r="36445" spans="9:9" x14ac:dyDescent="0.3">
      <c r="I36445" s="101"/>
    </row>
    <row r="36446" spans="9:9" x14ac:dyDescent="0.3">
      <c r="I36446" s="101"/>
    </row>
    <row r="36447" spans="9:9" x14ac:dyDescent="0.3">
      <c r="I36447" s="101"/>
    </row>
    <row r="36448" spans="9:9" x14ac:dyDescent="0.3">
      <c r="I36448" s="101"/>
    </row>
    <row r="36449" spans="9:9" x14ac:dyDescent="0.3">
      <c r="I36449" s="101"/>
    </row>
    <row r="36450" spans="9:9" x14ac:dyDescent="0.3">
      <c r="I36450" s="101"/>
    </row>
    <row r="36451" spans="9:9" x14ac:dyDescent="0.3">
      <c r="I36451" s="101"/>
    </row>
    <row r="36452" spans="9:9" x14ac:dyDescent="0.3">
      <c r="I36452" s="101"/>
    </row>
    <row r="36453" spans="9:9" x14ac:dyDescent="0.3">
      <c r="I36453" s="101"/>
    </row>
    <row r="36454" spans="9:9" x14ac:dyDescent="0.3">
      <c r="I36454" s="101"/>
    </row>
    <row r="36455" spans="9:9" x14ac:dyDescent="0.3">
      <c r="I36455" s="101"/>
    </row>
    <row r="36456" spans="9:9" x14ac:dyDescent="0.3">
      <c r="I36456" s="101"/>
    </row>
    <row r="36457" spans="9:9" x14ac:dyDescent="0.3">
      <c r="I36457" s="101"/>
    </row>
    <row r="36458" spans="9:9" x14ac:dyDescent="0.3">
      <c r="I36458" s="101"/>
    </row>
    <row r="36459" spans="9:9" x14ac:dyDescent="0.3">
      <c r="I36459" s="101"/>
    </row>
    <row r="36460" spans="9:9" x14ac:dyDescent="0.3">
      <c r="I36460" s="101"/>
    </row>
    <row r="36461" spans="9:9" x14ac:dyDescent="0.3">
      <c r="I36461" s="101"/>
    </row>
    <row r="36462" spans="9:9" x14ac:dyDescent="0.3">
      <c r="I36462" s="101"/>
    </row>
    <row r="36463" spans="9:9" x14ac:dyDescent="0.3">
      <c r="I36463" s="101"/>
    </row>
    <row r="36464" spans="9:9" x14ac:dyDescent="0.3">
      <c r="I36464" s="101"/>
    </row>
    <row r="36465" spans="9:9" x14ac:dyDescent="0.3">
      <c r="I36465" s="101"/>
    </row>
    <row r="36466" spans="9:9" x14ac:dyDescent="0.3">
      <c r="I36466" s="101"/>
    </row>
    <row r="36467" spans="9:9" x14ac:dyDescent="0.3">
      <c r="I36467" s="101"/>
    </row>
    <row r="36468" spans="9:9" x14ac:dyDescent="0.3">
      <c r="I36468" s="101"/>
    </row>
    <row r="36469" spans="9:9" x14ac:dyDescent="0.3">
      <c r="I36469" s="101"/>
    </row>
    <row r="36470" spans="9:9" x14ac:dyDescent="0.3">
      <c r="I36470" s="101"/>
    </row>
    <row r="36471" spans="9:9" x14ac:dyDescent="0.3">
      <c r="I36471" s="101"/>
    </row>
    <row r="36472" spans="9:9" x14ac:dyDescent="0.3">
      <c r="I36472" s="101"/>
    </row>
    <row r="36473" spans="9:9" x14ac:dyDescent="0.3">
      <c r="I36473" s="101"/>
    </row>
    <row r="36474" spans="9:9" x14ac:dyDescent="0.3">
      <c r="I36474" s="101"/>
    </row>
    <row r="36475" spans="9:9" x14ac:dyDescent="0.3">
      <c r="I36475" s="101"/>
    </row>
    <row r="36476" spans="9:9" x14ac:dyDescent="0.3">
      <c r="I36476" s="101"/>
    </row>
    <row r="36477" spans="9:9" x14ac:dyDescent="0.3">
      <c r="I36477" s="101"/>
    </row>
    <row r="36478" spans="9:9" x14ac:dyDescent="0.3">
      <c r="I36478" s="101"/>
    </row>
    <row r="36479" spans="9:9" x14ac:dyDescent="0.3">
      <c r="I36479" s="101"/>
    </row>
    <row r="36480" spans="9:9" x14ac:dyDescent="0.3">
      <c r="I36480" s="101"/>
    </row>
    <row r="36481" spans="9:9" x14ac:dyDescent="0.3">
      <c r="I36481" s="101"/>
    </row>
    <row r="36482" spans="9:9" x14ac:dyDescent="0.3">
      <c r="I36482" s="101"/>
    </row>
    <row r="36483" spans="9:9" x14ac:dyDescent="0.3">
      <c r="I36483" s="101"/>
    </row>
    <row r="36484" spans="9:9" x14ac:dyDescent="0.3">
      <c r="I36484" s="101"/>
    </row>
    <row r="36485" spans="9:9" x14ac:dyDescent="0.3">
      <c r="I36485" s="101"/>
    </row>
    <row r="36486" spans="9:9" x14ac:dyDescent="0.3">
      <c r="I36486" s="101"/>
    </row>
    <row r="36487" spans="9:9" x14ac:dyDescent="0.3">
      <c r="I36487" s="101"/>
    </row>
    <row r="36488" spans="9:9" x14ac:dyDescent="0.3">
      <c r="I36488" s="101"/>
    </row>
    <row r="36489" spans="9:9" x14ac:dyDescent="0.3">
      <c r="I36489" s="101"/>
    </row>
    <row r="36490" spans="9:9" x14ac:dyDescent="0.3">
      <c r="I36490" s="101"/>
    </row>
    <row r="36491" spans="9:9" x14ac:dyDescent="0.3">
      <c r="I36491" s="101"/>
    </row>
    <row r="36492" spans="9:9" x14ac:dyDescent="0.3">
      <c r="I36492" s="101"/>
    </row>
    <row r="36493" spans="9:9" x14ac:dyDescent="0.3">
      <c r="I36493" s="101"/>
    </row>
    <row r="36494" spans="9:9" x14ac:dyDescent="0.3">
      <c r="I36494" s="101"/>
    </row>
    <row r="36495" spans="9:9" x14ac:dyDescent="0.3">
      <c r="I36495" s="101"/>
    </row>
    <row r="36496" spans="9:9" x14ac:dyDescent="0.3">
      <c r="I36496" s="101"/>
    </row>
    <row r="36497" spans="9:9" x14ac:dyDescent="0.3">
      <c r="I36497" s="101"/>
    </row>
    <row r="36498" spans="9:9" x14ac:dyDescent="0.3">
      <c r="I36498" s="101"/>
    </row>
    <row r="36499" spans="9:9" x14ac:dyDescent="0.3">
      <c r="I36499" s="101"/>
    </row>
    <row r="36500" spans="9:9" x14ac:dyDescent="0.3">
      <c r="I36500" s="101"/>
    </row>
    <row r="36501" spans="9:9" x14ac:dyDescent="0.3">
      <c r="I36501" s="101"/>
    </row>
    <row r="36502" spans="9:9" x14ac:dyDescent="0.3">
      <c r="I36502" s="101"/>
    </row>
    <row r="36503" spans="9:9" x14ac:dyDescent="0.3">
      <c r="I36503" s="101"/>
    </row>
    <row r="36504" spans="9:9" x14ac:dyDescent="0.3">
      <c r="I36504" s="101"/>
    </row>
    <row r="36505" spans="9:9" x14ac:dyDescent="0.3">
      <c r="I36505" s="101"/>
    </row>
    <row r="36506" spans="9:9" x14ac:dyDescent="0.3">
      <c r="I36506" s="101"/>
    </row>
    <row r="36507" spans="9:9" x14ac:dyDescent="0.3">
      <c r="I36507" s="101"/>
    </row>
    <row r="36508" spans="9:9" x14ac:dyDescent="0.3">
      <c r="I36508" s="101"/>
    </row>
    <row r="36509" spans="9:9" x14ac:dyDescent="0.3">
      <c r="I36509" s="101"/>
    </row>
    <row r="36510" spans="9:9" x14ac:dyDescent="0.3">
      <c r="I36510" s="101"/>
    </row>
    <row r="36511" spans="9:9" x14ac:dyDescent="0.3">
      <c r="I36511" s="101"/>
    </row>
    <row r="36512" spans="9:9" x14ac:dyDescent="0.3">
      <c r="I36512" s="101"/>
    </row>
    <row r="36513" spans="9:9" x14ac:dyDescent="0.3">
      <c r="I36513" s="101"/>
    </row>
    <row r="36514" spans="9:9" x14ac:dyDescent="0.3">
      <c r="I36514" s="101"/>
    </row>
    <row r="36515" spans="9:9" x14ac:dyDescent="0.3">
      <c r="I36515" s="101"/>
    </row>
    <row r="36516" spans="9:9" x14ac:dyDescent="0.3">
      <c r="I36516" s="101"/>
    </row>
    <row r="36517" spans="9:9" x14ac:dyDescent="0.3">
      <c r="I36517" s="101"/>
    </row>
    <row r="36518" spans="9:9" x14ac:dyDescent="0.3">
      <c r="I36518" s="101"/>
    </row>
    <row r="36519" spans="9:9" x14ac:dyDescent="0.3">
      <c r="I36519" s="101"/>
    </row>
    <row r="36520" spans="9:9" x14ac:dyDescent="0.3">
      <c r="I36520" s="101"/>
    </row>
    <row r="36521" spans="9:9" x14ac:dyDescent="0.3">
      <c r="I36521" s="101"/>
    </row>
    <row r="36522" spans="9:9" x14ac:dyDescent="0.3">
      <c r="I36522" s="101"/>
    </row>
    <row r="36523" spans="9:9" x14ac:dyDescent="0.3">
      <c r="I36523" s="101"/>
    </row>
    <row r="36524" spans="9:9" x14ac:dyDescent="0.3">
      <c r="I36524" s="101"/>
    </row>
    <row r="36525" spans="9:9" x14ac:dyDescent="0.3">
      <c r="I36525" s="101"/>
    </row>
    <row r="36526" spans="9:9" x14ac:dyDescent="0.3">
      <c r="I36526" s="101"/>
    </row>
    <row r="36527" spans="9:9" x14ac:dyDescent="0.3">
      <c r="I36527" s="101"/>
    </row>
    <row r="36528" spans="9:9" x14ac:dyDescent="0.3">
      <c r="I36528" s="101"/>
    </row>
    <row r="36529" spans="9:9" x14ac:dyDescent="0.3">
      <c r="I36529" s="101"/>
    </row>
    <row r="36530" spans="9:9" x14ac:dyDescent="0.3">
      <c r="I36530" s="101"/>
    </row>
    <row r="36531" spans="9:9" x14ac:dyDescent="0.3">
      <c r="I36531" s="101"/>
    </row>
    <row r="36532" spans="9:9" x14ac:dyDescent="0.3">
      <c r="I36532" s="101"/>
    </row>
    <row r="36533" spans="9:9" x14ac:dyDescent="0.3">
      <c r="I36533" s="101"/>
    </row>
    <row r="36534" spans="9:9" x14ac:dyDescent="0.3">
      <c r="I36534" s="101"/>
    </row>
    <row r="36535" spans="9:9" x14ac:dyDescent="0.3">
      <c r="I36535" s="101"/>
    </row>
    <row r="36536" spans="9:9" x14ac:dyDescent="0.3">
      <c r="I36536" s="101"/>
    </row>
    <row r="36537" spans="9:9" x14ac:dyDescent="0.3">
      <c r="I36537" s="101"/>
    </row>
    <row r="36538" spans="9:9" x14ac:dyDescent="0.3">
      <c r="I36538" s="101"/>
    </row>
    <row r="36539" spans="9:9" x14ac:dyDescent="0.3">
      <c r="I36539" s="101"/>
    </row>
    <row r="36540" spans="9:9" x14ac:dyDescent="0.3">
      <c r="I36540" s="101"/>
    </row>
    <row r="36541" spans="9:9" x14ac:dyDescent="0.3">
      <c r="I36541" s="101"/>
    </row>
    <row r="36542" spans="9:9" x14ac:dyDescent="0.3">
      <c r="I36542" s="101"/>
    </row>
    <row r="36543" spans="9:9" x14ac:dyDescent="0.3">
      <c r="I36543" s="101"/>
    </row>
    <row r="36544" spans="9:9" x14ac:dyDescent="0.3">
      <c r="I36544" s="101"/>
    </row>
    <row r="36545" spans="9:9" x14ac:dyDescent="0.3">
      <c r="I36545" s="101"/>
    </row>
    <row r="36546" spans="9:9" x14ac:dyDescent="0.3">
      <c r="I36546" s="101"/>
    </row>
    <row r="36547" spans="9:9" x14ac:dyDescent="0.3">
      <c r="I36547" s="101"/>
    </row>
    <row r="36548" spans="9:9" x14ac:dyDescent="0.3">
      <c r="I36548" s="101"/>
    </row>
    <row r="36549" spans="9:9" x14ac:dyDescent="0.3">
      <c r="I36549" s="101"/>
    </row>
    <row r="36550" spans="9:9" x14ac:dyDescent="0.3">
      <c r="I36550" s="101"/>
    </row>
    <row r="36551" spans="9:9" x14ac:dyDescent="0.3">
      <c r="I36551" s="101"/>
    </row>
    <row r="36552" spans="9:9" x14ac:dyDescent="0.3">
      <c r="I36552" s="101"/>
    </row>
    <row r="36553" spans="9:9" x14ac:dyDescent="0.3">
      <c r="I36553" s="101"/>
    </row>
    <row r="36554" spans="9:9" x14ac:dyDescent="0.3">
      <c r="I36554" s="101"/>
    </row>
    <row r="36555" spans="9:9" x14ac:dyDescent="0.3">
      <c r="I36555" s="101"/>
    </row>
    <row r="36556" spans="9:9" x14ac:dyDescent="0.3">
      <c r="I36556" s="101"/>
    </row>
    <row r="36557" spans="9:9" x14ac:dyDescent="0.3">
      <c r="I36557" s="101"/>
    </row>
    <row r="36558" spans="9:9" x14ac:dyDescent="0.3">
      <c r="I36558" s="101"/>
    </row>
    <row r="36559" spans="9:9" x14ac:dyDescent="0.3">
      <c r="I36559" s="101"/>
    </row>
    <row r="36560" spans="9:9" x14ac:dyDescent="0.3">
      <c r="I36560" s="101"/>
    </row>
    <row r="36561" spans="9:9" x14ac:dyDescent="0.3">
      <c r="I36561" s="101"/>
    </row>
    <row r="36562" spans="9:9" x14ac:dyDescent="0.3">
      <c r="I36562" s="101"/>
    </row>
    <row r="36563" spans="9:9" x14ac:dyDescent="0.3">
      <c r="I36563" s="101"/>
    </row>
    <row r="36564" spans="9:9" x14ac:dyDescent="0.3">
      <c r="I36564" s="101"/>
    </row>
    <row r="36565" spans="9:9" x14ac:dyDescent="0.3">
      <c r="I36565" s="101"/>
    </row>
    <row r="36566" spans="9:9" x14ac:dyDescent="0.3">
      <c r="I36566" s="101"/>
    </row>
    <row r="36567" spans="9:9" x14ac:dyDescent="0.3">
      <c r="I36567" s="101"/>
    </row>
    <row r="36568" spans="9:9" x14ac:dyDescent="0.3">
      <c r="I36568" s="101"/>
    </row>
    <row r="36569" spans="9:9" x14ac:dyDescent="0.3">
      <c r="I36569" s="101"/>
    </row>
    <row r="36570" spans="9:9" x14ac:dyDescent="0.3">
      <c r="I36570" s="101"/>
    </row>
    <row r="36571" spans="9:9" x14ac:dyDescent="0.3">
      <c r="I36571" s="101"/>
    </row>
    <row r="36572" spans="9:9" x14ac:dyDescent="0.3">
      <c r="I36572" s="101"/>
    </row>
    <row r="36573" spans="9:9" x14ac:dyDescent="0.3">
      <c r="I36573" s="101"/>
    </row>
    <row r="36574" spans="9:9" x14ac:dyDescent="0.3">
      <c r="I36574" s="101"/>
    </row>
    <row r="36575" spans="9:9" x14ac:dyDescent="0.3">
      <c r="I36575" s="101"/>
    </row>
    <row r="36576" spans="9:9" x14ac:dyDescent="0.3">
      <c r="I36576" s="101"/>
    </row>
    <row r="36577" spans="9:9" x14ac:dyDescent="0.3">
      <c r="I36577" s="101"/>
    </row>
    <row r="36578" spans="9:9" x14ac:dyDescent="0.3">
      <c r="I36578" s="101"/>
    </row>
    <row r="36579" spans="9:9" x14ac:dyDescent="0.3">
      <c r="I36579" s="101"/>
    </row>
    <row r="36580" spans="9:9" x14ac:dyDescent="0.3">
      <c r="I36580" s="101"/>
    </row>
    <row r="36581" spans="9:9" x14ac:dyDescent="0.3">
      <c r="I36581" s="101"/>
    </row>
    <row r="36582" spans="9:9" x14ac:dyDescent="0.3">
      <c r="I36582" s="101"/>
    </row>
    <row r="36583" spans="9:9" x14ac:dyDescent="0.3">
      <c r="I36583" s="101"/>
    </row>
    <row r="36584" spans="9:9" x14ac:dyDescent="0.3">
      <c r="I36584" s="101"/>
    </row>
    <row r="36585" spans="9:9" x14ac:dyDescent="0.3">
      <c r="I36585" s="101"/>
    </row>
    <row r="36586" spans="9:9" x14ac:dyDescent="0.3">
      <c r="I36586" s="101"/>
    </row>
    <row r="36587" spans="9:9" x14ac:dyDescent="0.3">
      <c r="I36587" s="101"/>
    </row>
    <row r="36588" spans="9:9" x14ac:dyDescent="0.3">
      <c r="I36588" s="101"/>
    </row>
    <row r="36589" spans="9:9" x14ac:dyDescent="0.3">
      <c r="I36589" s="101"/>
    </row>
    <row r="36590" spans="9:9" x14ac:dyDescent="0.3">
      <c r="I36590" s="101"/>
    </row>
    <row r="36591" spans="9:9" x14ac:dyDescent="0.3">
      <c r="I36591" s="101"/>
    </row>
    <row r="36592" spans="9:9" x14ac:dyDescent="0.3">
      <c r="I36592" s="101"/>
    </row>
    <row r="36593" spans="9:9" x14ac:dyDescent="0.3">
      <c r="I36593" s="101"/>
    </row>
    <row r="36594" spans="9:9" x14ac:dyDescent="0.3">
      <c r="I36594" s="101"/>
    </row>
    <row r="36595" spans="9:9" x14ac:dyDescent="0.3">
      <c r="I36595" s="101"/>
    </row>
    <row r="36596" spans="9:9" x14ac:dyDescent="0.3">
      <c r="I36596" s="101"/>
    </row>
    <row r="36597" spans="9:9" x14ac:dyDescent="0.3">
      <c r="I36597" s="101"/>
    </row>
    <row r="36598" spans="9:9" x14ac:dyDescent="0.3">
      <c r="I36598" s="101"/>
    </row>
    <row r="36599" spans="9:9" x14ac:dyDescent="0.3">
      <c r="I36599" s="101"/>
    </row>
    <row r="36600" spans="9:9" x14ac:dyDescent="0.3">
      <c r="I36600" s="101"/>
    </row>
    <row r="36601" spans="9:9" x14ac:dyDescent="0.3">
      <c r="I36601" s="101"/>
    </row>
    <row r="36602" spans="9:9" x14ac:dyDescent="0.3">
      <c r="I36602" s="101"/>
    </row>
    <row r="36603" spans="9:9" x14ac:dyDescent="0.3">
      <c r="I36603" s="101"/>
    </row>
    <row r="36604" spans="9:9" x14ac:dyDescent="0.3">
      <c r="I36604" s="101"/>
    </row>
    <row r="36605" spans="9:9" x14ac:dyDescent="0.3">
      <c r="I36605" s="101"/>
    </row>
    <row r="36606" spans="9:9" x14ac:dyDescent="0.3">
      <c r="I36606" s="101"/>
    </row>
    <row r="36607" spans="9:9" x14ac:dyDescent="0.3">
      <c r="I36607" s="101"/>
    </row>
    <row r="36608" spans="9:9" x14ac:dyDescent="0.3">
      <c r="I36608" s="101"/>
    </row>
    <row r="36609" spans="9:9" x14ac:dyDescent="0.3">
      <c r="I36609" s="101"/>
    </row>
    <row r="36610" spans="9:9" x14ac:dyDescent="0.3">
      <c r="I36610" s="101"/>
    </row>
    <row r="36611" spans="9:9" x14ac:dyDescent="0.3">
      <c r="I36611" s="101"/>
    </row>
    <row r="36612" spans="9:9" x14ac:dyDescent="0.3">
      <c r="I36612" s="101"/>
    </row>
    <row r="36613" spans="9:9" x14ac:dyDescent="0.3">
      <c r="I36613" s="101"/>
    </row>
    <row r="36614" spans="9:9" x14ac:dyDescent="0.3">
      <c r="I36614" s="101"/>
    </row>
    <row r="36615" spans="9:9" x14ac:dyDescent="0.3">
      <c r="I36615" s="101"/>
    </row>
    <row r="36616" spans="9:9" x14ac:dyDescent="0.3">
      <c r="I36616" s="101"/>
    </row>
    <row r="36617" spans="9:9" x14ac:dyDescent="0.3">
      <c r="I36617" s="101"/>
    </row>
    <row r="36618" spans="9:9" x14ac:dyDescent="0.3">
      <c r="I36618" s="101"/>
    </row>
    <row r="36619" spans="9:9" x14ac:dyDescent="0.3">
      <c r="I36619" s="101"/>
    </row>
    <row r="36620" spans="9:9" x14ac:dyDescent="0.3">
      <c r="I36620" s="101"/>
    </row>
    <row r="36621" spans="9:9" x14ac:dyDescent="0.3">
      <c r="I36621" s="101"/>
    </row>
    <row r="36622" spans="9:9" x14ac:dyDescent="0.3">
      <c r="I36622" s="101"/>
    </row>
    <row r="36623" spans="9:9" x14ac:dyDescent="0.3">
      <c r="I36623" s="101"/>
    </row>
    <row r="36624" spans="9:9" x14ac:dyDescent="0.3">
      <c r="I36624" s="101"/>
    </row>
    <row r="36625" spans="9:9" x14ac:dyDescent="0.3">
      <c r="I36625" s="101"/>
    </row>
    <row r="36626" spans="9:9" x14ac:dyDescent="0.3">
      <c r="I36626" s="101"/>
    </row>
    <row r="36627" spans="9:9" x14ac:dyDescent="0.3">
      <c r="I36627" s="101"/>
    </row>
    <row r="36628" spans="9:9" x14ac:dyDescent="0.3">
      <c r="I36628" s="101"/>
    </row>
    <row r="36629" spans="9:9" x14ac:dyDescent="0.3">
      <c r="I36629" s="101"/>
    </row>
    <row r="36630" spans="9:9" x14ac:dyDescent="0.3">
      <c r="I36630" s="101"/>
    </row>
    <row r="36631" spans="9:9" x14ac:dyDescent="0.3">
      <c r="I36631" s="101"/>
    </row>
    <row r="36632" spans="9:9" x14ac:dyDescent="0.3">
      <c r="I36632" s="101"/>
    </row>
    <row r="36633" spans="9:9" x14ac:dyDescent="0.3">
      <c r="I36633" s="101"/>
    </row>
    <row r="36634" spans="9:9" x14ac:dyDescent="0.3">
      <c r="I36634" s="101"/>
    </row>
    <row r="36635" spans="9:9" x14ac:dyDescent="0.3">
      <c r="I36635" s="101"/>
    </row>
    <row r="36636" spans="9:9" x14ac:dyDescent="0.3">
      <c r="I36636" s="101"/>
    </row>
    <row r="36637" spans="9:9" x14ac:dyDescent="0.3">
      <c r="I36637" s="101"/>
    </row>
    <row r="36638" spans="9:9" x14ac:dyDescent="0.3">
      <c r="I36638" s="101"/>
    </row>
    <row r="36639" spans="9:9" x14ac:dyDescent="0.3">
      <c r="I36639" s="101"/>
    </row>
    <row r="36640" spans="9:9" x14ac:dyDescent="0.3">
      <c r="I36640" s="101"/>
    </row>
    <row r="36641" spans="9:9" x14ac:dyDescent="0.3">
      <c r="I36641" s="101"/>
    </row>
    <row r="36642" spans="9:9" x14ac:dyDescent="0.3">
      <c r="I36642" s="101"/>
    </row>
    <row r="36643" spans="9:9" x14ac:dyDescent="0.3">
      <c r="I36643" s="101"/>
    </row>
    <row r="36644" spans="9:9" x14ac:dyDescent="0.3">
      <c r="I36644" s="101"/>
    </row>
    <row r="36645" spans="9:9" x14ac:dyDescent="0.3">
      <c r="I36645" s="101"/>
    </row>
    <row r="36646" spans="9:9" x14ac:dyDescent="0.3">
      <c r="I36646" s="101"/>
    </row>
    <row r="36647" spans="9:9" x14ac:dyDescent="0.3">
      <c r="I36647" s="101"/>
    </row>
    <row r="36648" spans="9:9" x14ac:dyDescent="0.3">
      <c r="I36648" s="101"/>
    </row>
    <row r="36649" spans="9:9" x14ac:dyDescent="0.3">
      <c r="I36649" s="101"/>
    </row>
    <row r="36650" spans="9:9" x14ac:dyDescent="0.3">
      <c r="I36650" s="101"/>
    </row>
    <row r="36651" spans="9:9" x14ac:dyDescent="0.3">
      <c r="I36651" s="101"/>
    </row>
    <row r="36652" spans="9:9" x14ac:dyDescent="0.3">
      <c r="I36652" s="101"/>
    </row>
    <row r="36653" spans="9:9" x14ac:dyDescent="0.3">
      <c r="I36653" s="101"/>
    </row>
    <row r="36654" spans="9:9" x14ac:dyDescent="0.3">
      <c r="I36654" s="101"/>
    </row>
    <row r="36655" spans="9:9" x14ac:dyDescent="0.3">
      <c r="I36655" s="101"/>
    </row>
    <row r="36656" spans="9:9" x14ac:dyDescent="0.3">
      <c r="I36656" s="101"/>
    </row>
    <row r="36657" spans="9:9" x14ac:dyDescent="0.3">
      <c r="I36657" s="101"/>
    </row>
    <row r="36658" spans="9:9" x14ac:dyDescent="0.3">
      <c r="I36658" s="101"/>
    </row>
    <row r="36659" spans="9:9" x14ac:dyDescent="0.3">
      <c r="I36659" s="101"/>
    </row>
    <row r="36660" spans="9:9" x14ac:dyDescent="0.3">
      <c r="I36660" s="101"/>
    </row>
    <row r="36661" spans="9:9" x14ac:dyDescent="0.3">
      <c r="I36661" s="101"/>
    </row>
    <row r="36662" spans="9:9" x14ac:dyDescent="0.3">
      <c r="I36662" s="101"/>
    </row>
    <row r="36663" spans="9:9" x14ac:dyDescent="0.3">
      <c r="I36663" s="101"/>
    </row>
    <row r="36664" spans="9:9" x14ac:dyDescent="0.3">
      <c r="I36664" s="101"/>
    </row>
    <row r="36665" spans="9:9" x14ac:dyDescent="0.3">
      <c r="I36665" s="101"/>
    </row>
    <row r="36666" spans="9:9" x14ac:dyDescent="0.3">
      <c r="I36666" s="101"/>
    </row>
    <row r="36667" spans="9:9" x14ac:dyDescent="0.3">
      <c r="I36667" s="101"/>
    </row>
    <row r="36668" spans="9:9" x14ac:dyDescent="0.3">
      <c r="I36668" s="101"/>
    </row>
    <row r="36669" spans="9:9" x14ac:dyDescent="0.3">
      <c r="I36669" s="101"/>
    </row>
    <row r="36670" spans="9:9" x14ac:dyDescent="0.3">
      <c r="I36670" s="101"/>
    </row>
    <row r="36671" spans="9:9" x14ac:dyDescent="0.3">
      <c r="I36671" s="101"/>
    </row>
    <row r="36672" spans="9:9" x14ac:dyDescent="0.3">
      <c r="I36672" s="101"/>
    </row>
    <row r="36673" spans="9:9" x14ac:dyDescent="0.3">
      <c r="I36673" s="101"/>
    </row>
    <row r="36674" spans="9:9" x14ac:dyDescent="0.3">
      <c r="I36674" s="101"/>
    </row>
    <row r="36675" spans="9:9" x14ac:dyDescent="0.3">
      <c r="I36675" s="101"/>
    </row>
    <row r="36676" spans="9:9" x14ac:dyDescent="0.3">
      <c r="I36676" s="101"/>
    </row>
    <row r="36677" spans="9:9" x14ac:dyDescent="0.3">
      <c r="I36677" s="101"/>
    </row>
    <row r="36678" spans="9:9" x14ac:dyDescent="0.3">
      <c r="I36678" s="101"/>
    </row>
    <row r="36679" spans="9:9" x14ac:dyDescent="0.3">
      <c r="I36679" s="101"/>
    </row>
    <row r="36680" spans="9:9" x14ac:dyDescent="0.3">
      <c r="I36680" s="101"/>
    </row>
    <row r="36681" spans="9:9" x14ac:dyDescent="0.3">
      <c r="I36681" s="101"/>
    </row>
    <row r="36682" spans="9:9" x14ac:dyDescent="0.3">
      <c r="I36682" s="101"/>
    </row>
    <row r="36683" spans="9:9" x14ac:dyDescent="0.3">
      <c r="I36683" s="101"/>
    </row>
    <row r="36684" spans="9:9" x14ac:dyDescent="0.3">
      <c r="I36684" s="101"/>
    </row>
    <row r="36685" spans="9:9" x14ac:dyDescent="0.3">
      <c r="I36685" s="101"/>
    </row>
    <row r="36686" spans="9:9" x14ac:dyDescent="0.3">
      <c r="I36686" s="101"/>
    </row>
    <row r="36687" spans="9:9" x14ac:dyDescent="0.3">
      <c r="I36687" s="101"/>
    </row>
    <row r="36688" spans="9:9" x14ac:dyDescent="0.3">
      <c r="I36688" s="101"/>
    </row>
    <row r="36689" spans="9:9" x14ac:dyDescent="0.3">
      <c r="I36689" s="101"/>
    </row>
    <row r="36690" spans="9:9" x14ac:dyDescent="0.3">
      <c r="I36690" s="101"/>
    </row>
    <row r="36691" spans="9:9" x14ac:dyDescent="0.3">
      <c r="I36691" s="101"/>
    </row>
    <row r="36692" spans="9:9" x14ac:dyDescent="0.3">
      <c r="I36692" s="101"/>
    </row>
    <row r="36693" spans="9:9" x14ac:dyDescent="0.3">
      <c r="I36693" s="101"/>
    </row>
    <row r="36694" spans="9:9" x14ac:dyDescent="0.3">
      <c r="I36694" s="101"/>
    </row>
    <row r="36695" spans="9:9" x14ac:dyDescent="0.3">
      <c r="I36695" s="101"/>
    </row>
    <row r="36696" spans="9:9" x14ac:dyDescent="0.3">
      <c r="I36696" s="101"/>
    </row>
    <row r="36697" spans="9:9" x14ac:dyDescent="0.3">
      <c r="I36697" s="101"/>
    </row>
    <row r="36698" spans="9:9" x14ac:dyDescent="0.3">
      <c r="I36698" s="101"/>
    </row>
    <row r="36699" spans="9:9" x14ac:dyDescent="0.3">
      <c r="I36699" s="101"/>
    </row>
    <row r="36700" spans="9:9" x14ac:dyDescent="0.3">
      <c r="I36700" s="101"/>
    </row>
    <row r="36701" spans="9:9" x14ac:dyDescent="0.3">
      <c r="I36701" s="101"/>
    </row>
    <row r="36702" spans="9:9" x14ac:dyDescent="0.3">
      <c r="I36702" s="101"/>
    </row>
    <row r="36703" spans="9:9" x14ac:dyDescent="0.3">
      <c r="I36703" s="101"/>
    </row>
    <row r="36704" spans="9:9" x14ac:dyDescent="0.3">
      <c r="I36704" s="101"/>
    </row>
    <row r="36705" spans="9:9" x14ac:dyDescent="0.3">
      <c r="I36705" s="101"/>
    </row>
    <row r="36706" spans="9:9" x14ac:dyDescent="0.3">
      <c r="I36706" s="101"/>
    </row>
    <row r="36707" spans="9:9" x14ac:dyDescent="0.3">
      <c r="I36707" s="101"/>
    </row>
    <row r="36708" spans="9:9" x14ac:dyDescent="0.3">
      <c r="I36708" s="101"/>
    </row>
    <row r="36709" spans="9:9" x14ac:dyDescent="0.3">
      <c r="I36709" s="101"/>
    </row>
    <row r="36710" spans="9:9" x14ac:dyDescent="0.3">
      <c r="I36710" s="101"/>
    </row>
    <row r="36711" spans="9:9" x14ac:dyDescent="0.3">
      <c r="I36711" s="101"/>
    </row>
    <row r="36712" spans="9:9" x14ac:dyDescent="0.3">
      <c r="I36712" s="101"/>
    </row>
    <row r="36713" spans="9:9" x14ac:dyDescent="0.3">
      <c r="I36713" s="101"/>
    </row>
    <row r="36714" spans="9:9" x14ac:dyDescent="0.3">
      <c r="I36714" s="101"/>
    </row>
    <row r="36715" spans="9:9" x14ac:dyDescent="0.3">
      <c r="I36715" s="101"/>
    </row>
    <row r="36716" spans="9:9" x14ac:dyDescent="0.3">
      <c r="I36716" s="101"/>
    </row>
    <row r="36717" spans="9:9" x14ac:dyDescent="0.3">
      <c r="I36717" s="101"/>
    </row>
    <row r="36718" spans="9:9" x14ac:dyDescent="0.3">
      <c r="I36718" s="101"/>
    </row>
    <row r="36719" spans="9:9" x14ac:dyDescent="0.3">
      <c r="I36719" s="101"/>
    </row>
    <row r="36720" spans="9:9" x14ac:dyDescent="0.3">
      <c r="I36720" s="101"/>
    </row>
    <row r="36721" spans="9:9" x14ac:dyDescent="0.3">
      <c r="I36721" s="101"/>
    </row>
    <row r="36722" spans="9:9" x14ac:dyDescent="0.3">
      <c r="I36722" s="101"/>
    </row>
    <row r="36723" spans="9:9" x14ac:dyDescent="0.3">
      <c r="I36723" s="101"/>
    </row>
    <row r="36724" spans="9:9" x14ac:dyDescent="0.3">
      <c r="I36724" s="101"/>
    </row>
    <row r="36725" spans="9:9" x14ac:dyDescent="0.3">
      <c r="I36725" s="101"/>
    </row>
    <row r="36726" spans="9:9" x14ac:dyDescent="0.3">
      <c r="I36726" s="101"/>
    </row>
    <row r="36727" spans="9:9" x14ac:dyDescent="0.3">
      <c r="I36727" s="101"/>
    </row>
    <row r="36728" spans="9:9" x14ac:dyDescent="0.3">
      <c r="I36728" s="101"/>
    </row>
    <row r="36729" spans="9:9" x14ac:dyDescent="0.3">
      <c r="I36729" s="101"/>
    </row>
    <row r="36730" spans="9:9" x14ac:dyDescent="0.3">
      <c r="I36730" s="101"/>
    </row>
    <row r="36731" spans="9:9" x14ac:dyDescent="0.3">
      <c r="I36731" s="101"/>
    </row>
    <row r="36732" spans="9:9" x14ac:dyDescent="0.3">
      <c r="I36732" s="101"/>
    </row>
    <row r="36733" spans="9:9" x14ac:dyDescent="0.3">
      <c r="I36733" s="101"/>
    </row>
    <row r="36734" spans="9:9" x14ac:dyDescent="0.3">
      <c r="I36734" s="101"/>
    </row>
    <row r="36735" spans="9:9" x14ac:dyDescent="0.3">
      <c r="I36735" s="101"/>
    </row>
    <row r="36736" spans="9:9" x14ac:dyDescent="0.3">
      <c r="I36736" s="101"/>
    </row>
    <row r="36737" spans="9:9" x14ac:dyDescent="0.3">
      <c r="I36737" s="101"/>
    </row>
    <row r="36738" spans="9:9" x14ac:dyDescent="0.3">
      <c r="I36738" s="101"/>
    </row>
    <row r="36739" spans="9:9" x14ac:dyDescent="0.3">
      <c r="I36739" s="101"/>
    </row>
    <row r="36740" spans="9:9" x14ac:dyDescent="0.3">
      <c r="I36740" s="101"/>
    </row>
    <row r="36741" spans="9:9" x14ac:dyDescent="0.3">
      <c r="I36741" s="101"/>
    </row>
    <row r="36742" spans="9:9" x14ac:dyDescent="0.3">
      <c r="I36742" s="101"/>
    </row>
    <row r="36743" spans="9:9" x14ac:dyDescent="0.3">
      <c r="I36743" s="101"/>
    </row>
    <row r="36744" spans="9:9" x14ac:dyDescent="0.3">
      <c r="I36744" s="101"/>
    </row>
    <row r="36745" spans="9:9" x14ac:dyDescent="0.3">
      <c r="I36745" s="101"/>
    </row>
    <row r="36746" spans="9:9" x14ac:dyDescent="0.3">
      <c r="I36746" s="101"/>
    </row>
    <row r="36747" spans="9:9" x14ac:dyDescent="0.3">
      <c r="I36747" s="101"/>
    </row>
    <row r="36748" spans="9:9" x14ac:dyDescent="0.3">
      <c r="I36748" s="101"/>
    </row>
    <row r="36749" spans="9:9" x14ac:dyDescent="0.3">
      <c r="I36749" s="101"/>
    </row>
    <row r="36750" spans="9:9" x14ac:dyDescent="0.3">
      <c r="I36750" s="101"/>
    </row>
    <row r="36751" spans="9:9" x14ac:dyDescent="0.3">
      <c r="I36751" s="101"/>
    </row>
    <row r="36752" spans="9:9" x14ac:dyDescent="0.3">
      <c r="I36752" s="101"/>
    </row>
    <row r="36753" spans="9:9" x14ac:dyDescent="0.3">
      <c r="I36753" s="101"/>
    </row>
    <row r="36754" spans="9:9" x14ac:dyDescent="0.3">
      <c r="I36754" s="101"/>
    </row>
    <row r="36755" spans="9:9" x14ac:dyDescent="0.3">
      <c r="I36755" s="101"/>
    </row>
    <row r="36756" spans="9:9" x14ac:dyDescent="0.3">
      <c r="I36756" s="101"/>
    </row>
    <row r="36757" spans="9:9" x14ac:dyDescent="0.3">
      <c r="I36757" s="101"/>
    </row>
    <row r="36758" spans="9:9" x14ac:dyDescent="0.3">
      <c r="I36758" s="101"/>
    </row>
    <row r="36759" spans="9:9" x14ac:dyDescent="0.3">
      <c r="I36759" s="101"/>
    </row>
    <row r="36760" spans="9:9" x14ac:dyDescent="0.3">
      <c r="I36760" s="101"/>
    </row>
    <row r="36761" spans="9:9" x14ac:dyDescent="0.3">
      <c r="I36761" s="101"/>
    </row>
    <row r="36762" spans="9:9" x14ac:dyDescent="0.3">
      <c r="I36762" s="101"/>
    </row>
    <row r="36763" spans="9:9" x14ac:dyDescent="0.3">
      <c r="I36763" s="101"/>
    </row>
    <row r="36764" spans="9:9" x14ac:dyDescent="0.3">
      <c r="I36764" s="101"/>
    </row>
    <row r="36765" spans="9:9" x14ac:dyDescent="0.3">
      <c r="I36765" s="101"/>
    </row>
    <row r="36766" spans="9:9" x14ac:dyDescent="0.3">
      <c r="I36766" s="101"/>
    </row>
    <row r="36767" spans="9:9" x14ac:dyDescent="0.3">
      <c r="I36767" s="101"/>
    </row>
    <row r="36768" spans="9:9" x14ac:dyDescent="0.3">
      <c r="I36768" s="101"/>
    </row>
    <row r="36769" spans="9:9" x14ac:dyDescent="0.3">
      <c r="I36769" s="101"/>
    </row>
    <row r="36770" spans="9:9" x14ac:dyDescent="0.3">
      <c r="I36770" s="101"/>
    </row>
    <row r="36771" spans="9:9" x14ac:dyDescent="0.3">
      <c r="I36771" s="101"/>
    </row>
    <row r="36772" spans="9:9" x14ac:dyDescent="0.3">
      <c r="I36772" s="101"/>
    </row>
    <row r="36773" spans="9:9" x14ac:dyDescent="0.3">
      <c r="I36773" s="101"/>
    </row>
    <row r="36774" spans="9:9" x14ac:dyDescent="0.3">
      <c r="I36774" s="101"/>
    </row>
    <row r="36775" spans="9:9" x14ac:dyDescent="0.3">
      <c r="I36775" s="101"/>
    </row>
    <row r="36776" spans="9:9" x14ac:dyDescent="0.3">
      <c r="I36776" s="101"/>
    </row>
    <row r="36777" spans="9:9" x14ac:dyDescent="0.3">
      <c r="I36777" s="101"/>
    </row>
    <row r="36778" spans="9:9" x14ac:dyDescent="0.3">
      <c r="I36778" s="101"/>
    </row>
    <row r="36779" spans="9:9" x14ac:dyDescent="0.3">
      <c r="I36779" s="101"/>
    </row>
    <row r="36780" spans="9:9" x14ac:dyDescent="0.3">
      <c r="I36780" s="101"/>
    </row>
    <row r="36781" spans="9:9" x14ac:dyDescent="0.3">
      <c r="I36781" s="101"/>
    </row>
    <row r="36782" spans="9:9" x14ac:dyDescent="0.3">
      <c r="I36782" s="101"/>
    </row>
    <row r="36783" spans="9:9" x14ac:dyDescent="0.3">
      <c r="I36783" s="101"/>
    </row>
    <row r="36784" spans="9:9" x14ac:dyDescent="0.3">
      <c r="I36784" s="101"/>
    </row>
    <row r="36785" spans="9:9" x14ac:dyDescent="0.3">
      <c r="I36785" s="101"/>
    </row>
    <row r="36786" spans="9:9" x14ac:dyDescent="0.3">
      <c r="I36786" s="101"/>
    </row>
    <row r="36787" spans="9:9" x14ac:dyDescent="0.3">
      <c r="I36787" s="101"/>
    </row>
    <row r="36788" spans="9:9" x14ac:dyDescent="0.3">
      <c r="I36788" s="101"/>
    </row>
    <row r="36789" spans="9:9" x14ac:dyDescent="0.3">
      <c r="I36789" s="101"/>
    </row>
    <row r="36790" spans="9:9" x14ac:dyDescent="0.3">
      <c r="I36790" s="101"/>
    </row>
    <row r="36791" spans="9:9" x14ac:dyDescent="0.3">
      <c r="I36791" s="101"/>
    </row>
    <row r="36792" spans="9:9" x14ac:dyDescent="0.3">
      <c r="I36792" s="101"/>
    </row>
    <row r="36793" spans="9:9" x14ac:dyDescent="0.3">
      <c r="I36793" s="101"/>
    </row>
    <row r="36794" spans="9:9" x14ac:dyDescent="0.3">
      <c r="I36794" s="101"/>
    </row>
    <row r="36795" spans="9:9" x14ac:dyDescent="0.3">
      <c r="I36795" s="101"/>
    </row>
    <row r="36796" spans="9:9" x14ac:dyDescent="0.3">
      <c r="I36796" s="101"/>
    </row>
    <row r="36797" spans="9:9" x14ac:dyDescent="0.3">
      <c r="I36797" s="101"/>
    </row>
    <row r="36798" spans="9:9" x14ac:dyDescent="0.3">
      <c r="I36798" s="101"/>
    </row>
    <row r="36799" spans="9:9" x14ac:dyDescent="0.3">
      <c r="I36799" s="101"/>
    </row>
    <row r="36800" spans="9:9" x14ac:dyDescent="0.3">
      <c r="I36800" s="101"/>
    </row>
    <row r="36801" spans="9:9" x14ac:dyDescent="0.3">
      <c r="I36801" s="101"/>
    </row>
    <row r="36802" spans="9:9" x14ac:dyDescent="0.3">
      <c r="I36802" s="101"/>
    </row>
    <row r="36803" spans="9:9" x14ac:dyDescent="0.3">
      <c r="I36803" s="101"/>
    </row>
    <row r="36804" spans="9:9" x14ac:dyDescent="0.3">
      <c r="I36804" s="101"/>
    </row>
    <row r="36805" spans="9:9" x14ac:dyDescent="0.3">
      <c r="I36805" s="101"/>
    </row>
    <row r="36806" spans="9:9" x14ac:dyDescent="0.3">
      <c r="I36806" s="101"/>
    </row>
    <row r="36807" spans="9:9" x14ac:dyDescent="0.3">
      <c r="I36807" s="101"/>
    </row>
    <row r="36808" spans="9:9" x14ac:dyDescent="0.3">
      <c r="I36808" s="101"/>
    </row>
    <row r="36809" spans="9:9" x14ac:dyDescent="0.3">
      <c r="I36809" s="101"/>
    </row>
    <row r="36810" spans="9:9" x14ac:dyDescent="0.3">
      <c r="I36810" s="101"/>
    </row>
    <row r="36811" spans="9:9" x14ac:dyDescent="0.3">
      <c r="I36811" s="101"/>
    </row>
    <row r="36812" spans="9:9" x14ac:dyDescent="0.3">
      <c r="I36812" s="101"/>
    </row>
    <row r="36813" spans="9:9" x14ac:dyDescent="0.3">
      <c r="I36813" s="101"/>
    </row>
    <row r="36814" spans="9:9" x14ac:dyDescent="0.3">
      <c r="I36814" s="101"/>
    </row>
    <row r="36815" spans="9:9" x14ac:dyDescent="0.3">
      <c r="I36815" s="101"/>
    </row>
    <row r="36816" spans="9:9" x14ac:dyDescent="0.3">
      <c r="I36816" s="101"/>
    </row>
    <row r="36817" spans="9:9" x14ac:dyDescent="0.3">
      <c r="I36817" s="101"/>
    </row>
    <row r="36818" spans="9:9" x14ac:dyDescent="0.3">
      <c r="I36818" s="101"/>
    </row>
    <row r="36819" spans="9:9" x14ac:dyDescent="0.3">
      <c r="I36819" s="101"/>
    </row>
    <row r="36820" spans="9:9" x14ac:dyDescent="0.3">
      <c r="I36820" s="101"/>
    </row>
    <row r="36821" spans="9:9" x14ac:dyDescent="0.3">
      <c r="I36821" s="101"/>
    </row>
    <row r="36822" spans="9:9" x14ac:dyDescent="0.3">
      <c r="I36822" s="101"/>
    </row>
    <row r="36823" spans="9:9" x14ac:dyDescent="0.3">
      <c r="I36823" s="101"/>
    </row>
    <row r="36824" spans="9:9" x14ac:dyDescent="0.3">
      <c r="I36824" s="101"/>
    </row>
    <row r="36825" spans="9:9" x14ac:dyDescent="0.3">
      <c r="I36825" s="101"/>
    </row>
    <row r="36826" spans="9:9" x14ac:dyDescent="0.3">
      <c r="I36826" s="101"/>
    </row>
    <row r="36827" spans="9:9" x14ac:dyDescent="0.3">
      <c r="I36827" s="101"/>
    </row>
    <row r="36828" spans="9:9" x14ac:dyDescent="0.3">
      <c r="I36828" s="101"/>
    </row>
    <row r="36829" spans="9:9" x14ac:dyDescent="0.3">
      <c r="I36829" s="101"/>
    </row>
    <row r="36830" spans="9:9" x14ac:dyDescent="0.3">
      <c r="I36830" s="101"/>
    </row>
    <row r="36831" spans="9:9" x14ac:dyDescent="0.3">
      <c r="I36831" s="101"/>
    </row>
    <row r="36832" spans="9:9" x14ac:dyDescent="0.3">
      <c r="I36832" s="101"/>
    </row>
    <row r="36833" spans="9:9" x14ac:dyDescent="0.3">
      <c r="I36833" s="101"/>
    </row>
    <row r="36834" spans="9:9" x14ac:dyDescent="0.3">
      <c r="I36834" s="101"/>
    </row>
    <row r="36835" spans="9:9" x14ac:dyDescent="0.3">
      <c r="I36835" s="101"/>
    </row>
    <row r="36836" spans="9:9" x14ac:dyDescent="0.3">
      <c r="I36836" s="101"/>
    </row>
    <row r="36837" spans="9:9" x14ac:dyDescent="0.3">
      <c r="I36837" s="101"/>
    </row>
    <row r="36838" spans="9:9" x14ac:dyDescent="0.3">
      <c r="I36838" s="101"/>
    </row>
    <row r="36839" spans="9:9" x14ac:dyDescent="0.3">
      <c r="I36839" s="101"/>
    </row>
    <row r="36840" spans="9:9" x14ac:dyDescent="0.3">
      <c r="I36840" s="101"/>
    </row>
    <row r="36841" spans="9:9" x14ac:dyDescent="0.3">
      <c r="I36841" s="101"/>
    </row>
    <row r="36842" spans="9:9" x14ac:dyDescent="0.3">
      <c r="I36842" s="101"/>
    </row>
    <row r="36843" spans="9:9" x14ac:dyDescent="0.3">
      <c r="I36843" s="101"/>
    </row>
    <row r="36844" spans="9:9" x14ac:dyDescent="0.3">
      <c r="I36844" s="101"/>
    </row>
    <row r="36845" spans="9:9" x14ac:dyDescent="0.3">
      <c r="I36845" s="101"/>
    </row>
    <row r="36846" spans="9:9" x14ac:dyDescent="0.3">
      <c r="I36846" s="101"/>
    </row>
    <row r="36847" spans="9:9" x14ac:dyDescent="0.3">
      <c r="I36847" s="101"/>
    </row>
    <row r="36848" spans="9:9" x14ac:dyDescent="0.3">
      <c r="I36848" s="101"/>
    </row>
    <row r="36849" spans="9:9" x14ac:dyDescent="0.3">
      <c r="I36849" s="101"/>
    </row>
    <row r="36850" spans="9:9" x14ac:dyDescent="0.3">
      <c r="I36850" s="101"/>
    </row>
    <row r="36851" spans="9:9" x14ac:dyDescent="0.3">
      <c r="I36851" s="101"/>
    </row>
    <row r="36852" spans="9:9" x14ac:dyDescent="0.3">
      <c r="I36852" s="101"/>
    </row>
    <row r="36853" spans="9:9" x14ac:dyDescent="0.3">
      <c r="I36853" s="101"/>
    </row>
    <row r="36854" spans="9:9" x14ac:dyDescent="0.3">
      <c r="I36854" s="101"/>
    </row>
    <row r="36855" spans="9:9" x14ac:dyDescent="0.3">
      <c r="I36855" s="101"/>
    </row>
    <row r="36856" spans="9:9" x14ac:dyDescent="0.3">
      <c r="I36856" s="101"/>
    </row>
    <row r="36857" spans="9:9" x14ac:dyDescent="0.3">
      <c r="I36857" s="101"/>
    </row>
    <row r="36858" spans="9:9" x14ac:dyDescent="0.3">
      <c r="I36858" s="101"/>
    </row>
    <row r="36859" spans="9:9" x14ac:dyDescent="0.3">
      <c r="I36859" s="101"/>
    </row>
    <row r="36860" spans="9:9" x14ac:dyDescent="0.3">
      <c r="I36860" s="101"/>
    </row>
    <row r="36861" spans="9:9" x14ac:dyDescent="0.3">
      <c r="I36861" s="101"/>
    </row>
    <row r="36862" spans="9:9" x14ac:dyDescent="0.3">
      <c r="I36862" s="101"/>
    </row>
    <row r="36863" spans="9:9" x14ac:dyDescent="0.3">
      <c r="I36863" s="101"/>
    </row>
    <row r="36864" spans="9:9" x14ac:dyDescent="0.3">
      <c r="I36864" s="101"/>
    </row>
    <row r="36865" spans="9:9" x14ac:dyDescent="0.3">
      <c r="I36865" s="101"/>
    </row>
    <row r="36866" spans="9:9" x14ac:dyDescent="0.3">
      <c r="I36866" s="101"/>
    </row>
    <row r="36867" spans="9:9" x14ac:dyDescent="0.3">
      <c r="I36867" s="101"/>
    </row>
    <row r="36868" spans="9:9" x14ac:dyDescent="0.3">
      <c r="I36868" s="101"/>
    </row>
    <row r="36869" spans="9:9" x14ac:dyDescent="0.3">
      <c r="I36869" s="101"/>
    </row>
    <row r="36870" spans="9:9" x14ac:dyDescent="0.3">
      <c r="I36870" s="101"/>
    </row>
    <row r="36871" spans="9:9" x14ac:dyDescent="0.3">
      <c r="I36871" s="101"/>
    </row>
    <row r="36872" spans="9:9" x14ac:dyDescent="0.3">
      <c r="I36872" s="101"/>
    </row>
    <row r="36873" spans="9:9" x14ac:dyDescent="0.3">
      <c r="I36873" s="101"/>
    </row>
    <row r="36874" spans="9:9" x14ac:dyDescent="0.3">
      <c r="I36874" s="101"/>
    </row>
    <row r="36875" spans="9:9" x14ac:dyDescent="0.3">
      <c r="I36875" s="101"/>
    </row>
    <row r="36876" spans="9:9" x14ac:dyDescent="0.3">
      <c r="I36876" s="101"/>
    </row>
    <row r="36877" spans="9:9" x14ac:dyDescent="0.3">
      <c r="I36877" s="101"/>
    </row>
    <row r="36878" spans="9:9" x14ac:dyDescent="0.3">
      <c r="I36878" s="101"/>
    </row>
    <row r="36879" spans="9:9" x14ac:dyDescent="0.3">
      <c r="I36879" s="101"/>
    </row>
    <row r="36880" spans="9:9" x14ac:dyDescent="0.3">
      <c r="I36880" s="101"/>
    </row>
    <row r="36881" spans="9:9" x14ac:dyDescent="0.3">
      <c r="I36881" s="101"/>
    </row>
    <row r="36882" spans="9:9" x14ac:dyDescent="0.3">
      <c r="I36882" s="101"/>
    </row>
    <row r="36883" spans="9:9" x14ac:dyDescent="0.3">
      <c r="I36883" s="101"/>
    </row>
    <row r="36884" spans="9:9" x14ac:dyDescent="0.3">
      <c r="I36884" s="101"/>
    </row>
    <row r="36885" spans="9:9" x14ac:dyDescent="0.3">
      <c r="I36885" s="101"/>
    </row>
    <row r="36886" spans="9:9" x14ac:dyDescent="0.3">
      <c r="I36886" s="101"/>
    </row>
    <row r="36887" spans="9:9" x14ac:dyDescent="0.3">
      <c r="I36887" s="101"/>
    </row>
    <row r="36888" spans="9:9" x14ac:dyDescent="0.3">
      <c r="I36888" s="101"/>
    </row>
    <row r="36889" spans="9:9" x14ac:dyDescent="0.3">
      <c r="I36889" s="101"/>
    </row>
    <row r="36890" spans="9:9" x14ac:dyDescent="0.3">
      <c r="I36890" s="101"/>
    </row>
    <row r="36891" spans="9:9" x14ac:dyDescent="0.3">
      <c r="I36891" s="101"/>
    </row>
    <row r="36892" spans="9:9" x14ac:dyDescent="0.3">
      <c r="I36892" s="101"/>
    </row>
    <row r="36893" spans="9:9" x14ac:dyDescent="0.3">
      <c r="I36893" s="101"/>
    </row>
    <row r="36894" spans="9:9" x14ac:dyDescent="0.3">
      <c r="I36894" s="101"/>
    </row>
    <row r="36895" spans="9:9" x14ac:dyDescent="0.3">
      <c r="I36895" s="101"/>
    </row>
    <row r="36896" spans="9:9" x14ac:dyDescent="0.3">
      <c r="I36896" s="101"/>
    </row>
    <row r="36897" spans="9:9" x14ac:dyDescent="0.3">
      <c r="I36897" s="101"/>
    </row>
    <row r="36898" spans="9:9" x14ac:dyDescent="0.3">
      <c r="I36898" s="101"/>
    </row>
    <row r="36899" spans="9:9" x14ac:dyDescent="0.3">
      <c r="I36899" s="101"/>
    </row>
    <row r="36900" spans="9:9" x14ac:dyDescent="0.3">
      <c r="I36900" s="101"/>
    </row>
    <row r="36901" spans="9:9" x14ac:dyDescent="0.3">
      <c r="I36901" s="101"/>
    </row>
    <row r="36902" spans="9:9" x14ac:dyDescent="0.3">
      <c r="I36902" s="101"/>
    </row>
    <row r="36903" spans="9:9" x14ac:dyDescent="0.3">
      <c r="I36903" s="101"/>
    </row>
    <row r="36904" spans="9:9" x14ac:dyDescent="0.3">
      <c r="I36904" s="101"/>
    </row>
    <row r="36905" spans="9:9" x14ac:dyDescent="0.3">
      <c r="I36905" s="101"/>
    </row>
    <row r="36906" spans="9:9" x14ac:dyDescent="0.3">
      <c r="I36906" s="101"/>
    </row>
    <row r="36907" spans="9:9" x14ac:dyDescent="0.3">
      <c r="I36907" s="101"/>
    </row>
    <row r="36908" spans="9:9" x14ac:dyDescent="0.3">
      <c r="I36908" s="101"/>
    </row>
    <row r="36909" spans="9:9" x14ac:dyDescent="0.3">
      <c r="I36909" s="101"/>
    </row>
    <row r="36910" spans="9:9" x14ac:dyDescent="0.3">
      <c r="I36910" s="101"/>
    </row>
    <row r="36911" spans="9:9" x14ac:dyDescent="0.3">
      <c r="I36911" s="101"/>
    </row>
    <row r="36912" spans="9:9" x14ac:dyDescent="0.3">
      <c r="I36912" s="101"/>
    </row>
    <row r="36913" spans="9:9" x14ac:dyDescent="0.3">
      <c r="I36913" s="101"/>
    </row>
    <row r="36914" spans="9:9" x14ac:dyDescent="0.3">
      <c r="I36914" s="101"/>
    </row>
    <row r="36915" spans="9:9" x14ac:dyDescent="0.3">
      <c r="I36915" s="101"/>
    </row>
    <row r="36916" spans="9:9" x14ac:dyDescent="0.3">
      <c r="I36916" s="101"/>
    </row>
    <row r="36917" spans="9:9" x14ac:dyDescent="0.3">
      <c r="I36917" s="101"/>
    </row>
    <row r="36918" spans="9:9" x14ac:dyDescent="0.3">
      <c r="I36918" s="101"/>
    </row>
    <row r="36919" spans="9:9" x14ac:dyDescent="0.3">
      <c r="I36919" s="101"/>
    </row>
    <row r="36920" spans="9:9" x14ac:dyDescent="0.3">
      <c r="I36920" s="101"/>
    </row>
    <row r="36921" spans="9:9" x14ac:dyDescent="0.3">
      <c r="I36921" s="101"/>
    </row>
    <row r="36922" spans="9:9" x14ac:dyDescent="0.3">
      <c r="I36922" s="101"/>
    </row>
    <row r="36923" spans="9:9" x14ac:dyDescent="0.3">
      <c r="I36923" s="101"/>
    </row>
    <row r="36924" spans="9:9" x14ac:dyDescent="0.3">
      <c r="I36924" s="101"/>
    </row>
    <row r="36925" spans="9:9" x14ac:dyDescent="0.3">
      <c r="I36925" s="101"/>
    </row>
    <row r="36926" spans="9:9" x14ac:dyDescent="0.3">
      <c r="I36926" s="101"/>
    </row>
    <row r="36927" spans="9:9" x14ac:dyDescent="0.3">
      <c r="I36927" s="101"/>
    </row>
    <row r="36928" spans="9:9" x14ac:dyDescent="0.3">
      <c r="I36928" s="101"/>
    </row>
    <row r="36929" spans="9:9" x14ac:dyDescent="0.3">
      <c r="I36929" s="101"/>
    </row>
    <row r="36930" spans="9:9" x14ac:dyDescent="0.3">
      <c r="I36930" s="101"/>
    </row>
    <row r="36931" spans="9:9" x14ac:dyDescent="0.3">
      <c r="I36931" s="101"/>
    </row>
    <row r="36932" spans="9:9" x14ac:dyDescent="0.3">
      <c r="I36932" s="101"/>
    </row>
    <row r="36933" spans="9:9" x14ac:dyDescent="0.3">
      <c r="I36933" s="101"/>
    </row>
    <row r="36934" spans="9:9" x14ac:dyDescent="0.3">
      <c r="I36934" s="101"/>
    </row>
    <row r="36935" spans="9:9" x14ac:dyDescent="0.3">
      <c r="I36935" s="101"/>
    </row>
    <row r="36936" spans="9:9" x14ac:dyDescent="0.3">
      <c r="I36936" s="101"/>
    </row>
    <row r="36937" spans="9:9" x14ac:dyDescent="0.3">
      <c r="I36937" s="101"/>
    </row>
    <row r="36938" spans="9:9" x14ac:dyDescent="0.3">
      <c r="I36938" s="101"/>
    </row>
    <row r="36939" spans="9:9" x14ac:dyDescent="0.3">
      <c r="I36939" s="101"/>
    </row>
    <row r="36940" spans="9:9" x14ac:dyDescent="0.3">
      <c r="I36940" s="101"/>
    </row>
    <row r="36941" spans="9:9" x14ac:dyDescent="0.3">
      <c r="I36941" s="101"/>
    </row>
    <row r="36942" spans="9:9" x14ac:dyDescent="0.3">
      <c r="I36942" s="101"/>
    </row>
    <row r="36943" spans="9:9" x14ac:dyDescent="0.3">
      <c r="I36943" s="101"/>
    </row>
    <row r="36944" spans="9:9" x14ac:dyDescent="0.3">
      <c r="I36944" s="101"/>
    </row>
    <row r="36945" spans="9:9" x14ac:dyDescent="0.3">
      <c r="I36945" s="101"/>
    </row>
    <row r="36946" spans="9:9" x14ac:dyDescent="0.3">
      <c r="I36946" s="101"/>
    </row>
    <row r="36947" spans="9:9" x14ac:dyDescent="0.3">
      <c r="I36947" s="101"/>
    </row>
    <row r="36948" spans="9:9" x14ac:dyDescent="0.3">
      <c r="I36948" s="101"/>
    </row>
    <row r="36949" spans="9:9" x14ac:dyDescent="0.3">
      <c r="I36949" s="101"/>
    </row>
    <row r="36950" spans="9:9" x14ac:dyDescent="0.3">
      <c r="I36950" s="101"/>
    </row>
    <row r="36951" spans="9:9" x14ac:dyDescent="0.3">
      <c r="I36951" s="101"/>
    </row>
    <row r="36952" spans="9:9" x14ac:dyDescent="0.3">
      <c r="I36952" s="101"/>
    </row>
    <row r="36953" spans="9:9" x14ac:dyDescent="0.3">
      <c r="I36953" s="101"/>
    </row>
    <row r="36954" spans="9:9" x14ac:dyDescent="0.3">
      <c r="I36954" s="101"/>
    </row>
    <row r="36955" spans="9:9" x14ac:dyDescent="0.3">
      <c r="I36955" s="101"/>
    </row>
    <row r="36956" spans="9:9" x14ac:dyDescent="0.3">
      <c r="I36956" s="101"/>
    </row>
    <row r="36957" spans="9:9" x14ac:dyDescent="0.3">
      <c r="I36957" s="101"/>
    </row>
    <row r="36958" spans="9:9" x14ac:dyDescent="0.3">
      <c r="I36958" s="101"/>
    </row>
    <row r="36959" spans="9:9" x14ac:dyDescent="0.3">
      <c r="I36959" s="101"/>
    </row>
    <row r="36960" spans="9:9" x14ac:dyDescent="0.3">
      <c r="I36960" s="101"/>
    </row>
    <row r="36961" spans="9:9" x14ac:dyDescent="0.3">
      <c r="I36961" s="101"/>
    </row>
    <row r="36962" spans="9:9" x14ac:dyDescent="0.3">
      <c r="I36962" s="101"/>
    </row>
    <row r="36963" spans="9:9" x14ac:dyDescent="0.3">
      <c r="I36963" s="101"/>
    </row>
    <row r="36964" spans="9:9" x14ac:dyDescent="0.3">
      <c r="I36964" s="101"/>
    </row>
    <row r="36965" spans="9:9" x14ac:dyDescent="0.3">
      <c r="I36965" s="101"/>
    </row>
    <row r="36966" spans="9:9" x14ac:dyDescent="0.3">
      <c r="I36966" s="101"/>
    </row>
    <row r="36967" spans="9:9" x14ac:dyDescent="0.3">
      <c r="I36967" s="101"/>
    </row>
    <row r="36968" spans="9:9" x14ac:dyDescent="0.3">
      <c r="I36968" s="101"/>
    </row>
    <row r="36969" spans="9:9" x14ac:dyDescent="0.3">
      <c r="I36969" s="101"/>
    </row>
    <row r="36970" spans="9:9" x14ac:dyDescent="0.3">
      <c r="I36970" s="101"/>
    </row>
    <row r="36971" spans="9:9" x14ac:dyDescent="0.3">
      <c r="I36971" s="101"/>
    </row>
    <row r="36972" spans="9:9" x14ac:dyDescent="0.3">
      <c r="I36972" s="101"/>
    </row>
    <row r="36973" spans="9:9" x14ac:dyDescent="0.3">
      <c r="I36973" s="101"/>
    </row>
    <row r="36974" spans="9:9" x14ac:dyDescent="0.3">
      <c r="I36974" s="101"/>
    </row>
    <row r="36975" spans="9:9" x14ac:dyDescent="0.3">
      <c r="I36975" s="101"/>
    </row>
    <row r="36976" spans="9:9" x14ac:dyDescent="0.3">
      <c r="I36976" s="101"/>
    </row>
    <row r="36977" spans="9:9" x14ac:dyDescent="0.3">
      <c r="I36977" s="101"/>
    </row>
    <row r="36978" spans="9:9" x14ac:dyDescent="0.3">
      <c r="I36978" s="101"/>
    </row>
    <row r="36979" spans="9:9" x14ac:dyDescent="0.3">
      <c r="I36979" s="101"/>
    </row>
    <row r="36980" spans="9:9" x14ac:dyDescent="0.3">
      <c r="I36980" s="101"/>
    </row>
    <row r="36981" spans="9:9" x14ac:dyDescent="0.3">
      <c r="I36981" s="101"/>
    </row>
    <row r="36982" spans="9:9" x14ac:dyDescent="0.3">
      <c r="I36982" s="101"/>
    </row>
    <row r="36983" spans="9:9" x14ac:dyDescent="0.3">
      <c r="I36983" s="101"/>
    </row>
    <row r="36984" spans="9:9" x14ac:dyDescent="0.3">
      <c r="I36984" s="101"/>
    </row>
    <row r="36985" spans="9:9" x14ac:dyDescent="0.3">
      <c r="I36985" s="101"/>
    </row>
    <row r="36986" spans="9:9" x14ac:dyDescent="0.3">
      <c r="I36986" s="101"/>
    </row>
    <row r="36987" spans="9:9" x14ac:dyDescent="0.3">
      <c r="I36987" s="101"/>
    </row>
    <row r="36988" spans="9:9" x14ac:dyDescent="0.3">
      <c r="I36988" s="101"/>
    </row>
    <row r="36989" spans="9:9" x14ac:dyDescent="0.3">
      <c r="I36989" s="101"/>
    </row>
    <row r="36990" spans="9:9" x14ac:dyDescent="0.3">
      <c r="I36990" s="101"/>
    </row>
    <row r="36991" spans="9:9" x14ac:dyDescent="0.3">
      <c r="I36991" s="101"/>
    </row>
    <row r="36992" spans="9:9" x14ac:dyDescent="0.3">
      <c r="I36992" s="101"/>
    </row>
    <row r="36993" spans="9:9" x14ac:dyDescent="0.3">
      <c r="I36993" s="101"/>
    </row>
    <row r="36994" spans="9:9" x14ac:dyDescent="0.3">
      <c r="I36994" s="101"/>
    </row>
    <row r="36995" spans="9:9" x14ac:dyDescent="0.3">
      <c r="I36995" s="101"/>
    </row>
    <row r="36996" spans="9:9" x14ac:dyDescent="0.3">
      <c r="I36996" s="101"/>
    </row>
    <row r="36997" spans="9:9" x14ac:dyDescent="0.3">
      <c r="I36997" s="101"/>
    </row>
    <row r="36998" spans="9:9" x14ac:dyDescent="0.3">
      <c r="I36998" s="101"/>
    </row>
    <row r="36999" spans="9:9" x14ac:dyDescent="0.3">
      <c r="I36999" s="101"/>
    </row>
    <row r="37000" spans="9:9" x14ac:dyDescent="0.3">
      <c r="I37000" s="101"/>
    </row>
  </sheetData>
  <sheetProtection algorithmName="SHA-512" hashValue="nKz+phH8DfgF3fG74RgAEn/Izpp5ehoyJGRPaBQWx9pZAzcfYo1UJSexZITXhVaxr9orHQaza2mBC1KPRicVSg==" saltValue="maqd2Qfn1lLeLyJUf58u7w==" spinCount="100000" sheet="1" objects="1" sort="0" autoFilter="0"/>
  <autoFilter ref="A1:L4340" xr:uid="{00000000-0009-0000-0000-00000F000000}"/>
  <conditionalFormatting sqref="E2:E65536">
    <cfRule type="expression" dxfId="10" priority="10" stopIfTrue="1">
      <formula>AND($E2&lt;&gt;#REF!,$E2&gt;0)</formula>
    </cfRule>
  </conditionalFormatting>
  <conditionalFormatting sqref="F2:F65536">
    <cfRule type="expression" dxfId="9" priority="9" stopIfTrue="1">
      <formula>AND($F2&lt;&gt;#REF!,$F2&gt;0)</formula>
    </cfRule>
  </conditionalFormatting>
  <conditionalFormatting sqref="H2:J15 I16:I37000">
    <cfRule type="containsBlanks" dxfId="8" priority="6" stopIfTrue="1">
      <formula>LEN(TRIM(H2))=0</formula>
    </cfRule>
  </conditionalFormatting>
  <conditionalFormatting sqref="I2:I37000">
    <cfRule type="expression" dxfId="7" priority="3" stopIfTrue="1">
      <formula>AND(LEFT($J2,4)="2700",OR(LEFT($I2,2)="Ba",LEFT($I2,2)="Re",LEFT($I2,3)="100",LEFT($I2,1)="2", LEFT($I2,1)="5", LEFT($I2,1)="6", LEFT($I2,3)="700", LEFT($I2,3)="800", LEFT($I2,3)="900"))</formula>
    </cfRule>
    <cfRule type="expression" dxfId="6" priority="4" stopIfTrue="1">
      <formula>AND(LEFT($H2,4)="1072",OR(LEFT($I2,3)="100",LEFT($I2,3)="200",LEFT($I2,3)="260",LEFT($I2,3)="270",LEFT($I2,3)="400", LEFT($I2,3)="430", LEFT($I2,1)="5", LEFT($I2,1)="6", LEFT($I2,3)="700", LEFT($I2,3)="800", LEFT($I2,3)="900"))</formula>
    </cfRule>
    <cfRule type="expression" dxfId="5" priority="5" stopIfTrue="1">
      <formula>AND(LEFT($H2,4)="1071",OR(LEFT($I2,3)="100",LEFT($I2,3)="200",LEFT($I2,3)="265",LEFT($I2,3)="270",LEFT($I2,3)="400", LEFT($I2,3)="435", LEFT($I2,1)="5", LEFT($I2,1)="6", LEFT($I2,3)="700", LEFT($I2,3)="800", LEFT($I2,3)="900"))</formula>
    </cfRule>
  </conditionalFormatting>
  <conditionalFormatting sqref="J2:J37000">
    <cfRule type="expression" dxfId="4" priority="1" stopIfTrue="1">
      <formula>AND(LEFT($K2,3)="682",OR(LEFT($J2,1)="B",LEFT($J2,1)="R",LEFT($J2,1)="1",LEFT($J2,2)="21",LEFT($J2,2)="22",LEFT($J2,2)="24",LEFT($J2,2)="25",LEFT($J2,2)="26",LEFT($J2,2)="27",LEFT($J2,2)="29",LEFT($J2,1)="3",LEFT($J2,1)="4",LEFT($J2,1)="5"))</formula>
    </cfRule>
    <cfRule type="expression" dxfId="3" priority="2" stopIfTrue="1">
      <formula>AND(LEFT($K2,3)="685",OR(LEFT($J2,1)="B",LEFT($J2,1)="R",LEFT($J2,1)="1",LEFT($J2,2)="21",LEFT($J2,2)="22",LEFT($J2,2)="23",LEFT($J2,2)="24",LEFT($J2,2)="26",LEFT($J2,2)="27",LEFT($J2,2)="29",LEFT($J2,1)="3",LEFT($J2,1)="4"))</formula>
    </cfRule>
  </conditionalFormatting>
  <conditionalFormatting sqref="K2:K37000">
    <cfRule type="expression" dxfId="2" priority="7" stopIfTrue="1">
      <formula>AND(OR(LEFT($H2,4)="1071",LEFT($H2,4)="1072"),OR(LEFT($K2,2)="13",LEFT($K2,2)="14",LEFT($K2,2)="16",LEFT($K2,2)="17",LEFT($K2,2)="18",LEFT($K2,2)="19",LEFT($K2,1)="O",LEFT($K2,1)="2",LEFT($K2,2)="31",LEFT($K2,2)="39",LEFT($K2,1)="4"))</formula>
    </cfRule>
    <cfRule type="expression" dxfId="1" priority="8" stopIfTrue="1">
      <formula>AND(LEFT($H2,3)="101",OR(LEFT($K2,2)="13",LEFT($K2,2)="14",LEFT($K2,2)="16",LEFT($K2,2)="17",LEFT($K2,2)="18",LEFT($K2,2)="19",LEFT($K2,1)="O",LEFT($K2,1)="2",LEFT($K2,1)="4"))</formula>
    </cfRule>
  </conditionalFormatting>
  <conditionalFormatting sqref="K2:L37000 H16:J37000">
    <cfRule type="containsBlanks" dxfId="0" priority="11" stopIfTrue="1">
      <formula>LEN(TRIM(K2))=0</formula>
    </cfRule>
  </conditionalFormatting>
  <dataValidations count="5">
    <dataValidation type="list" allowBlank="1" showInputMessage="1" showErrorMessage="1" sqref="L2:L37000" xr:uid="{00000000-0002-0000-0F00-000000000000}">
      <formula1>$Y$2:$Y$21</formula1>
    </dataValidation>
    <dataValidation type="list" allowBlank="1" showInputMessage="1" showErrorMessage="1" sqref="J2:J37000" xr:uid="{00000000-0002-0000-0F00-000001000000}">
      <formula1>$O$2:$O$21</formula1>
    </dataValidation>
    <dataValidation type="list" allowBlank="1" showInputMessage="1" showErrorMessage="1" sqref="H2:H37000" xr:uid="{00000000-0002-0000-0F00-000002000000}">
      <formula1>$M$3:$M$41</formula1>
    </dataValidation>
    <dataValidation type="list" allowBlank="1" showInputMessage="1" showErrorMessage="1" sqref="K2:K37000" xr:uid="{00000000-0002-0000-0F00-000003000000}">
      <formula1>$P$2:$P$44</formula1>
    </dataValidation>
    <dataValidation type="list" allowBlank="1" showInputMessage="1" showErrorMessage="1" sqref="I2:I37000" xr:uid="{00000000-0002-0000-0F00-000004000000}">
      <formula1>$N$2:$N$21</formula1>
    </dataValidation>
  </dataValidations>
  <hyperlinks>
    <hyperlink ref="M25" location="'Accounting data'!ImpactAidandOtherFederalProjects" display="13XX-Impact Aid" xr:uid="{00000000-0004-0000-0F00-000000000000}"/>
    <hyperlink ref="M26" location="'Accounting data'!ImpactAidandOtherFederalProjects" display="1310-1399-COVID-19 Federal Relief Projects" xr:uid="{00000000-0004-0000-0F00-000001000000}"/>
    <hyperlink ref="M27" location="'Accounting data'!ImpactAidandOtherFederalProjects" display="1310-1399-Other Federal Projects" xr:uid="{00000000-0004-0000-0F00-000002000000}"/>
  </hyperlinks>
  <pageMargins left="0.7" right="0.7" top="0.75" bottom="0.75" header="0.3" footer="0.3"/>
  <pageSetup fitToHeight="3" orientation="portrait" r:id="rId1"/>
  <headerFooter>
    <oddFooter>&amp;LRev. 8/26 Arizona Department of Education and Auditor General&amp;CFY 2026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53FEE-CD0E-4D78-8368-259836ADEC6D}">
  <dimension ref="A1:F1532"/>
  <sheetViews>
    <sheetView showGridLines="0" workbookViewId="0"/>
  </sheetViews>
  <sheetFormatPr defaultColWidth="9.33203125" defaultRowHeight="13.2" x14ac:dyDescent="0.25"/>
  <cols>
    <col min="1" max="1" width="27.33203125" customWidth="1"/>
    <col min="2" max="2" width="24" customWidth="1"/>
    <col min="3" max="3" width="23.33203125" customWidth="1"/>
    <col min="4" max="4" width="47.5546875" customWidth="1"/>
    <col min="5" max="5" width="26.33203125" customWidth="1"/>
  </cols>
  <sheetData>
    <row r="1" spans="1:5" ht="14.25" customHeight="1" x14ac:dyDescent="0.3">
      <c r="A1" s="108" t="s">
        <v>985</v>
      </c>
      <c r="B1" s="108" t="s">
        <v>986</v>
      </c>
      <c r="C1" s="108" t="s">
        <v>987</v>
      </c>
      <c r="D1" s="108" t="s">
        <v>988</v>
      </c>
      <c r="E1" s="109" t="s">
        <v>989</v>
      </c>
    </row>
    <row r="2" spans="1:5" x14ac:dyDescent="0.25">
      <c r="A2" s="110" t="s">
        <v>990</v>
      </c>
      <c r="B2" s="110" t="s">
        <v>990</v>
      </c>
      <c r="C2" s="110">
        <v>1000</v>
      </c>
      <c r="D2" s="110">
        <v>6100</v>
      </c>
      <c r="E2" s="111">
        <f>SUMIFS('Accounting data'!$G$2:$G$37000,'Accounting data'!$J$2:$J$37000,"1*",'Accounting data'!$K$2:$K$37000,"61*")</f>
        <v>513539</v>
      </c>
    </row>
    <row r="3" spans="1:5" x14ac:dyDescent="0.25">
      <c r="A3" s="110" t="s">
        <v>991</v>
      </c>
      <c r="B3" s="110" t="s">
        <v>990</v>
      </c>
      <c r="C3" s="110">
        <v>1000</v>
      </c>
      <c r="D3" s="110">
        <v>6100</v>
      </c>
      <c r="E3" s="111">
        <f>SUMIFS('Accounting data'!$G$2:$G$37000,'Accounting data'!$H$2:$H$37000,"9999*",'Accounting data'!$J$2:$J$37000,"1*",'Accounting data'!$K$2:$K$37000,"61*")</f>
        <v>0</v>
      </c>
    </row>
    <row r="4" spans="1:5" x14ac:dyDescent="0.25">
      <c r="A4" s="110" t="s">
        <v>990</v>
      </c>
      <c r="B4" s="110" t="s">
        <v>992</v>
      </c>
      <c r="C4" s="110">
        <v>1000</v>
      </c>
      <c r="D4" s="110">
        <v>6100</v>
      </c>
      <c r="E4" s="111">
        <f>SUMIFS('Accounting data'!$G$2:$G$37000,'Accounting data'!$I$2:$I$37000,"7*",'Accounting data'!$J$2:$J$37000,"1*",'Accounting data'!$K$2:$K$37000,"61*")+SUMIFS('Accounting data'!$G$2:$G$37000,'Accounting data'!$I$2:$I$37000,"8*",'Accounting data'!$J$2:$J$37000,"1*",'Accounting data'!$K$2:$K$37000,"61*")+SUMIFS('Accounting data'!$G$2:$G$37000,'Accounting data'!$I$2:$I$37000,"9*",'Accounting data'!$J$2:$J$37000,"1*",'Accounting data'!$K$2:$K$37000,"61*")</f>
        <v>0</v>
      </c>
    </row>
    <row r="5" spans="1:5" x14ac:dyDescent="0.25">
      <c r="A5" s="112" t="s">
        <v>991</v>
      </c>
      <c r="B5" s="110" t="s">
        <v>992</v>
      </c>
      <c r="C5" s="110">
        <v>1000</v>
      </c>
      <c r="D5" s="110">
        <v>6100</v>
      </c>
      <c r="E5" s="111">
        <f>SUMIFS('Accounting data'!$G$2:$G$37000,'Accounting data'!$H$2:$H$37000,"9999*",'Accounting data'!$I$2:$I$37000,"7*",'Accounting data'!$J$2:$J$37000,"1*",'Accounting data'!$K$2:$K$37000,"61*")+SUMIFS('Accounting data'!$G$2:$G$37000,'Accounting data'!$H$2:$H$37000,"9999*",'Accounting data'!$I$2:$I$37000,"8*",'Accounting data'!$J$2:$J$37000,"1*",'Accounting data'!$K$2:$K$37000,"61*")+SUMIFS('Accounting data'!$G$2:$G$37000,'Accounting data'!$H$2:$H$37000,"9999*",'Accounting data'!$I$2:$I$37000,"9*",'Accounting data'!$J$2:$J$37000,"1*",'Accounting data'!$K$2:$K$37000,"61*")</f>
        <v>0</v>
      </c>
    </row>
    <row r="6" spans="1:5" x14ac:dyDescent="0.25">
      <c r="A6" s="110"/>
      <c r="B6" s="110"/>
      <c r="C6" s="110"/>
      <c r="D6" s="110"/>
      <c r="E6" s="111"/>
    </row>
    <row r="7" spans="1:5" x14ac:dyDescent="0.25">
      <c r="A7" s="110"/>
      <c r="B7" s="110"/>
      <c r="C7" s="110"/>
      <c r="D7" s="110"/>
      <c r="E7" s="111"/>
    </row>
    <row r="8" spans="1:5" ht="14.25" customHeight="1" x14ac:dyDescent="0.3">
      <c r="A8" s="113" t="s">
        <v>993</v>
      </c>
      <c r="B8" s="113"/>
      <c r="C8" s="113"/>
      <c r="D8" s="113"/>
      <c r="E8" s="114">
        <f>(E2-E3-E4)+(E5+E6+E7)</f>
        <v>513539</v>
      </c>
    </row>
    <row r="9" spans="1:5" x14ac:dyDescent="0.25">
      <c r="A9" s="110" t="s">
        <v>990</v>
      </c>
      <c r="B9" s="110" t="s">
        <v>990</v>
      </c>
      <c r="C9" s="110">
        <v>2100</v>
      </c>
      <c r="D9" s="110">
        <v>6100</v>
      </c>
      <c r="E9" s="111">
        <f>SUMIFS('Accounting data'!$G$2:$G$37000,'Accounting data'!$J$2:$J$37000,"21*",'Accounting data'!$K$2:$K$37000,"61*")</f>
        <v>165915</v>
      </c>
    </row>
    <row r="10" spans="1:5" x14ac:dyDescent="0.25">
      <c r="A10" s="110" t="s">
        <v>991</v>
      </c>
      <c r="B10" s="110" t="s">
        <v>990</v>
      </c>
      <c r="C10" s="110">
        <v>2100</v>
      </c>
      <c r="D10" s="110">
        <v>6100</v>
      </c>
      <c r="E10" s="111">
        <f>SUMIFS('Accounting data'!$G$2:$G$37000,'Accounting data'!$H$2:$H$37000,"9999*",'Accounting data'!$J$2:$J$37000,"21*",'Accounting data'!$K$2:$K$37000,"61*")</f>
        <v>0</v>
      </c>
    </row>
    <row r="11" spans="1:5" x14ac:dyDescent="0.25">
      <c r="A11" s="110" t="s">
        <v>990</v>
      </c>
      <c r="B11" s="110" t="s">
        <v>992</v>
      </c>
      <c r="C11" s="110">
        <v>2100</v>
      </c>
      <c r="D11" s="110">
        <v>6100</v>
      </c>
      <c r="E11" s="111">
        <f>SUMIFS('Accounting data'!$G$2:$G$37000,'Accounting data'!$I$2:$I$37000,"7*",'Accounting data'!$J$2:$J$37000,"21*",'Accounting data'!$K$2:$K$37000,"61*")+SUMIFS('Accounting data'!$G$2:$G$37000,'Accounting data'!$I$2:$I$37000,"8*",'Accounting data'!$J$2:$J$37000,"21*",'Accounting data'!$K$2:$K$37000,"61*")+SUMIFS('Accounting data'!$G$2:$G$37000,'Accounting data'!$I$2:$I$37000,"9*",'Accounting data'!$J$2:$J$37000,"21*",'Accounting data'!$K$2:$K$37000,"61*")</f>
        <v>0</v>
      </c>
    </row>
    <row r="12" spans="1:5" x14ac:dyDescent="0.25">
      <c r="A12" s="112" t="s">
        <v>991</v>
      </c>
      <c r="B12" s="110" t="s">
        <v>992</v>
      </c>
      <c r="C12" s="110">
        <v>2100</v>
      </c>
      <c r="D12" s="110">
        <v>6100</v>
      </c>
      <c r="E12" s="111">
        <f>SUMIFS('Accounting data'!$G$2:$G$37000,'Accounting data'!$H$2:$H$37000,"9999*",'Accounting data'!$I$2:$I$37000,"7*",'Accounting data'!$J$2:$J$37000,"21*",'Accounting data'!$K$2:$K$37000,"61*")+SUMIFS('Accounting data'!$G$2:$G$37000,'Accounting data'!$H$2:$H$37000,"9999*",'Accounting data'!$I$2:$I$37000,"8*",'Accounting data'!$J$2:$J$37000,"21*",'Accounting data'!$K$2:$K$37000,"61*")+SUMIFS('Accounting data'!$G$2:$G$37000,'Accounting data'!$H$2:$H$37000,"9999*",'Accounting data'!$I$2:$I$37000,"9*",'Accounting data'!$J$2:$J$37000,"21*",'Accounting data'!$K$2:$K$37000,"61*")</f>
        <v>0</v>
      </c>
    </row>
    <row r="13" spans="1:5" x14ac:dyDescent="0.25">
      <c r="A13" s="110"/>
      <c r="B13" s="110"/>
      <c r="C13" s="110"/>
      <c r="D13" s="110"/>
      <c r="E13" s="111"/>
    </row>
    <row r="14" spans="1:5" x14ac:dyDescent="0.25">
      <c r="A14" s="110"/>
      <c r="B14" s="110"/>
      <c r="C14" s="110"/>
      <c r="D14" s="110"/>
      <c r="E14" s="111"/>
    </row>
    <row r="15" spans="1:5" ht="14.25" customHeight="1" x14ac:dyDescent="0.3">
      <c r="A15" s="113" t="s">
        <v>994</v>
      </c>
      <c r="B15" s="113"/>
      <c r="C15" s="113"/>
      <c r="D15" s="113"/>
      <c r="E15" s="114">
        <f>(E9-E10-E11)+(E12+E13+E14)</f>
        <v>165915</v>
      </c>
    </row>
    <row r="16" spans="1:5" x14ac:dyDescent="0.25">
      <c r="A16" s="110" t="s">
        <v>990</v>
      </c>
      <c r="B16" s="110" t="s">
        <v>990</v>
      </c>
      <c r="C16" s="110">
        <v>2200</v>
      </c>
      <c r="D16" s="110">
        <v>6100</v>
      </c>
      <c r="E16" s="111">
        <f>SUMIFS('Accounting data'!$G$2:$G$37000,'Accounting data'!$J$2:$J$37000,"22*",'Accounting data'!$K$2:$K$37000,"61*")</f>
        <v>5146</v>
      </c>
    </row>
    <row r="17" spans="1:5" x14ac:dyDescent="0.25">
      <c r="A17" s="110" t="s">
        <v>991</v>
      </c>
      <c r="B17" s="110" t="s">
        <v>990</v>
      </c>
      <c r="C17" s="110">
        <v>2200</v>
      </c>
      <c r="D17" s="110">
        <v>6100</v>
      </c>
      <c r="E17" s="111">
        <f>SUMIFS('Accounting data'!$G$2:$G$37000,'Accounting data'!$H$2:$H$37000,"9999*",'Accounting data'!$J$2:$J$37000,"22*",'Accounting data'!$K$2:$K$37000,"61*")</f>
        <v>0</v>
      </c>
    </row>
    <row r="18" spans="1:5" x14ac:dyDescent="0.25">
      <c r="A18" s="110" t="s">
        <v>990</v>
      </c>
      <c r="B18" s="110" t="s">
        <v>992</v>
      </c>
      <c r="C18" s="110">
        <v>2200</v>
      </c>
      <c r="D18" s="110">
        <v>6100</v>
      </c>
      <c r="E18" s="111">
        <f>SUMIFS('Accounting data'!$G$2:$G$37000,'Accounting data'!$I$2:$I$37000,"7*",'Accounting data'!$J$2:$J$37000,"22*",'Accounting data'!$K$2:$K$37000,"61*")+SUMIFS('Accounting data'!$G$2:$G$37000,'Accounting data'!$I$2:$I$37000,"8*",'Accounting data'!$J$2:$J$37000,"22*",'Accounting data'!$K$2:$K$37000,"61*")+SUMIFS('Accounting data'!$G$2:$G$37000,'Accounting data'!$I$2:$I$37000,"9*",'Accounting data'!$J$2:$J$37000,"22*",'Accounting data'!$K$2:$K$37000,"61*")</f>
        <v>0</v>
      </c>
    </row>
    <row r="19" spans="1:5" x14ac:dyDescent="0.25">
      <c r="A19" s="112" t="s">
        <v>991</v>
      </c>
      <c r="B19" s="110" t="s">
        <v>992</v>
      </c>
      <c r="C19" s="110">
        <v>2200</v>
      </c>
      <c r="D19" s="110">
        <v>6100</v>
      </c>
      <c r="E19" s="111">
        <f>SUMIFS('Accounting data'!$G$2:$G$37000,'Accounting data'!$H$2:$H$37000,"9999*",'Accounting data'!$I$2:$I$37000,"7*",'Accounting data'!$J$2:$J$37000,"22*",'Accounting data'!$K$2:$K$37000,"61*")+SUMIFS('Accounting data'!$G$2:$G$37000,'Accounting data'!$H$2:$H$37000,"9999*",'Accounting data'!$I$2:$I$37000,"8*",'Accounting data'!$J$2:$J$37000,"22*",'Accounting data'!$K$2:$K$37000,"61*")+SUMIFS('Accounting data'!$G$2:$G$37000,'Accounting data'!$H$2:$H$37000,"9999*",'Accounting data'!$I$2:$I$37000,"9*",'Accounting data'!$J$2:$J$37000,"22*",'Accounting data'!$K$2:$K$37000,"61*")</f>
        <v>0</v>
      </c>
    </row>
    <row r="20" spans="1:5" x14ac:dyDescent="0.25">
      <c r="A20" s="110"/>
      <c r="B20" s="110"/>
      <c r="C20" s="110"/>
      <c r="D20" s="110"/>
      <c r="E20" s="111"/>
    </row>
    <row r="21" spans="1:5" x14ac:dyDescent="0.25">
      <c r="A21" s="110"/>
      <c r="B21" s="110"/>
      <c r="C21" s="110"/>
      <c r="D21" s="110"/>
      <c r="E21" s="111"/>
    </row>
    <row r="22" spans="1:5" ht="14.25" customHeight="1" x14ac:dyDescent="0.3">
      <c r="A22" s="113" t="s">
        <v>995</v>
      </c>
      <c r="B22" s="113"/>
      <c r="C22" s="113"/>
      <c r="D22" s="113"/>
      <c r="E22" s="114">
        <f>(E16-E17-E18)+(E19+E20+E21)</f>
        <v>5146</v>
      </c>
    </row>
    <row r="23" spans="1:5" x14ac:dyDescent="0.25">
      <c r="A23" s="110" t="s">
        <v>990</v>
      </c>
      <c r="B23" s="110" t="s">
        <v>990</v>
      </c>
      <c r="C23" s="110">
        <v>2300</v>
      </c>
      <c r="D23" s="110">
        <v>6100</v>
      </c>
      <c r="E23" s="111">
        <f>SUMIFS('Accounting data'!$G$2:$G$37000,'Accounting data'!$J$2:$J$37000,"23*",'Accounting data'!$K$2:$K$37000,"61*")</f>
        <v>0</v>
      </c>
    </row>
    <row r="24" spans="1:5" x14ac:dyDescent="0.25">
      <c r="A24" s="110" t="s">
        <v>991</v>
      </c>
      <c r="B24" s="110" t="s">
        <v>990</v>
      </c>
      <c r="C24" s="110">
        <v>2300</v>
      </c>
      <c r="D24" s="110">
        <v>6100</v>
      </c>
      <c r="E24" s="111">
        <f>SUMIFS('Accounting data'!$G$2:$G$37000,'Accounting data'!$H$2:$H$37000,"9999*",'Accounting data'!$J$2:$J$37000,"23*",'Accounting data'!$K$2:$K$37000,"61*")</f>
        <v>0</v>
      </c>
    </row>
    <row r="25" spans="1:5" x14ac:dyDescent="0.25">
      <c r="A25" s="110" t="s">
        <v>990</v>
      </c>
      <c r="B25" s="110" t="s">
        <v>992</v>
      </c>
      <c r="C25" s="110">
        <v>2300</v>
      </c>
      <c r="D25" s="110">
        <v>6100</v>
      </c>
      <c r="E25" s="111">
        <f>SUMIFS('Accounting data'!$G$2:$G$37000,'Accounting data'!$I$2:$I$37000,"7*",'Accounting data'!$J$2:$J$37000,"23*",'Accounting data'!$K$2:$K$37000,"61*")+SUMIFS('Accounting data'!$G$2:$G$37000,'Accounting data'!$I$2:$I$37000,"8*",'Accounting data'!$J$2:$J$37000,"23*",'Accounting data'!$K$2:$K$37000,"61*")+SUMIFS('Accounting data'!$G$2:$G$37000,'Accounting data'!$I$2:$I$37000,"9*",'Accounting data'!$J$2:$J$37000,"23*",'Accounting data'!$K$2:$K$37000,"61*")</f>
        <v>0</v>
      </c>
    </row>
    <row r="26" spans="1:5" x14ac:dyDescent="0.25">
      <c r="A26" s="112" t="s">
        <v>991</v>
      </c>
      <c r="B26" s="110" t="s">
        <v>992</v>
      </c>
      <c r="C26" s="110">
        <v>2300</v>
      </c>
      <c r="D26" s="110">
        <v>6100</v>
      </c>
      <c r="E26" s="111">
        <f>SUMIFS('Accounting data'!$G$2:$G$37000,'Accounting data'!$H$2:$H$37000,"9999*",'Accounting data'!$I$2:$I$37000,"7*",'Accounting data'!$J$2:$J$37000,"23*",'Accounting data'!$K$2:$K$37000,"61*")+SUMIFS('Accounting data'!$G$2:$G$37000,'Accounting data'!$H$2:$H$37000,"9999*",'Accounting data'!$I$2:$I$37000,"8*",'Accounting data'!$J$2:$J$37000,"23*",'Accounting data'!$K$2:$K$37000,"61*")+SUMIFS('Accounting data'!$G$2:$G$37000,'Accounting data'!$H$2:$H$37000,"9999*",'Accounting data'!$I$2:$I$37000,"9*",'Accounting data'!$J$2:$J$37000,"23*",'Accounting data'!$K$2:$K$37000,"61*")</f>
        <v>0</v>
      </c>
    </row>
    <row r="27" spans="1:5" x14ac:dyDescent="0.25">
      <c r="A27" s="110"/>
      <c r="B27" s="110"/>
      <c r="C27" s="110"/>
      <c r="D27" s="110"/>
      <c r="E27" s="111"/>
    </row>
    <row r="28" spans="1:5" x14ac:dyDescent="0.25">
      <c r="A28" s="110"/>
      <c r="B28" s="110"/>
      <c r="C28" s="110"/>
      <c r="D28" s="110"/>
      <c r="E28" s="111"/>
    </row>
    <row r="29" spans="1:5" x14ac:dyDescent="0.25">
      <c r="A29" s="113" t="s">
        <v>996</v>
      </c>
      <c r="B29" s="113"/>
      <c r="C29" s="113"/>
      <c r="D29" s="113"/>
      <c r="E29" s="115">
        <f>(E23-E24-E25)+(E26+E27+E28)</f>
        <v>0</v>
      </c>
    </row>
    <row r="30" spans="1:5" x14ac:dyDescent="0.25">
      <c r="A30" s="110" t="s">
        <v>990</v>
      </c>
      <c r="B30" s="110" t="s">
        <v>990</v>
      </c>
      <c r="C30" s="110">
        <v>2400</v>
      </c>
      <c r="D30" s="110">
        <v>6100</v>
      </c>
      <c r="E30" s="111">
        <f>SUMIFS('Accounting data'!$G$2:$G$37000,'Accounting data'!$J$2:$J$37000,"24*",'Accounting data'!$K$2:$K$37000,"61*")</f>
        <v>143938</v>
      </c>
    </row>
    <row r="31" spans="1:5" x14ac:dyDescent="0.25">
      <c r="A31" s="110" t="s">
        <v>991</v>
      </c>
      <c r="B31" s="110" t="s">
        <v>990</v>
      </c>
      <c r="C31" s="110">
        <v>2400</v>
      </c>
      <c r="D31" s="110">
        <v>6100</v>
      </c>
      <c r="E31" s="111">
        <f>SUMIFS('Accounting data'!$G$2:$G$37000,'Accounting data'!$H$2:$H$37000,"9999*",'Accounting data'!$J$2:$J$37000,"24*",'Accounting data'!$K$2:$K$37000,"61*")</f>
        <v>0</v>
      </c>
    </row>
    <row r="32" spans="1:5" x14ac:dyDescent="0.25">
      <c r="A32" s="110" t="s">
        <v>990</v>
      </c>
      <c r="B32" s="110" t="s">
        <v>992</v>
      </c>
      <c r="C32" s="110">
        <v>2400</v>
      </c>
      <c r="D32" s="110">
        <v>6100</v>
      </c>
      <c r="E32" s="111">
        <f>SUMIFS('Accounting data'!$G$2:$G$37000,'Accounting data'!$I$2:$I$37000,"7*",'Accounting data'!$J$2:$J$37000,"24*",'Accounting data'!$K$2:$K$37000,"61*")+SUMIFS('Accounting data'!$G$2:$G$37000,'Accounting data'!$I$2:$I$37000,"8*",'Accounting data'!$J$2:$J$37000,"24*",'Accounting data'!$K$2:$K$37000,"61*")+SUMIFS('Accounting data'!$G$2:$G$37000,'Accounting data'!$I$2:$I$37000,"9*",'Accounting data'!$J$2:$J$37000,"24*",'Accounting data'!$K$2:$K$37000,"61*")</f>
        <v>0</v>
      </c>
    </row>
    <row r="33" spans="1:5" x14ac:dyDescent="0.25">
      <c r="A33" s="112" t="s">
        <v>991</v>
      </c>
      <c r="B33" s="110" t="s">
        <v>992</v>
      </c>
      <c r="C33" s="110">
        <v>2400</v>
      </c>
      <c r="D33" s="110">
        <v>6100</v>
      </c>
      <c r="E33" s="111">
        <f>SUMIFS('Accounting data'!$G$2:$G$37000,'Accounting data'!$H$2:$H$37000,"9999*",'Accounting data'!$I$2:$I$37000,"7*",'Accounting data'!$J$2:$J$37000,"24*",'Accounting data'!$K$2:$K$37000,"61*")+SUMIFS('Accounting data'!$G$2:$G$37000,'Accounting data'!$H$2:$H$37000,"9999*",'Accounting data'!$I$2:$I$37000,"8*",'Accounting data'!$J$2:$J$37000,"24*",'Accounting data'!$K$2:$K$37000,"61*")+SUMIFS('Accounting data'!$G$2:$G$37000,'Accounting data'!$H$2:$H$37000,"9999*",'Accounting data'!$I$2:$I$37000,"9*",'Accounting data'!$J$2:$J$37000,"24*",'Accounting data'!$K$2:$K$37000,"61*")</f>
        <v>0</v>
      </c>
    </row>
    <row r="34" spans="1:5" x14ac:dyDescent="0.25">
      <c r="A34" s="110"/>
      <c r="B34" s="110"/>
      <c r="C34" s="110"/>
      <c r="D34" s="110"/>
      <c r="E34" s="111"/>
    </row>
    <row r="35" spans="1:5" x14ac:dyDescent="0.25">
      <c r="A35" s="110"/>
      <c r="B35" s="110"/>
      <c r="C35" s="110"/>
      <c r="D35" s="110"/>
      <c r="E35" s="111"/>
    </row>
    <row r="36" spans="1:5" ht="14.25" customHeight="1" x14ac:dyDescent="0.3">
      <c r="A36" s="113" t="s">
        <v>997</v>
      </c>
      <c r="B36" s="113"/>
      <c r="C36" s="113"/>
      <c r="D36" s="113"/>
      <c r="E36" s="114">
        <f>(E30-E31-E32)+(E33+E34+E35)</f>
        <v>143938</v>
      </c>
    </row>
    <row r="37" spans="1:5" x14ac:dyDescent="0.25">
      <c r="A37" s="110" t="s">
        <v>990</v>
      </c>
      <c r="B37" s="110" t="s">
        <v>990</v>
      </c>
      <c r="C37" s="110">
        <v>2500</v>
      </c>
      <c r="D37" s="110">
        <v>6100</v>
      </c>
      <c r="E37" s="111">
        <f>SUMIFS('Accounting data'!$G$2:$G$37000,'Accounting data'!$J$2:$J$37000,"25*",'Accounting data'!$K$2:$K$37000,"61*")</f>
        <v>54874</v>
      </c>
    </row>
    <row r="38" spans="1:5" x14ac:dyDescent="0.25">
      <c r="A38" s="110" t="s">
        <v>991</v>
      </c>
      <c r="B38" s="110" t="s">
        <v>990</v>
      </c>
      <c r="C38" s="110">
        <v>2500</v>
      </c>
      <c r="D38" s="110">
        <v>6100</v>
      </c>
      <c r="E38" s="111">
        <f>SUMIFS('Accounting data'!$G$2:$G$37000,'Accounting data'!$H$2:$H$37000,"9999*",'Accounting data'!$J$2:$J$37000,"25*",'Accounting data'!$K$2:$K$37000,"61*")</f>
        <v>0</v>
      </c>
    </row>
    <row r="39" spans="1:5" x14ac:dyDescent="0.25">
      <c r="A39" s="110" t="s">
        <v>990</v>
      </c>
      <c r="B39" s="110" t="s">
        <v>992</v>
      </c>
      <c r="C39" s="110">
        <v>2500</v>
      </c>
      <c r="D39" s="110">
        <v>6100</v>
      </c>
      <c r="E39" s="111">
        <f>SUMIFS('Accounting data'!$G$2:$G$37000,'Accounting data'!$I$2:$I$37000,"7*",'Accounting data'!$J$2:$J$37000,"25*",'Accounting data'!$K$2:$K$37000,"61*")+SUMIFS('Accounting data'!$G$2:$G$37000,'Accounting data'!$I$2:$I$37000,"8*",'Accounting data'!$J$2:$J$37000,"25*",'Accounting data'!$K$2:$K$37000,"61*")+SUMIFS('Accounting data'!$G$2:$G$37000,'Accounting data'!$I$2:$I$37000,"9*",'Accounting data'!$J$2:$J$37000,"25*",'Accounting data'!$K$2:$K$37000,"61*")</f>
        <v>0</v>
      </c>
    </row>
    <row r="40" spans="1:5" x14ac:dyDescent="0.25">
      <c r="A40" s="112" t="s">
        <v>991</v>
      </c>
      <c r="B40" s="110" t="s">
        <v>992</v>
      </c>
      <c r="C40" s="110">
        <v>2500</v>
      </c>
      <c r="D40" s="110">
        <v>6100</v>
      </c>
      <c r="E40" s="111">
        <f>SUMIFS('Accounting data'!$G$2:$G$37000,'Accounting data'!$H$2:$H$37000,"9999*",'Accounting data'!$I$2:$I$37000,"7*",'Accounting data'!$J$2:$J$37000,"25*",'Accounting data'!$K$2:$K$37000,"61*")+SUMIFS('Accounting data'!$G$2:$G$37000,'Accounting data'!$H$2:$H$37000,"9999*",'Accounting data'!$I$2:$I$37000,"8*",'Accounting data'!$J$2:$J$37000,"25*",'Accounting data'!$K$2:$K$37000,"61*")+SUMIFS('Accounting data'!$G$2:$G$37000,'Accounting data'!$H$2:$H$37000,"9999*",'Accounting data'!$I$2:$I$37000,"9*",'Accounting data'!$J$2:$J$37000,"25*",'Accounting data'!$K$2:$K$37000,"61*")</f>
        <v>0</v>
      </c>
    </row>
    <row r="41" spans="1:5" x14ac:dyDescent="0.25">
      <c r="A41" s="110"/>
      <c r="B41" s="110"/>
      <c r="C41" s="110"/>
      <c r="D41" s="110"/>
      <c r="E41" s="111"/>
    </row>
    <row r="42" spans="1:5" x14ac:dyDescent="0.25">
      <c r="A42" s="110"/>
      <c r="B42" s="110"/>
      <c r="C42" s="110"/>
      <c r="D42" s="110"/>
      <c r="E42" s="111"/>
    </row>
    <row r="43" spans="1:5" ht="14.25" customHeight="1" x14ac:dyDescent="0.3">
      <c r="A43" s="113" t="s">
        <v>998</v>
      </c>
      <c r="B43" s="113"/>
      <c r="C43" s="113"/>
      <c r="D43" s="113"/>
      <c r="E43" s="114">
        <f>(E37-E38-E39)+(E40+E41+E42)</f>
        <v>54874</v>
      </c>
    </row>
    <row r="44" spans="1:5" x14ac:dyDescent="0.25">
      <c r="A44" s="110" t="s">
        <v>990</v>
      </c>
      <c r="B44" s="110" t="s">
        <v>990</v>
      </c>
      <c r="C44" s="110">
        <v>2900</v>
      </c>
      <c r="D44" s="110">
        <v>6100</v>
      </c>
      <c r="E44" s="111">
        <f>SUMIFS('Accounting data'!$G$2:$G$37000,'Accounting data'!$J$2:$J$37000,"29*",'Accounting data'!$K$2:$K$37000,"61*")</f>
        <v>0</v>
      </c>
    </row>
    <row r="45" spans="1:5" x14ac:dyDescent="0.25">
      <c r="A45" s="110" t="s">
        <v>991</v>
      </c>
      <c r="B45" s="110" t="s">
        <v>990</v>
      </c>
      <c r="C45" s="110">
        <v>2900</v>
      </c>
      <c r="D45" s="110">
        <v>6100</v>
      </c>
      <c r="E45" s="111">
        <f>SUMIFS('Accounting data'!$G$2:$G$37000,'Accounting data'!$H$2:$H$37000,"9999*",'Accounting data'!$J$2:$J$37000,"29*",'Accounting data'!$K$2:$K$37000,"61*")</f>
        <v>0</v>
      </c>
    </row>
    <row r="46" spans="1:5" x14ac:dyDescent="0.25">
      <c r="A46" s="110" t="s">
        <v>990</v>
      </c>
      <c r="B46" s="110" t="s">
        <v>992</v>
      </c>
      <c r="C46" s="110">
        <v>2900</v>
      </c>
      <c r="D46" s="110">
        <v>6100</v>
      </c>
      <c r="E46" s="111">
        <f>SUMIFS('Accounting data'!$G$2:$G$37000,'Accounting data'!$I$2:$I$37000,"7*",'Accounting data'!$J$2:$J$37000,"29*",'Accounting data'!$K$2:$K$37000,"61*")+SUMIFS('Accounting data'!$G$2:$G$37000,'Accounting data'!$I$2:$I$37000,"8*",'Accounting data'!$J$2:$J$37000,"29*",'Accounting data'!$K$2:$K$37000,"61*")+SUMIFS('Accounting data'!$G$2:$G$37000,'Accounting data'!$I$2:$I$37000,"9*",'Accounting data'!$J$2:$J$37000,"29*",'Accounting data'!$K$2:$K$37000,"61*")</f>
        <v>0</v>
      </c>
    </row>
    <row r="47" spans="1:5" x14ac:dyDescent="0.25">
      <c r="A47" s="112" t="s">
        <v>991</v>
      </c>
      <c r="B47" s="110" t="s">
        <v>992</v>
      </c>
      <c r="C47" s="110">
        <v>2900</v>
      </c>
      <c r="D47" s="110">
        <v>6100</v>
      </c>
      <c r="E47" s="111">
        <f>SUMIFS('Accounting data'!$G$2:$G$37000,'Accounting data'!$H$2:$H$37000,"9999*",'Accounting data'!$I$2:$I$37000,"7*",'Accounting data'!$J$2:$J$37000,"29*",'Accounting data'!$K$2:$K$37000,"61*")+SUMIFS('Accounting data'!$G$2:$G$37000,'Accounting data'!$H$2:$H$37000,"9999*",'Accounting data'!$I$2:$I$37000,"8*",'Accounting data'!$J$2:$J$37000,"29*",'Accounting data'!$K$2:$K$37000,"61*")+SUMIFS('Accounting data'!$G$2:$G$37000,'Accounting data'!$H$2:$H$37000,"9999*",'Accounting data'!$I$2:$I$37000,"9*",'Accounting data'!$J$2:$J$37000,"29*",'Accounting data'!$K$2:$K$37000,"61*")</f>
        <v>0</v>
      </c>
    </row>
    <row r="50" spans="1:5" ht="14.25" customHeight="1" x14ac:dyDescent="0.3">
      <c r="A50" s="113" t="s">
        <v>999</v>
      </c>
      <c r="B50" s="113"/>
      <c r="C50" s="113"/>
      <c r="D50" s="113"/>
      <c r="E50" s="114">
        <f>(E44-E45-E46)+(E47+E48+E49)</f>
        <v>0</v>
      </c>
    </row>
    <row r="51" spans="1:5" x14ac:dyDescent="0.25">
      <c r="A51" s="110" t="s">
        <v>990</v>
      </c>
      <c r="B51" s="110" t="s">
        <v>990</v>
      </c>
      <c r="C51" s="110">
        <v>2600</v>
      </c>
      <c r="D51" s="110">
        <v>6100</v>
      </c>
      <c r="E51" s="111">
        <f>SUMIFS('Accounting data'!$G$2:$G$37000,'Accounting data'!$J$2:$J$37000,"26*",'Accounting data'!$K$2:$K$37000,"61*")</f>
        <v>0</v>
      </c>
    </row>
    <row r="52" spans="1:5" x14ac:dyDescent="0.25">
      <c r="A52" s="110" t="s">
        <v>991</v>
      </c>
      <c r="B52" s="110" t="s">
        <v>990</v>
      </c>
      <c r="C52" s="110">
        <v>2600</v>
      </c>
      <c r="D52" s="110">
        <v>6100</v>
      </c>
      <c r="E52" s="111">
        <f>SUMIFS('Accounting data'!$G$2:$G$37000,'Accounting data'!$H$2:$H$37000,"9999*",'Accounting data'!$J$2:$J$37000,"26*",'Accounting data'!$K$2:$K$37000,"61*")</f>
        <v>0</v>
      </c>
    </row>
    <row r="53" spans="1:5" x14ac:dyDescent="0.25">
      <c r="A53" s="110" t="s">
        <v>990</v>
      </c>
      <c r="B53" s="110" t="s">
        <v>992</v>
      </c>
      <c r="C53" s="110">
        <v>2600</v>
      </c>
      <c r="D53" s="110">
        <v>6100</v>
      </c>
      <c r="E53" s="111">
        <f>SUMIFS('Accounting data'!$G$2:$G$37000,'Accounting data'!$I$2:$I$37000,"7*",'Accounting data'!$J$2:$J$37000,"26*",'Accounting data'!$K$2:$K$37000,"61*")+SUMIFS('Accounting data'!$G$2:$G$37000,'Accounting data'!$I$2:$I$37000,"8*",'Accounting data'!$J$2:$J$37000,"26*",'Accounting data'!$K$2:$K$37000,"61*")+SUMIFS('Accounting data'!$G$2:$G$37000,'Accounting data'!$I$2:$I$37000,"9*",'Accounting data'!$J$2:$J$37000,"26*",'Accounting data'!$K$2:$K$37000,"61*")</f>
        <v>0</v>
      </c>
    </row>
    <row r="54" spans="1:5" x14ac:dyDescent="0.25">
      <c r="A54" s="112" t="s">
        <v>991</v>
      </c>
      <c r="B54" s="110" t="s">
        <v>992</v>
      </c>
      <c r="C54" s="110">
        <v>2600</v>
      </c>
      <c r="D54" s="110">
        <v>6100</v>
      </c>
      <c r="E54" s="111">
        <f>SUMIFS('Accounting data'!$G$2:$G$37000,'Accounting data'!$H$2:$H$37000,"9999*",'Accounting data'!$I$2:$I$37000,"7*",'Accounting data'!$J$2:$J$37000,"26*",'Accounting data'!$K$2:$K$37000,"61*")+SUMIFS('Accounting data'!$G$2:$G$37000,'Accounting data'!$H$2:$H$37000,"9999*",'Accounting data'!$I$2:$I$37000,"8*",'Accounting data'!$J$2:$J$37000,"26*",'Accounting data'!$K$2:$K$37000,"61*")+SUMIFS('Accounting data'!$G$2:$G$37000,'Accounting data'!$H$2:$H$37000,"9999*",'Accounting data'!$I$2:$I$37000,"9*",'Accounting data'!$J$2:$J$37000,"26*",'Accounting data'!$K$2:$K$37000,"61*")</f>
        <v>0</v>
      </c>
    </row>
    <row r="55" spans="1:5" x14ac:dyDescent="0.25">
      <c r="A55" s="110"/>
      <c r="B55" s="110"/>
      <c r="C55" s="110"/>
      <c r="D55" s="110"/>
      <c r="E55" s="111"/>
    </row>
    <row r="56" spans="1:5" x14ac:dyDescent="0.25">
      <c r="A56" s="110"/>
      <c r="B56" s="110"/>
      <c r="C56" s="110"/>
      <c r="D56" s="110"/>
      <c r="E56" s="111"/>
    </row>
    <row r="57" spans="1:5" ht="14.25" customHeight="1" x14ac:dyDescent="0.3">
      <c r="A57" s="113" t="s">
        <v>1000</v>
      </c>
      <c r="B57" s="113"/>
      <c r="C57" s="113"/>
      <c r="D57" s="113"/>
      <c r="E57" s="114">
        <f>(E51-E52-E53)+(E54+E55+E56)</f>
        <v>0</v>
      </c>
    </row>
    <row r="58" spans="1:5" x14ac:dyDescent="0.25">
      <c r="A58" s="110" t="s">
        <v>990</v>
      </c>
      <c r="B58" s="110" t="s">
        <v>990</v>
      </c>
      <c r="C58" s="110">
        <v>2700</v>
      </c>
      <c r="D58" s="110">
        <v>6100</v>
      </c>
      <c r="E58" s="111">
        <f>SUMIFS('Accounting data'!$G$2:$G$37000,'Accounting data'!$J$2:$J$37000,"27*",'Accounting data'!$K$2:$K$37000,"61*")</f>
        <v>0</v>
      </c>
    </row>
    <row r="59" spans="1:5" x14ac:dyDescent="0.25">
      <c r="A59" s="110" t="s">
        <v>991</v>
      </c>
      <c r="B59" s="110" t="s">
        <v>990</v>
      </c>
      <c r="C59" s="110">
        <v>2700</v>
      </c>
      <c r="D59" s="110">
        <v>6100</v>
      </c>
      <c r="E59" s="111">
        <f>SUMIFS('Accounting data'!$G$2:$G$37000,'Accounting data'!$H$2:$H$37000,"9999*",'Accounting data'!$J$2:$J$37000,"27*",'Accounting data'!$K$2:$K$37000,"61*")</f>
        <v>0</v>
      </c>
    </row>
    <row r="60" spans="1:5" x14ac:dyDescent="0.25">
      <c r="A60" s="110" t="s">
        <v>990</v>
      </c>
      <c r="B60" s="110" t="s">
        <v>992</v>
      </c>
      <c r="C60" s="110">
        <v>2700</v>
      </c>
      <c r="D60" s="110">
        <v>6100</v>
      </c>
      <c r="E60" s="111">
        <f>SUMIFS('Accounting data'!$G$2:$G$37000,'Accounting data'!$I$2:$I$37000,"7*",'Accounting data'!$J$2:$J$37000,"27*",'Accounting data'!$K$2:$K$37000,"61*")+SUMIFS('Accounting data'!$G$2:$G$37000,'Accounting data'!$I$2:$I$37000,"8*",'Accounting data'!$J$2:$J$37000,"27*",'Accounting data'!$K$2:$K$37000,"61*")+SUMIFS('Accounting data'!$G$2:$G$37000,'Accounting data'!$I$2:$I$37000,"9*",'Accounting data'!$J$2:$J$37000,"27*",'Accounting data'!$K$2:$K$37000,"61*")</f>
        <v>0</v>
      </c>
    </row>
    <row r="61" spans="1:5" x14ac:dyDescent="0.25">
      <c r="A61" s="112" t="s">
        <v>991</v>
      </c>
      <c r="B61" s="110" t="s">
        <v>992</v>
      </c>
      <c r="C61" s="110">
        <v>2700</v>
      </c>
      <c r="D61" s="110">
        <v>6100</v>
      </c>
      <c r="E61" s="111">
        <f>SUMIFS('Accounting data'!$G$2:$G$37000,'Accounting data'!$H$2:$H$37000,"9999*",'Accounting data'!$I$2:$I$37000,"7*",'Accounting data'!$J$2:$J$37000,"27*",'Accounting data'!$K$2:$K$37000,"61*")+SUMIFS('Accounting data'!$G$2:$G$37000,'Accounting data'!$H$2:$H$37000,"9999*",'Accounting data'!$I$2:$I$37000,"8*",'Accounting data'!$J$2:$J$37000,"27*",'Accounting data'!$K$2:$K$37000,"61*")+SUMIFS('Accounting data'!$G$2:$G$37000,'Accounting data'!$H$2:$H$37000,"9999*",'Accounting data'!$I$2:$I$37000,"9*",'Accounting data'!$J$2:$J$37000,"27*",'Accounting data'!$K$2:$K$37000,"61*")</f>
        <v>0</v>
      </c>
    </row>
    <row r="62" spans="1:5" x14ac:dyDescent="0.25">
      <c r="A62" s="110"/>
      <c r="B62" s="110"/>
      <c r="C62" s="110"/>
      <c r="D62" s="110"/>
      <c r="E62" s="111"/>
    </row>
    <row r="63" spans="1:5" x14ac:dyDescent="0.25">
      <c r="A63" s="110"/>
      <c r="B63" s="110"/>
      <c r="C63" s="110"/>
      <c r="D63" s="110"/>
      <c r="E63" s="111"/>
    </row>
    <row r="64" spans="1:5" ht="14.25" customHeight="1" x14ac:dyDescent="0.3">
      <c r="A64" s="113" t="s">
        <v>1001</v>
      </c>
      <c r="B64" s="113"/>
      <c r="C64" s="113"/>
      <c r="D64" s="113"/>
      <c r="E64" s="114">
        <f>(E58-E59-E60)+(E61+E62+E63)</f>
        <v>0</v>
      </c>
    </row>
    <row r="65" spans="1:5" x14ac:dyDescent="0.25">
      <c r="A65" s="110" t="s">
        <v>990</v>
      </c>
      <c r="B65" s="110" t="s">
        <v>990</v>
      </c>
      <c r="C65" s="110">
        <v>3100</v>
      </c>
      <c r="D65" s="110">
        <v>6100</v>
      </c>
      <c r="E65" s="111">
        <f>SUMIFS('Accounting data'!$G$2:$G$37000,'Accounting data'!$J$2:$J$37000,"31*",'Accounting data'!$K$2:$K$37000,"61*")</f>
        <v>0</v>
      </c>
    </row>
    <row r="66" spans="1:5" x14ac:dyDescent="0.25">
      <c r="A66" s="110" t="s">
        <v>991</v>
      </c>
      <c r="B66" s="110" t="s">
        <v>990</v>
      </c>
      <c r="C66" s="110">
        <v>3100</v>
      </c>
      <c r="D66" s="110">
        <v>6100</v>
      </c>
      <c r="E66" s="111">
        <f>SUMIFS('Accounting data'!$G$2:$G$37000,'Accounting data'!$H$2:$H$37000,"9999*",'Accounting data'!$J$2:$J$37000,"31*",'Accounting data'!$K$2:$K$37000,"61*")</f>
        <v>0</v>
      </c>
    </row>
    <row r="67" spans="1:5" x14ac:dyDescent="0.25">
      <c r="A67" s="110" t="s">
        <v>990</v>
      </c>
      <c r="B67" s="110" t="s">
        <v>992</v>
      </c>
      <c r="C67" s="110">
        <v>3100</v>
      </c>
      <c r="D67" s="110">
        <v>6100</v>
      </c>
      <c r="E67" s="111">
        <f>SUMIFS('Accounting data'!$G$2:$G$37000,'Accounting data'!$I$2:$I$37000,"7*",'Accounting data'!$J$2:$J$37000,"31*",'Accounting data'!$K$2:$K$37000,"61*")+SUMIFS('Accounting data'!$G$2:$G$37000,'Accounting data'!$I$2:$I$37000,"8*",'Accounting data'!$J$2:$J$37000,"31*",'Accounting data'!$K$2:$K$37000,"61*")+SUMIFS('Accounting data'!$G$2:$G$37000,'Accounting data'!$I$2:$I$37000,"9*",'Accounting data'!$J$2:$J$37000,"31*",'Accounting data'!$K$2:$K$37000,"61*")</f>
        <v>0</v>
      </c>
    </row>
    <row r="68" spans="1:5" x14ac:dyDescent="0.25">
      <c r="A68" s="112" t="s">
        <v>991</v>
      </c>
      <c r="B68" s="110" t="s">
        <v>992</v>
      </c>
      <c r="C68" s="110">
        <v>3100</v>
      </c>
      <c r="D68" s="110">
        <v>6100</v>
      </c>
      <c r="E68" s="111">
        <f>SUMIFS('Accounting data'!$G$2:$G$37000,'Accounting data'!$H$2:$H$37000,"9999*",'Accounting data'!$I$2:$I$37000,"7*",'Accounting data'!$J$2:$J$37000,"31*",'Accounting data'!$K$2:$K$37000,"61*")+SUMIFS('Accounting data'!$G$2:$G$37000,'Accounting data'!$H$2:$H$37000,"9999*",'Accounting data'!$I$2:$I$37000,"8*",'Accounting data'!$J$2:$J$37000,"31*",'Accounting data'!$K$2:$K$37000,"61*")+SUMIFS('Accounting data'!$G$2:$G$37000,'Accounting data'!$H$2:$H$37000,"9999*",'Accounting data'!$I$2:$I$37000,"9*",'Accounting data'!$J$2:$J$37000,"31*",'Accounting data'!$K$2:$K$37000,"61*")</f>
        <v>0</v>
      </c>
    </row>
    <row r="69" spans="1:5" x14ac:dyDescent="0.25">
      <c r="A69" s="110"/>
      <c r="B69" s="110"/>
      <c r="C69" s="110"/>
      <c r="D69" s="110"/>
      <c r="E69" s="111"/>
    </row>
    <row r="70" spans="1:5" x14ac:dyDescent="0.25">
      <c r="A70" s="110"/>
      <c r="B70" s="110"/>
      <c r="C70" s="110"/>
      <c r="D70" s="110"/>
      <c r="E70" s="111"/>
    </row>
    <row r="71" spans="1:5" ht="14.25" customHeight="1" x14ac:dyDescent="0.3">
      <c r="A71" s="113" t="s">
        <v>1002</v>
      </c>
      <c r="B71" s="113"/>
      <c r="C71" s="113"/>
      <c r="D71" s="113"/>
      <c r="E71" s="114">
        <f>(E65-E66-E67)+(E68+E69+E70)</f>
        <v>0</v>
      </c>
    </row>
    <row r="72" spans="1:5" x14ac:dyDescent="0.25">
      <c r="A72" s="110"/>
      <c r="B72" s="110"/>
      <c r="C72" s="110"/>
      <c r="D72" s="110"/>
      <c r="E72" s="111"/>
    </row>
    <row r="73" spans="1:5" x14ac:dyDescent="0.25">
      <c r="A73" s="110"/>
      <c r="B73" s="110"/>
      <c r="C73" s="110"/>
      <c r="D73" s="110"/>
      <c r="E73" s="111"/>
    </row>
    <row r="74" spans="1:5" x14ac:dyDescent="0.25">
      <c r="A74" s="110"/>
      <c r="B74" s="110"/>
      <c r="C74" s="110"/>
      <c r="D74" s="110"/>
      <c r="E74" s="111"/>
    </row>
    <row r="75" spans="1:5" x14ac:dyDescent="0.25">
      <c r="A75" s="112"/>
      <c r="B75" s="110"/>
      <c r="C75" s="110"/>
      <c r="D75" s="110"/>
      <c r="E75" s="111"/>
    </row>
    <row r="76" spans="1:5" x14ac:dyDescent="0.25">
      <c r="A76" s="110"/>
      <c r="B76" s="110"/>
      <c r="C76" s="110"/>
      <c r="D76" s="110"/>
      <c r="E76" s="111"/>
    </row>
    <row r="77" spans="1:5" x14ac:dyDescent="0.25">
      <c r="A77" s="110"/>
      <c r="B77" s="110"/>
      <c r="C77" s="110"/>
      <c r="D77" s="110"/>
      <c r="E77" s="111"/>
    </row>
    <row r="78" spans="1:5" ht="14.25" customHeight="1" x14ac:dyDescent="0.3">
      <c r="A78" s="113"/>
      <c r="B78" s="113"/>
      <c r="C78" s="113"/>
      <c r="D78" s="113"/>
      <c r="E78" s="114"/>
    </row>
    <row r="79" spans="1:5" x14ac:dyDescent="0.25">
      <c r="A79" s="110" t="s">
        <v>990</v>
      </c>
      <c r="B79" s="110" t="s">
        <v>990</v>
      </c>
      <c r="C79" s="110">
        <v>3400</v>
      </c>
      <c r="D79" s="110">
        <v>6100</v>
      </c>
      <c r="E79" s="111">
        <f>SUMIFS('Accounting data'!$G$2:$G$37000,'Accounting data'!$J$2:$J$37000,"34*",'Accounting data'!$K$2:$K$37000,"61*")</f>
        <v>0</v>
      </c>
    </row>
    <row r="80" spans="1:5" x14ac:dyDescent="0.25">
      <c r="A80" s="110" t="s">
        <v>991</v>
      </c>
      <c r="B80" s="110" t="s">
        <v>990</v>
      </c>
      <c r="C80" s="110">
        <v>3400</v>
      </c>
      <c r="D80" s="110">
        <v>6100</v>
      </c>
      <c r="E80" s="111">
        <f>SUMIFS('Accounting data'!$G$2:$G$37000,'Accounting data'!$H$2:$H$37000,"9999*",'Accounting data'!$J$2:$J$37000,"34*",'Accounting data'!$K$2:$K$37000,"61*")</f>
        <v>0</v>
      </c>
    </row>
    <row r="81" spans="1:5" x14ac:dyDescent="0.25">
      <c r="A81" s="110" t="s">
        <v>990</v>
      </c>
      <c r="B81" s="110" t="s">
        <v>992</v>
      </c>
      <c r="C81" s="110">
        <v>3400</v>
      </c>
      <c r="D81" s="110">
        <v>6100</v>
      </c>
      <c r="E81" s="111">
        <f>SUMIFS('Accounting data'!$G$2:$G$37000,'Accounting data'!$I$2:$I$37000,"7*",'Accounting data'!$J$2:$J$37000,"34*",'Accounting data'!$K$2:$K$37000,"61*")+SUMIFS('Accounting data'!$G$2:$G$37000,'Accounting data'!$I$2:$I$37000,"8*",'Accounting data'!$J$2:$J$37000,"34*",'Accounting data'!$K$2:$K$37000,"61*")+SUMIFS('Accounting data'!$G$2:$G$37000,'Accounting data'!$I$2:$I$37000,"9*",'Accounting data'!$J$2:$J$37000,"34*",'Accounting data'!$K$2:$K$37000,"61*")</f>
        <v>0</v>
      </c>
    </row>
    <row r="82" spans="1:5" x14ac:dyDescent="0.25">
      <c r="A82" s="112" t="s">
        <v>991</v>
      </c>
      <c r="B82" s="110" t="s">
        <v>992</v>
      </c>
      <c r="C82" s="110">
        <v>3400</v>
      </c>
      <c r="D82" s="110">
        <v>6100</v>
      </c>
      <c r="E82" s="111">
        <f>SUMIFS('Accounting data'!$G$2:$G$37000,'Accounting data'!$H$2:$H$37000,"9999*",'Accounting data'!$I$2:$I$37000,"7*",'Accounting data'!$J$2:$J$37000,"34*",'Accounting data'!$K$2:$K$37000,"61*")+SUMIFS('Accounting data'!$G$2:$G$37000,'Accounting data'!$H$2:$H$37000,"9999*",'Accounting data'!$I$2:$I$37000,"8*",'Accounting data'!$J$2:$J$37000,"34*",'Accounting data'!$K$2:$K$37000,"61*")+SUMIFS('Accounting data'!$G$2:$G$37000,'Accounting data'!$H$2:$H$37000,"9999*",'Accounting data'!$I$2:$I$37000,"9*",'Accounting data'!$J$2:$J$37000,"34*",'Accounting data'!$K$2:$K$37000,"61*")</f>
        <v>0</v>
      </c>
    </row>
    <row r="83" spans="1:5" x14ac:dyDescent="0.25">
      <c r="A83" s="110"/>
      <c r="B83" s="110"/>
      <c r="C83" s="110"/>
      <c r="D83" s="110"/>
      <c r="E83" s="111"/>
    </row>
    <row r="84" spans="1:5" x14ac:dyDescent="0.25">
      <c r="A84" s="110"/>
      <c r="B84" s="110"/>
      <c r="C84" s="110"/>
      <c r="D84" s="110"/>
      <c r="E84" s="111"/>
    </row>
    <row r="85" spans="1:5" ht="14.25" customHeight="1" x14ac:dyDescent="0.3">
      <c r="A85" s="113" t="s">
        <v>1003</v>
      </c>
      <c r="B85" s="113"/>
      <c r="C85" s="113"/>
      <c r="D85" s="113"/>
      <c r="E85" s="114">
        <f>(E79-E80-E81)+(E82+E83+E84)</f>
        <v>0</v>
      </c>
    </row>
    <row r="86" spans="1:5" x14ac:dyDescent="0.25">
      <c r="A86" s="110" t="s">
        <v>990</v>
      </c>
      <c r="B86" s="110" t="s">
        <v>990</v>
      </c>
      <c r="C86" s="110">
        <v>4000</v>
      </c>
      <c r="D86" s="110">
        <v>6100</v>
      </c>
      <c r="E86" s="111">
        <f>SUMIFS('Accounting data'!$G$2:$G$37000,'Accounting data'!$J$2:$J$37000,"4*",'Accounting data'!$K$2:$K$37000,"61*")</f>
        <v>0</v>
      </c>
    </row>
    <row r="87" spans="1:5" x14ac:dyDescent="0.25">
      <c r="A87" s="110" t="s">
        <v>991</v>
      </c>
      <c r="B87" s="110" t="s">
        <v>990</v>
      </c>
      <c r="C87" s="110">
        <v>4000</v>
      </c>
      <c r="D87" s="110">
        <v>6100</v>
      </c>
      <c r="E87" s="111">
        <f>SUMIFS('Accounting data'!$G$2:$G$37000,'Accounting data'!$H$2:$H$37000,"9999*",'Accounting data'!$J$2:$J$37000,"4*",'Accounting data'!$K$2:$K$37000,"61*")</f>
        <v>0</v>
      </c>
    </row>
    <row r="88" spans="1:5" x14ac:dyDescent="0.25">
      <c r="A88" s="110" t="s">
        <v>990</v>
      </c>
      <c r="B88" s="110" t="s">
        <v>992</v>
      </c>
      <c r="C88" s="110">
        <v>4000</v>
      </c>
      <c r="D88" s="110">
        <v>6100</v>
      </c>
      <c r="E88" s="111">
        <f>SUMIFS('Accounting data'!$G$2:$G$37000,'Accounting data'!$I$2:$I$37000,"7*",'Accounting data'!$J$2:$J$37000,"4*",'Accounting data'!$K$2:$K$37000,"61*")+SUMIFS('Accounting data'!$G$2:$G$37000,'Accounting data'!$I$2:$I$37000,"8*",'Accounting data'!$J$2:$J$37000,"4*",'Accounting data'!$K$2:$K$37000,"61*")+SUMIFS('Accounting data'!$G$2:$G$37000,'Accounting data'!$I$2:$I$37000,"9*",'Accounting data'!$J$2:$J$37000,"4*",'Accounting data'!$K$2:$K$37000,"61*")</f>
        <v>0</v>
      </c>
    </row>
    <row r="89" spans="1:5" x14ac:dyDescent="0.25">
      <c r="A89" s="112" t="s">
        <v>991</v>
      </c>
      <c r="B89" s="110" t="s">
        <v>992</v>
      </c>
      <c r="C89" s="110">
        <v>4000</v>
      </c>
      <c r="D89" s="110">
        <v>6100</v>
      </c>
      <c r="E89" s="111">
        <f>SUMIFS('Accounting data'!$G$2:$G$37000,'Accounting data'!$H$2:$H$37000,"9999*",'Accounting data'!$I$2:$I$37000,"7*",'Accounting data'!$J$2:$J$37000,"4*",'Accounting data'!$K$2:$K$37000,"61*")+SUMIFS('Accounting data'!$G$2:$G$37000,'Accounting data'!$H$2:$H$37000,"9999*",'Accounting data'!$I$2:$I$37000,"8*",'Accounting data'!$J$2:$J$37000,"4*",'Accounting data'!$K$2:$K$37000,"61*")+SUMIFS('Accounting data'!$G$2:$G$37000,'Accounting data'!$H$2:$H$37000,"9999*",'Accounting data'!$I$2:$I$37000,"9*",'Accounting data'!$J$2:$J$37000,"4*",'Accounting data'!$K$2:$K$37000,"61*")</f>
        <v>0</v>
      </c>
    </row>
    <row r="90" spans="1:5" x14ac:dyDescent="0.25">
      <c r="A90" s="110"/>
      <c r="B90" s="110"/>
      <c r="C90" s="110"/>
      <c r="D90" s="110"/>
      <c r="E90" s="111"/>
    </row>
    <row r="91" spans="1:5" x14ac:dyDescent="0.25">
      <c r="A91" s="110"/>
      <c r="B91" s="110"/>
      <c r="C91" s="110"/>
      <c r="D91" s="110"/>
      <c r="E91" s="111"/>
    </row>
    <row r="92" spans="1:5" ht="14.25" customHeight="1" x14ac:dyDescent="0.3">
      <c r="A92" s="113" t="s">
        <v>1004</v>
      </c>
      <c r="B92" s="113"/>
      <c r="C92" s="113"/>
      <c r="D92" s="113"/>
      <c r="E92" s="114">
        <f>(E86-E87-E88)+(E89+E90+E91)</f>
        <v>0</v>
      </c>
    </row>
    <row r="93" spans="1:5" ht="14.25" customHeight="1" x14ac:dyDescent="0.3">
      <c r="A93" s="116" t="s">
        <v>1005</v>
      </c>
      <c r="B93" s="116"/>
      <c r="C93" s="116"/>
      <c r="D93" s="116"/>
      <c r="E93" s="117">
        <f>E8+E15+E22+E29+E36+E43+E50+E57+E64+E71+E78+E85</f>
        <v>883412</v>
      </c>
    </row>
    <row r="94" spans="1:5" x14ac:dyDescent="0.25">
      <c r="A94" s="110" t="s">
        <v>1006</v>
      </c>
      <c r="B94" s="110" t="s">
        <v>990</v>
      </c>
      <c r="C94" s="110">
        <v>1000</v>
      </c>
      <c r="D94" s="110">
        <v>6100</v>
      </c>
      <c r="E94" s="111">
        <f>SUMIFS('Accounting data'!$G$2:$G$37000,'Accounting data'!$H$2:$H$37000,"11*",'Accounting data'!$J$2:$J$37000,"1*",'Accounting data'!$K$2:$K$37000,"61*")+SUMIFS('Accounting data'!$G$2:$G$37000,'Accounting data'!$H$2:$H$37000,"12*",'Accounting data'!$J$2:$J$37000,"1*",'Accounting data'!$K$2:$K$37000,"61*")+SUMIFS('Accounting data'!$G$2:$G$37000,'Accounting data'!$H$2:$H$37000,"13*",'Accounting data'!$J$2:$J$37000,"1*",'Accounting data'!$K$2:$K$37000,"61*")</f>
        <v>57187</v>
      </c>
    </row>
    <row r="95" spans="1:5" x14ac:dyDescent="0.25">
      <c r="A95" s="110" t="s">
        <v>1006</v>
      </c>
      <c r="B95" s="110" t="s">
        <v>990</v>
      </c>
      <c r="C95" s="110">
        <v>2000</v>
      </c>
      <c r="D95" s="110">
        <v>6100</v>
      </c>
      <c r="E95" s="111">
        <f>SUMIFS('Accounting data'!$G$2:$G$37000,'Accounting data'!$H$2:$H$37000,"11*",'Accounting data'!$J$2:$J$37000,"2*",'Accounting data'!$K$2:$K$37000,"61*")+SUMIFS('Accounting data'!$G$2:$G$37000,'Accounting data'!$H$2:$H$37000,"12*",'Accounting data'!$J$2:$J$37000,"2*",'Accounting data'!$K$2:$K$37000,"61*")+SUMIFS('Accounting data'!$G$2:$G$37000,'Accounting data'!$H$2:$H$37000,"13*",'Accounting data'!$J$2:$J$37000,"2*",'Accounting data'!$K$2:$K$37000,"61*")</f>
        <v>10183</v>
      </c>
    </row>
    <row r="96" spans="1:5" x14ac:dyDescent="0.25">
      <c r="A96" s="110" t="s">
        <v>1006</v>
      </c>
      <c r="B96" s="110" t="s">
        <v>990</v>
      </c>
      <c r="C96" s="110">
        <v>3000</v>
      </c>
      <c r="D96" s="110">
        <v>6100</v>
      </c>
      <c r="E96" s="111">
        <f>SUMIFS('Accounting data'!$G$2:$G$37000,'Accounting data'!$H$2:$H$37000,"11*",'Accounting data'!$J$2:$J$37000,"3*",'Accounting data'!$K$2:$K$37000,"61*")+SUMIFS('Accounting data'!$G$2:$G$37000,'Accounting data'!$H$2:$H$37000,"12*",'Accounting data'!$J$2:$J$37000,"3*",'Accounting data'!$K$2:$K$37000,"61*")+SUMIFS('Accounting data'!$G$2:$G$37000,'Accounting data'!$H$2:$H$37000,"13*",'Accounting data'!$J$2:$J$37000,"3*",'Accounting data'!$K$2:$K$37000,"61*")</f>
        <v>0</v>
      </c>
    </row>
    <row r="97" spans="1:5" x14ac:dyDescent="0.25">
      <c r="A97" s="110" t="s">
        <v>1006</v>
      </c>
      <c r="B97" s="112">
        <v>700</v>
      </c>
      <c r="C97" s="110">
        <v>1000</v>
      </c>
      <c r="D97" s="110">
        <v>6100</v>
      </c>
      <c r="E97" s="111">
        <f>SUMIFS('Accounting data'!$G$2:$G$37000,'Accounting data'!$H$2:$H$37000,"11*",'Accounting data'!$I$2:$I$37000,"7*",'Accounting data'!$J$2:$J$37000,"1*",'Accounting data'!$K$2:$K$37000,"61*")+SUMIFS('Accounting data'!$G$2:$G$37000,'Accounting data'!$H$2:$H$37000,"12*",'Accounting data'!$I$2:$I$37000,"7*",'Accounting data'!$J$2:$J$37000,"1*",'Accounting data'!$K$2:$K$37000,"61*")+SUMIFS('Accounting data'!$G$2:$G$37000,'Accounting data'!$H$2:$H$37000,"13*",'Accounting data'!$I$2:$I$37000,"7*",'Accounting data'!$J$2:$J$37000,"1*",'Accounting data'!$K$2:$K$37000,"61*")</f>
        <v>0</v>
      </c>
    </row>
    <row r="98" spans="1:5" x14ac:dyDescent="0.25">
      <c r="A98" s="110" t="s">
        <v>1006</v>
      </c>
      <c r="B98" s="112">
        <v>800</v>
      </c>
      <c r="C98" s="110">
        <v>1000</v>
      </c>
      <c r="D98" s="110">
        <v>6100</v>
      </c>
      <c r="E98" s="111">
        <f>SUMIFS('Accounting data'!$G$2:$G$37000,'Accounting data'!$H$2:$H$37000,"11*",'Accounting data'!$I$2:$I$37000,"8*",'Accounting data'!$J$2:$J$37000,"1*",'Accounting data'!$K$2:$K$37000,"61*")+SUMIFS('Accounting data'!$G$2:$G$37000,'Accounting data'!$H$2:$H$37000,"12*",'Accounting data'!$I$2:$I$37000,"8*",'Accounting data'!$J$2:$J$37000,"1*",'Accounting data'!$K$2:$K$37000,"61*")+SUMIFS('Accounting data'!$G$2:$G$37000,'Accounting data'!$H$2:$H$37000,"13*",'Accounting data'!$I$2:$I$37000,"8*",'Accounting data'!$J$2:$J$37000,"1*",'Accounting data'!$K$2:$K$37000,"61*")</f>
        <v>0</v>
      </c>
    </row>
    <row r="99" spans="1:5" x14ac:dyDescent="0.25">
      <c r="A99" s="110" t="s">
        <v>1006</v>
      </c>
      <c r="B99" s="112">
        <v>900</v>
      </c>
      <c r="C99" s="110">
        <v>1000</v>
      </c>
      <c r="D99" s="110">
        <v>6100</v>
      </c>
      <c r="E99" s="111">
        <f>SUMIFS('Accounting data'!$G$2:$G$37000,'Accounting data'!$H$2:$H$37000,"11*",'Accounting data'!$I$2:$I$37000,"9*",'Accounting data'!$J$2:$J$37000,"1*",'Accounting data'!$K$2:$K$37000,"61*")+SUMIFS('Accounting data'!$G$2:$G$37000,'Accounting data'!$H$2:$H$37000,"12*",'Accounting data'!$I$2:$I$37000,"9*",'Accounting data'!$J$2:$J$37000,"1*",'Accounting data'!$K$2:$K$37000,"61*")+SUMIFS('Accounting data'!$G$2:$G$37000,'Accounting data'!$H$2:$H$37000,"13*",'Accounting data'!$I$2:$I$37000,"9*",'Accounting data'!$J$2:$J$37000,"1*",'Accounting data'!$K$2:$K$37000,"61*")</f>
        <v>0</v>
      </c>
    </row>
    <row r="100" spans="1:5" x14ac:dyDescent="0.25">
      <c r="A100" s="110" t="s">
        <v>1006</v>
      </c>
      <c r="B100" s="112">
        <v>700</v>
      </c>
      <c r="C100" s="110">
        <v>2000</v>
      </c>
      <c r="D100" s="110">
        <v>6100</v>
      </c>
      <c r="E100" s="111">
        <f>SUMIFS('Accounting data'!$G$2:$G$37000,'Accounting data'!$H$2:$H$37000,"11*",'Accounting data'!$I$2:$I$37000,"7*",'Accounting data'!$J$2:$J$37000,"2*",'Accounting data'!$K$2:$K$37000,"61*")+SUMIFS('Accounting data'!$G$2:$G$37000,'Accounting data'!$H$2:$H$37000,"12*",'Accounting data'!$I$2:$I$37000,"7*",'Accounting data'!$J$2:$J$37000,"2*",'Accounting data'!$K$2:$K$37000,"61*")+SUMIFS('Accounting data'!$G$2:$G$37000,'Accounting data'!$H$2:$H$37000,"13*",'Accounting data'!$I$2:$I$37000,"7*",'Accounting data'!$J$2:$J$37000,"2*",'Accounting data'!$K$2:$K$37000,"61*")</f>
        <v>0</v>
      </c>
    </row>
    <row r="101" spans="1:5" x14ac:dyDescent="0.25">
      <c r="A101" s="110" t="s">
        <v>1006</v>
      </c>
      <c r="B101" s="112">
        <v>800</v>
      </c>
      <c r="C101" s="110">
        <v>2000</v>
      </c>
      <c r="D101" s="110">
        <v>6100</v>
      </c>
      <c r="E101" s="111">
        <f>SUMIFS('Accounting data'!$G$2:$G$37000,'Accounting data'!$H$2:$H$37000,"11*",'Accounting data'!$I$2:$I$37000,"8*",'Accounting data'!$J$2:$J$37000,"2*",'Accounting data'!$K$2:$K$37000,"61*")+SUMIFS('Accounting data'!$G$2:$G$37000,'Accounting data'!$H$2:$H$37000,"12*",'Accounting data'!$I$2:$I$37000,"8*",'Accounting data'!$J$2:$J$37000,"2*",'Accounting data'!$K$2:$K$37000,"61*")+SUMIFS('Accounting data'!$G$2:$G$37000,'Accounting data'!$H$2:$H$37000,"13*",'Accounting data'!$I$2:$I$37000,"8*",'Accounting data'!$J$2:$J$37000,"2*",'Accounting data'!$K$2:$K$37000,"61*")</f>
        <v>0</v>
      </c>
    </row>
    <row r="102" spans="1:5" x14ac:dyDescent="0.25">
      <c r="A102" s="110" t="s">
        <v>1006</v>
      </c>
      <c r="B102" s="112">
        <v>900</v>
      </c>
      <c r="C102" s="110">
        <v>2000</v>
      </c>
      <c r="D102" s="110">
        <v>6100</v>
      </c>
      <c r="E102" s="111">
        <f>SUMIFS('Accounting data'!$G$2:$G$37000,'Accounting data'!$H$2:$H$37000,"11*",'Accounting data'!$I$2:$I$37000,"9*",'Accounting data'!$J$2:$J$37000,"2*",'Accounting data'!$K$2:$K$37000,"61*")+SUMIFS('Accounting data'!$G$2:$G$37000,'Accounting data'!$H$2:$H$37000,"12*",'Accounting data'!$I$2:$I$37000,"9*",'Accounting data'!$J$2:$J$37000,"2*",'Accounting data'!$K$2:$K$37000,"61*")+SUMIFS('Accounting data'!$G$2:$G$37000,'Accounting data'!$H$2:$H$37000,"13*",'Accounting data'!$I$2:$I$37000,"9*",'Accounting data'!$J$2:$J$37000,"2*",'Accounting data'!$K$2:$K$37000,"61*")</f>
        <v>0</v>
      </c>
    </row>
    <row r="103" spans="1:5" x14ac:dyDescent="0.25">
      <c r="A103" s="110" t="s">
        <v>1006</v>
      </c>
      <c r="B103" s="112">
        <v>700</v>
      </c>
      <c r="C103" s="110">
        <v>3000</v>
      </c>
      <c r="D103" s="110">
        <v>6100</v>
      </c>
      <c r="E103" s="111">
        <f>SUMIFS('Accounting data'!$G$2:$G$37000,'Accounting data'!$H$2:$H$37000,"11*",'Accounting data'!$I$2:$I$37000,"7*",'Accounting data'!$J$2:$J$37000,"3*",'Accounting data'!$K$2:$K$37000,"61*")+SUMIFS('Accounting data'!$G$2:$G$37000,'Accounting data'!$H$2:$H$37000,"12*",'Accounting data'!$I$2:$I$37000,"7*",'Accounting data'!$J$2:$J$37000,"3*",'Accounting data'!$K$2:$K$37000,"61*")+SUMIFS('Accounting data'!$G$2:$G$37000,'Accounting data'!$H$2:$H$37000,"13*",'Accounting data'!$I$2:$I$37000,"7*",'Accounting data'!$J$2:$J$37000,"3*",'Accounting data'!$K$2:$K$37000,"61*")</f>
        <v>0</v>
      </c>
    </row>
    <row r="104" spans="1:5" x14ac:dyDescent="0.25">
      <c r="A104" s="110" t="s">
        <v>1006</v>
      </c>
      <c r="B104" s="112">
        <v>800</v>
      </c>
      <c r="C104" s="110">
        <v>3000</v>
      </c>
      <c r="D104" s="110">
        <v>6100</v>
      </c>
      <c r="E104" s="111">
        <f>SUMIFS('Accounting data'!$G$2:$G$37000,'Accounting data'!$H$2:$H$37000,"11*",'Accounting data'!$I$2:$I$37000,"8*",'Accounting data'!$J$2:$J$37000,"3*",'Accounting data'!$K$2:$K$37000,"61*")+SUMIFS('Accounting data'!$G$2:$G$37000,'Accounting data'!$H$2:$H$37000,"12*",'Accounting data'!$I$2:$I$37000,"8*",'Accounting data'!$J$2:$J$37000,"3*",'Accounting data'!$K$2:$K$37000,"61*")+SUMIFS('Accounting data'!$G$2:$G$37000,'Accounting data'!$H$2:$H$37000,"13*",'Accounting data'!$I$2:$I$37000,"8*",'Accounting data'!$J$2:$J$37000,"3*",'Accounting data'!$K$2:$K$37000,"61*")</f>
        <v>0</v>
      </c>
    </row>
    <row r="105" spans="1:5" x14ac:dyDescent="0.25">
      <c r="A105" s="110" t="s">
        <v>1006</v>
      </c>
      <c r="B105" s="112">
        <v>900</v>
      </c>
      <c r="C105" s="110">
        <v>3000</v>
      </c>
      <c r="D105" s="110">
        <v>6100</v>
      </c>
      <c r="E105" s="111">
        <f>SUMIFS('Accounting data'!$G$2:$G$37000,'Accounting data'!$H$2:$H$37000,"11*",'Accounting data'!$I$2:$I$37000,"9*",'Accounting data'!$J$2:$J$37000,"3*",'Accounting data'!$K$2:$K$37000,"61*")+SUMIFS('Accounting data'!$G$2:$G$37000,'Accounting data'!$H$2:$H$37000,"12*",'Accounting data'!$I$2:$I$37000,"9*",'Accounting data'!$J$2:$J$37000,"3*",'Accounting data'!$K$2:$K$37000,"61*")+SUMIFS('Accounting data'!$G$2:$G$37000,'Accounting data'!$H$2:$H$37000,"13*",'Accounting data'!$I$2:$I$37000,"9*",'Accounting data'!$J$2:$J$37000,"3*",'Accounting data'!$K$2:$K$37000,"61*")</f>
        <v>0</v>
      </c>
    </row>
    <row r="106" spans="1:5" ht="14.25" customHeight="1" x14ac:dyDescent="0.3">
      <c r="A106" s="113" t="s">
        <v>1007</v>
      </c>
      <c r="B106" s="113"/>
      <c r="C106" s="113"/>
      <c r="D106" s="113"/>
      <c r="E106" s="114">
        <f>(E94+E95+E96)-(E97+E98+E99+E100+E101+E102+E103+E104+E105)</f>
        <v>67370</v>
      </c>
    </row>
    <row r="107" spans="1:5" x14ac:dyDescent="0.25">
      <c r="A107" s="110" t="s">
        <v>990</v>
      </c>
      <c r="B107" s="110" t="s">
        <v>990</v>
      </c>
      <c r="C107" s="110">
        <v>1000</v>
      </c>
      <c r="D107" s="110">
        <v>6200</v>
      </c>
      <c r="E107" s="111">
        <f>SUMIFS('Accounting data'!$G$2:$G$37000,'Accounting data'!$J$2:$J$37000,"1*",'Accounting data'!$K$2:$K$37000,"62*")</f>
        <v>151219</v>
      </c>
    </row>
    <row r="108" spans="1:5" x14ac:dyDescent="0.25">
      <c r="A108" s="110" t="s">
        <v>991</v>
      </c>
      <c r="B108" s="110" t="s">
        <v>990</v>
      </c>
      <c r="C108" s="110">
        <v>1000</v>
      </c>
      <c r="D108" s="110">
        <v>6200</v>
      </c>
      <c r="E108" s="111">
        <f>SUMIFS('Accounting data'!$G$2:$G$37000,'Accounting data'!$H$2:$H$37000,"9999*",'Accounting data'!$J$2:$J$37000,"1*",'Accounting data'!$K$2:$K$37000,"62*")</f>
        <v>0</v>
      </c>
    </row>
    <row r="109" spans="1:5" x14ac:dyDescent="0.25">
      <c r="A109" s="110" t="s">
        <v>990</v>
      </c>
      <c r="B109" s="110" t="s">
        <v>992</v>
      </c>
      <c r="C109" s="110">
        <v>1000</v>
      </c>
      <c r="D109" s="110">
        <v>6200</v>
      </c>
      <c r="E109" s="111">
        <f>SUMIFS('Accounting data'!$G$2:$G$37000,'Accounting data'!$I$2:$I$37000,"7*",'Accounting data'!$J$2:$J$37000,"1*",'Accounting data'!$K$2:$K$37000,"62*")+SUMIFS('Accounting data'!$G$2:$G$37000,'Accounting data'!$I$2:$I$37000,"8*",'Accounting data'!$J$2:$J$37000,"1*",'Accounting data'!$K$2:$K$37000,"62*")+SUMIFS('Accounting data'!$G$2:$G$37000,'Accounting data'!$I$2:$I$37000,"9*",'Accounting data'!$J$2:$J$37000,"1*",'Accounting data'!$K$2:$K$37000,"62*")</f>
        <v>0</v>
      </c>
    </row>
    <row r="110" spans="1:5" x14ac:dyDescent="0.25">
      <c r="A110" s="112" t="s">
        <v>991</v>
      </c>
      <c r="B110" s="110" t="s">
        <v>992</v>
      </c>
      <c r="C110" s="110">
        <v>1000</v>
      </c>
      <c r="D110" s="110">
        <v>6200</v>
      </c>
      <c r="E110" s="111">
        <f>SUMIFS('Accounting data'!$G$2:$G$37000,'Accounting data'!$H$2:$H$37000,"9999*",'Accounting data'!$I$2:$I$37000,"7*",'Accounting data'!$J$2:$J$37000,"1*",'Accounting data'!$K$2:$K$37000,"62*")+SUMIFS('Accounting data'!$G$2:$G$37000,'Accounting data'!$H$2:$H$37000,"9999*",'Accounting data'!$I$2:$I$37000,"8*",'Accounting data'!$J$2:$J$37000,"1*",'Accounting data'!$K$2:$K$37000,"62*")+SUMIFS('Accounting data'!$G$2:$G$37000,'Accounting data'!$H$2:$H$37000,"9999*",'Accounting data'!$I$2:$I$37000,"9*",'Accounting data'!$J$2:$J$37000,"1*",'Accounting data'!$K$2:$K$37000,"62*")</f>
        <v>0</v>
      </c>
    </row>
    <row r="113" spans="1:5" ht="14.25" customHeight="1" x14ac:dyDescent="0.3">
      <c r="A113" s="113" t="s">
        <v>1008</v>
      </c>
      <c r="B113" s="113"/>
      <c r="C113" s="113"/>
      <c r="D113" s="113"/>
      <c r="E113" s="114">
        <f>(E107-E108-E109)+(E110+E111+E112)</f>
        <v>151219</v>
      </c>
    </row>
    <row r="114" spans="1:5" x14ac:dyDescent="0.25">
      <c r="A114" s="110" t="s">
        <v>990</v>
      </c>
      <c r="B114" s="110" t="s">
        <v>990</v>
      </c>
      <c r="C114" s="110">
        <v>2100</v>
      </c>
      <c r="D114" s="110">
        <v>6200</v>
      </c>
      <c r="E114" s="111">
        <f>SUMIFS('Accounting data'!$G$2:$G$37000,'Accounting data'!$J$2:$J$37000,"21*",'Accounting data'!$K$2:$K$37000,"62*")</f>
        <v>47632</v>
      </c>
    </row>
    <row r="115" spans="1:5" x14ac:dyDescent="0.25">
      <c r="A115" s="110" t="s">
        <v>991</v>
      </c>
      <c r="B115" s="110" t="s">
        <v>990</v>
      </c>
      <c r="C115" s="110">
        <v>2100</v>
      </c>
      <c r="D115" s="110">
        <v>6200</v>
      </c>
      <c r="E115" s="111">
        <f>SUMIFS('Accounting data'!$G$2:$G$37000,'Accounting data'!$H$2:$H$37000,"9999*",'Accounting data'!$J$2:$J$37000,"21*",'Accounting data'!$K$2:$K$37000,"62*")</f>
        <v>0</v>
      </c>
    </row>
    <row r="116" spans="1:5" x14ac:dyDescent="0.25">
      <c r="A116" s="110" t="s">
        <v>990</v>
      </c>
      <c r="B116" s="110" t="s">
        <v>992</v>
      </c>
      <c r="C116" s="110">
        <v>2100</v>
      </c>
      <c r="D116" s="110">
        <v>6200</v>
      </c>
      <c r="E116" s="111">
        <f>SUMIFS('Accounting data'!$G$2:$G$37000,'Accounting data'!$I$2:$I$37000,"7*",'Accounting data'!$J$2:$J$37000,"21*",'Accounting data'!$K$2:$K$37000,"62*")+SUMIFS('Accounting data'!$G$2:$G$37000,'Accounting data'!$I$2:$I$37000,"8*",'Accounting data'!$J$2:$J$37000,"21*",'Accounting data'!$K$2:$K$37000,"62*")+SUMIFS('Accounting data'!$G$2:$G$37000,'Accounting data'!$I$2:$I$37000,"9*",'Accounting data'!$J$2:$J$37000,"21*",'Accounting data'!$K$2:$K$37000,"62*")</f>
        <v>0</v>
      </c>
    </row>
    <row r="117" spans="1:5" x14ac:dyDescent="0.25">
      <c r="A117" s="112" t="s">
        <v>991</v>
      </c>
      <c r="B117" s="110" t="s">
        <v>992</v>
      </c>
      <c r="C117" s="110">
        <v>2100</v>
      </c>
      <c r="D117" s="110">
        <v>6200</v>
      </c>
      <c r="E117" s="111">
        <f>SUMIFS('Accounting data'!$G$2:$G$37000,'Accounting data'!$H$2:$H$37000,"9999*",'Accounting data'!$I$2:$I$37000,"7*",'Accounting data'!$J$2:$J$37000,"21*",'Accounting data'!$K$2:$K$37000,"62*")+SUMIFS('Accounting data'!$G$2:$G$37000,'Accounting data'!$H$2:$H$37000,"9999*",'Accounting data'!$I$2:$I$37000,"8*",'Accounting data'!$J$2:$J$37000,"21*",'Accounting data'!$K$2:$K$37000,"62*")+SUMIFS('Accounting data'!$G$2:$G$37000,'Accounting data'!$H$2:$H$37000,"9999*",'Accounting data'!$I$2:$I$37000,"9*",'Accounting data'!$J$2:$J$37000,"21*",'Accounting data'!$K$2:$K$37000,"62*")</f>
        <v>0</v>
      </c>
    </row>
    <row r="118" spans="1:5" x14ac:dyDescent="0.25">
      <c r="A118" s="110"/>
      <c r="B118" s="110"/>
      <c r="C118" s="110"/>
      <c r="D118" s="110"/>
      <c r="E118" s="111"/>
    </row>
    <row r="119" spans="1:5" x14ac:dyDescent="0.25">
      <c r="A119" s="110"/>
      <c r="B119" s="110"/>
      <c r="C119" s="110"/>
      <c r="D119" s="110"/>
      <c r="E119" s="111"/>
    </row>
    <row r="120" spans="1:5" ht="14.25" customHeight="1" x14ac:dyDescent="0.3">
      <c r="A120" s="113" t="s">
        <v>1009</v>
      </c>
      <c r="B120" s="113"/>
      <c r="C120" s="113"/>
      <c r="D120" s="113"/>
      <c r="E120" s="114">
        <f>(E114-E115-E116)+(E117+E118+E119)</f>
        <v>47632</v>
      </c>
    </row>
    <row r="121" spans="1:5" x14ac:dyDescent="0.25">
      <c r="A121" s="110" t="s">
        <v>990</v>
      </c>
      <c r="B121" s="110" t="s">
        <v>990</v>
      </c>
      <c r="C121" s="110">
        <v>2200</v>
      </c>
      <c r="D121" s="110">
        <v>6200</v>
      </c>
      <c r="E121" s="111">
        <f>SUMIFS('Accounting data'!$G$2:$G$37000,'Accounting data'!$J$2:$J$37000,"22*",'Accounting data'!$K$2:$K$37000,"62*")</f>
        <v>2022</v>
      </c>
    </row>
    <row r="122" spans="1:5" x14ac:dyDescent="0.25">
      <c r="A122" s="110" t="s">
        <v>991</v>
      </c>
      <c r="B122" s="110" t="s">
        <v>990</v>
      </c>
      <c r="C122" s="110">
        <v>2200</v>
      </c>
      <c r="D122" s="110">
        <v>6200</v>
      </c>
      <c r="E122" s="111">
        <f>SUMIFS('Accounting data'!$G$2:$G$37000,'Accounting data'!$H$2:$H$37000,"9999*",'Accounting data'!$J$2:$J$37000,"22*",'Accounting data'!$K$2:$K$37000,"62*")</f>
        <v>0</v>
      </c>
    </row>
    <row r="123" spans="1:5" x14ac:dyDescent="0.25">
      <c r="A123" s="110" t="s">
        <v>990</v>
      </c>
      <c r="B123" s="110" t="s">
        <v>992</v>
      </c>
      <c r="C123" s="110">
        <v>2200</v>
      </c>
      <c r="D123" s="110">
        <v>6200</v>
      </c>
      <c r="E123" s="111">
        <f>SUMIFS('Accounting data'!$G$2:$G$37000,'Accounting data'!$I$2:$I$37000,"7*",'Accounting data'!$J$2:$J$37000,"22*",'Accounting data'!$K$2:$K$37000,"62*")+SUMIFS('Accounting data'!$G$2:$G$37000,'Accounting data'!$I$2:$I$37000,"8*",'Accounting data'!$J$2:$J$37000,"22*",'Accounting data'!$K$2:$K$37000,"62*")+SUMIFS('Accounting data'!$G$2:$G$37000,'Accounting data'!$I$2:$I$37000,"9*",'Accounting data'!$J$2:$J$37000,"22*",'Accounting data'!$K$2:$K$37000,"62*")</f>
        <v>0</v>
      </c>
    </row>
    <row r="124" spans="1:5" x14ac:dyDescent="0.25">
      <c r="A124" s="112" t="s">
        <v>991</v>
      </c>
      <c r="B124" s="110" t="s">
        <v>992</v>
      </c>
      <c r="C124" s="110">
        <v>2200</v>
      </c>
      <c r="D124" s="110">
        <v>6200</v>
      </c>
      <c r="E124" s="111">
        <f>SUMIFS('Accounting data'!$G$2:$G$37000,'Accounting data'!$H$2:$H$37000,"9999*",'Accounting data'!$I$2:$I$37000,"7*",'Accounting data'!$J$2:$J$37000,"22*",'Accounting data'!$K$2:$K$37000,"62*")+SUMIFS('Accounting data'!$G$2:$G$37000,'Accounting data'!$H$2:$H$37000,"9999*",'Accounting data'!$I$2:$I$37000,"8*",'Accounting data'!$J$2:$J$37000,"22*",'Accounting data'!$K$2:$K$37000,"62*")+SUMIFS('Accounting data'!$G$2:$G$37000,'Accounting data'!$H$2:$H$37000,"9999*",'Accounting data'!$I$2:$I$37000,"9*",'Accounting data'!$J$2:$J$37000,"22*",'Accounting data'!$K$2:$K$37000,"62*")</f>
        <v>0</v>
      </c>
    </row>
    <row r="125" spans="1:5" x14ac:dyDescent="0.25">
      <c r="A125" s="110"/>
      <c r="B125" s="110"/>
      <c r="C125" s="110"/>
      <c r="D125" s="110"/>
      <c r="E125" s="111"/>
    </row>
    <row r="126" spans="1:5" x14ac:dyDescent="0.25">
      <c r="A126" s="110"/>
      <c r="B126" s="110"/>
      <c r="C126" s="110"/>
      <c r="D126" s="110"/>
      <c r="E126" s="111"/>
    </row>
    <row r="127" spans="1:5" ht="14.25" customHeight="1" x14ac:dyDescent="0.3">
      <c r="A127" s="113" t="s">
        <v>1010</v>
      </c>
      <c r="B127" s="113"/>
      <c r="C127" s="113"/>
      <c r="D127" s="113"/>
      <c r="E127" s="114">
        <f>(E121-E122-E123)+(E124+E125+E126)</f>
        <v>2022</v>
      </c>
    </row>
    <row r="128" spans="1:5" x14ac:dyDescent="0.25">
      <c r="A128" s="110" t="s">
        <v>990</v>
      </c>
      <c r="B128" s="110" t="s">
        <v>990</v>
      </c>
      <c r="C128" s="110">
        <v>2300</v>
      </c>
      <c r="D128" s="110">
        <v>6200</v>
      </c>
      <c r="E128" s="111">
        <f>SUMIFS('Accounting data'!$G$2:$G$37000,'Accounting data'!$J$2:$J$37000,"23*",'Accounting data'!$K$2:$K$37000,"62*")</f>
        <v>0</v>
      </c>
    </row>
    <row r="129" spans="1:5" x14ac:dyDescent="0.25">
      <c r="A129" s="110" t="s">
        <v>991</v>
      </c>
      <c r="B129" s="110" t="s">
        <v>990</v>
      </c>
      <c r="C129" s="110">
        <v>2300</v>
      </c>
      <c r="D129" s="110">
        <v>6200</v>
      </c>
      <c r="E129" s="111">
        <f>SUMIFS('Accounting data'!$G$2:$G$37000,'Accounting data'!$H$2:$H$37000,"9999*",'Accounting data'!$J$2:$J$37000,"23*",'Accounting data'!$K$2:$K$37000,"62*")</f>
        <v>0</v>
      </c>
    </row>
    <row r="130" spans="1:5" x14ac:dyDescent="0.25">
      <c r="A130" s="110" t="s">
        <v>990</v>
      </c>
      <c r="B130" s="110" t="s">
        <v>992</v>
      </c>
      <c r="C130" s="110">
        <v>2300</v>
      </c>
      <c r="D130" s="110">
        <v>6200</v>
      </c>
      <c r="E130" s="111">
        <f>SUMIFS('Accounting data'!$G$2:$G$37000,'Accounting data'!$I$2:$I$37000,"7*",'Accounting data'!$J$2:$J$37000,"23*",'Accounting data'!$K$2:$K$37000,"62*")+SUMIFS('Accounting data'!$G$2:$G$37000,'Accounting data'!$I$2:$I$37000,"8*",'Accounting data'!$J$2:$J$37000,"23*",'Accounting data'!$K$2:$K$37000,"62*")+SUMIFS('Accounting data'!$G$2:$G$37000,'Accounting data'!$I$2:$I$37000,"9*",'Accounting data'!$J$2:$J$37000,"23*",'Accounting data'!$K$2:$K$37000,"62*")</f>
        <v>0</v>
      </c>
    </row>
    <row r="131" spans="1:5" x14ac:dyDescent="0.25">
      <c r="A131" s="112" t="s">
        <v>991</v>
      </c>
      <c r="B131" s="110" t="s">
        <v>992</v>
      </c>
      <c r="C131" s="110">
        <v>2300</v>
      </c>
      <c r="D131" s="110">
        <v>6200</v>
      </c>
      <c r="E131" s="111">
        <f>SUMIFS('Accounting data'!$G$2:$G$37000,'Accounting data'!$H$2:$H$37000,"9999*",'Accounting data'!$I$2:$I$37000,"7*",'Accounting data'!$J$2:$J$37000,"23*",'Accounting data'!$K$2:$K$37000,"62*")+SUMIFS('Accounting data'!$G$2:$G$37000,'Accounting data'!$H$2:$H$37000,"9999*",'Accounting data'!$I$2:$I$37000,"8*",'Accounting data'!$J$2:$J$37000,"23*",'Accounting data'!$K$2:$K$37000,"62*")+SUMIFS('Accounting data'!$G$2:$G$37000,'Accounting data'!$H$2:$H$37000,"9999*",'Accounting data'!$I$2:$I$37000,"9*",'Accounting data'!$J$2:$J$37000,"23*",'Accounting data'!$K$2:$K$37000,"62*")</f>
        <v>0</v>
      </c>
    </row>
    <row r="132" spans="1:5" x14ac:dyDescent="0.25">
      <c r="A132" s="110"/>
      <c r="B132" s="110"/>
      <c r="C132" s="110"/>
      <c r="D132" s="110"/>
      <c r="E132" s="111"/>
    </row>
    <row r="133" spans="1:5" x14ac:dyDescent="0.25">
      <c r="A133" s="110"/>
      <c r="B133" s="110"/>
      <c r="C133" s="110"/>
      <c r="D133" s="110"/>
      <c r="E133" s="111"/>
    </row>
    <row r="134" spans="1:5" ht="14.25" customHeight="1" x14ac:dyDescent="0.3">
      <c r="A134" s="113" t="s">
        <v>1011</v>
      </c>
      <c r="B134" s="113"/>
      <c r="C134" s="113"/>
      <c r="D134" s="113"/>
      <c r="E134" s="114">
        <f>(E128-E129-E130)+(E131+E132+E133)</f>
        <v>0</v>
      </c>
    </row>
    <row r="135" spans="1:5" x14ac:dyDescent="0.25">
      <c r="A135" s="110" t="s">
        <v>990</v>
      </c>
      <c r="B135" s="110" t="s">
        <v>990</v>
      </c>
      <c r="C135" s="110">
        <v>2400</v>
      </c>
      <c r="D135" s="110">
        <v>6200</v>
      </c>
      <c r="E135" s="111">
        <f>SUMIFS('Accounting data'!$G$2:$G$37000,'Accounting data'!$J$2:$J$37000,"24*",'Accounting data'!$K$2:$K$37000,"62*")</f>
        <v>45850</v>
      </c>
    </row>
    <row r="136" spans="1:5" x14ac:dyDescent="0.25">
      <c r="A136" s="110" t="s">
        <v>991</v>
      </c>
      <c r="B136" s="110" t="s">
        <v>990</v>
      </c>
      <c r="C136" s="110">
        <v>2400</v>
      </c>
      <c r="D136" s="110">
        <v>6200</v>
      </c>
      <c r="E136" s="111">
        <f>SUMIFS('Accounting data'!$G$2:$G$37000,'Accounting data'!$H$2:$H$37000,"9999*",'Accounting data'!$J$2:$J$37000,"24*",'Accounting data'!$K$2:$K$37000,"62*")</f>
        <v>0</v>
      </c>
    </row>
    <row r="137" spans="1:5" x14ac:dyDescent="0.25">
      <c r="A137" s="110" t="s">
        <v>990</v>
      </c>
      <c r="B137" s="110" t="s">
        <v>992</v>
      </c>
      <c r="C137" s="110">
        <v>2400</v>
      </c>
      <c r="D137" s="110">
        <v>6200</v>
      </c>
      <c r="E137" s="111">
        <f>SUMIFS('Accounting data'!$G$2:$G$37000,'Accounting data'!$I$2:$I$37000,"7*",'Accounting data'!$J$2:$J$37000,"24*",'Accounting data'!$K$2:$K$37000,"62*")+SUMIFS('Accounting data'!$G$2:$G$37000,'Accounting data'!$I$2:$I$37000,"8*",'Accounting data'!$J$2:$J$37000,"24*",'Accounting data'!$K$2:$K$37000,"62*")+SUMIFS('Accounting data'!$G$2:$G$37000,'Accounting data'!$I$2:$I$37000,"9*",'Accounting data'!$J$2:$J$37000,"24*",'Accounting data'!$K$2:$K$37000,"62*")</f>
        <v>0</v>
      </c>
    </row>
    <row r="138" spans="1:5" x14ac:dyDescent="0.25">
      <c r="A138" s="112" t="s">
        <v>991</v>
      </c>
      <c r="B138" s="110" t="s">
        <v>992</v>
      </c>
      <c r="C138" s="110">
        <v>2400</v>
      </c>
      <c r="D138" s="110">
        <v>6200</v>
      </c>
      <c r="E138" s="111">
        <f>SUMIFS('Accounting data'!$G$2:$G$37000,'Accounting data'!$H$2:$H$37000,"9999*",'Accounting data'!$I$2:$I$37000,"7*",'Accounting data'!$J$2:$J$37000,"24*",'Accounting data'!$K$2:$K$37000,"62*")+SUMIFS('Accounting data'!$G$2:$G$37000,'Accounting data'!$H$2:$H$37000,"9999*",'Accounting data'!$I$2:$I$37000,"8*",'Accounting data'!$J$2:$J$37000,"24*",'Accounting data'!$K$2:$K$37000,"62*")+SUMIFS('Accounting data'!$G$2:$G$37000,'Accounting data'!$H$2:$H$37000,"9999*",'Accounting data'!$I$2:$I$37000,"9*",'Accounting data'!$J$2:$J$37000,"24*",'Accounting data'!$K$2:$K$37000,"62*")</f>
        <v>0</v>
      </c>
    </row>
    <row r="139" spans="1:5" x14ac:dyDescent="0.25">
      <c r="A139" s="110"/>
      <c r="B139" s="110"/>
      <c r="C139" s="110"/>
      <c r="D139" s="110"/>
      <c r="E139" s="111"/>
    </row>
    <row r="140" spans="1:5" x14ac:dyDescent="0.25">
      <c r="A140" s="110"/>
      <c r="B140" s="110"/>
      <c r="C140" s="110"/>
      <c r="D140" s="110"/>
      <c r="E140" s="111"/>
    </row>
    <row r="141" spans="1:5" ht="14.25" customHeight="1" x14ac:dyDescent="0.3">
      <c r="A141" s="113" t="s">
        <v>1012</v>
      </c>
      <c r="B141" s="113"/>
      <c r="C141" s="113"/>
      <c r="D141" s="113"/>
      <c r="E141" s="114">
        <f>(E135-E136-E137)+(E138+E139+E140)</f>
        <v>45850</v>
      </c>
    </row>
    <row r="142" spans="1:5" x14ac:dyDescent="0.25">
      <c r="A142" s="110" t="s">
        <v>990</v>
      </c>
      <c r="B142" s="110" t="s">
        <v>990</v>
      </c>
      <c r="C142" s="110">
        <v>2500</v>
      </c>
      <c r="D142" s="110">
        <v>6200</v>
      </c>
      <c r="E142" s="111">
        <f>SUMIFS('Accounting data'!$G$2:$G$37000,'Accounting data'!$J$2:$J$37000,"25*",'Accounting data'!$K$2:$K$37000,"62*")</f>
        <v>15303</v>
      </c>
    </row>
    <row r="143" spans="1:5" x14ac:dyDescent="0.25">
      <c r="A143" s="110" t="s">
        <v>991</v>
      </c>
      <c r="B143" s="110" t="s">
        <v>990</v>
      </c>
      <c r="C143" s="110">
        <v>2500</v>
      </c>
      <c r="D143" s="110">
        <v>6200</v>
      </c>
      <c r="E143" s="111">
        <f>SUMIFS('Accounting data'!$G$2:$G$37000,'Accounting data'!$H$2:$H$37000,"9999*",'Accounting data'!$J$2:$J$37000,"25*",'Accounting data'!$K$2:$K$37000,"62*")</f>
        <v>0</v>
      </c>
    </row>
    <row r="144" spans="1:5" x14ac:dyDescent="0.25">
      <c r="A144" s="110" t="s">
        <v>990</v>
      </c>
      <c r="B144" s="110" t="s">
        <v>992</v>
      </c>
      <c r="C144" s="110">
        <v>2500</v>
      </c>
      <c r="D144" s="110">
        <v>6200</v>
      </c>
      <c r="E144" s="111">
        <f>SUMIFS('Accounting data'!$G$2:$G$37000,'Accounting data'!$I$2:$I$37000,"7*",'Accounting data'!$J$2:$J$37000,"25*",'Accounting data'!$K$2:$K$37000,"62*")+SUMIFS('Accounting data'!$G$2:$G$37000,'Accounting data'!$I$2:$I$37000,"8*",'Accounting data'!$J$2:$J$37000,"25*",'Accounting data'!$K$2:$K$37000,"62*")+SUMIFS('Accounting data'!$G$2:$G$37000,'Accounting data'!$I$2:$I$37000,"9*",'Accounting data'!$J$2:$J$37000,"25*",'Accounting data'!$K$2:$K$37000,"62*")</f>
        <v>0</v>
      </c>
    </row>
    <row r="145" spans="1:5" x14ac:dyDescent="0.25">
      <c r="A145" s="112" t="s">
        <v>991</v>
      </c>
      <c r="B145" s="110" t="s">
        <v>992</v>
      </c>
      <c r="C145" s="110">
        <v>2500</v>
      </c>
      <c r="D145" s="110">
        <v>6200</v>
      </c>
      <c r="E145" s="111">
        <f>SUMIFS('Accounting data'!$G$2:$G$37000,'Accounting data'!$H$2:$H$37000,"9999*",'Accounting data'!$I$2:$I$37000,"7*",'Accounting data'!$J$2:$J$37000,"25*",'Accounting data'!$K$2:$K$37000,"62*")+SUMIFS('Accounting data'!$G$2:$G$37000,'Accounting data'!$H$2:$H$37000,"9999*",'Accounting data'!$I$2:$I$37000,"8*",'Accounting data'!$J$2:$J$37000,"25*",'Accounting data'!$K$2:$K$37000,"62*")+SUMIFS('Accounting data'!$G$2:$G$37000,'Accounting data'!$H$2:$H$37000,"9999*",'Accounting data'!$I$2:$I$37000,"9*",'Accounting data'!$J$2:$J$37000,"25*",'Accounting data'!$K$2:$K$37000,"62*")</f>
        <v>0</v>
      </c>
    </row>
    <row r="146" spans="1:5" x14ac:dyDescent="0.25">
      <c r="A146" s="110"/>
      <c r="B146" s="110"/>
      <c r="C146" s="110"/>
      <c r="D146" s="110"/>
      <c r="E146" s="111"/>
    </row>
    <row r="147" spans="1:5" x14ac:dyDescent="0.25">
      <c r="A147" s="110"/>
      <c r="B147" s="110"/>
      <c r="C147" s="110"/>
      <c r="D147" s="110"/>
      <c r="E147" s="111"/>
    </row>
    <row r="148" spans="1:5" ht="14.25" customHeight="1" x14ac:dyDescent="0.3">
      <c r="A148" s="113" t="s">
        <v>1013</v>
      </c>
      <c r="B148" s="113"/>
      <c r="C148" s="113"/>
      <c r="D148" s="113"/>
      <c r="E148" s="114">
        <f>(E142-E143-E144)+(E145+E146+E147)</f>
        <v>15303</v>
      </c>
    </row>
    <row r="149" spans="1:5" x14ac:dyDescent="0.25">
      <c r="A149" s="110" t="s">
        <v>990</v>
      </c>
      <c r="B149" s="110" t="s">
        <v>990</v>
      </c>
      <c r="C149" s="110">
        <v>2900</v>
      </c>
      <c r="D149" s="110">
        <v>6200</v>
      </c>
      <c r="E149" s="111">
        <f>SUMIFS('Accounting data'!$G$2:$G$37000,'Accounting data'!$J$2:$J$37000,"29*",'Accounting data'!$K$2:$K$37000,"62*")</f>
        <v>0</v>
      </c>
    </row>
    <row r="150" spans="1:5" x14ac:dyDescent="0.25">
      <c r="A150" s="110" t="s">
        <v>991</v>
      </c>
      <c r="B150" s="110" t="s">
        <v>990</v>
      </c>
      <c r="C150" s="110">
        <v>2900</v>
      </c>
      <c r="D150" s="110">
        <v>6200</v>
      </c>
      <c r="E150" s="111">
        <f>SUMIFS('Accounting data'!$G$2:$G$37000,'Accounting data'!$H$2:$H$37000,"9999*",'Accounting data'!$J$2:$J$37000,"29*",'Accounting data'!$K$2:$K$37000,"62*")</f>
        <v>0</v>
      </c>
    </row>
    <row r="151" spans="1:5" x14ac:dyDescent="0.25">
      <c r="A151" s="110" t="s">
        <v>990</v>
      </c>
      <c r="B151" s="110" t="s">
        <v>992</v>
      </c>
      <c r="C151" s="110">
        <v>2900</v>
      </c>
      <c r="D151" s="110">
        <v>6200</v>
      </c>
      <c r="E151" s="111">
        <f>SUMIFS('Accounting data'!$G$2:$G$37000,'Accounting data'!$I$2:$I$37000,"7*",'Accounting data'!$J$2:$J$37000,"29*",'Accounting data'!$K$2:$K$37000,"62*")+SUMIFS('Accounting data'!$G$2:$G$37000,'Accounting data'!$I$2:$I$37000,"8*",'Accounting data'!$J$2:$J$37000,"29*",'Accounting data'!$K$2:$K$37000,"62*")+SUMIFS('Accounting data'!$G$2:$G$37000,'Accounting data'!$I$2:$I$37000,"9*",'Accounting data'!$J$2:$J$37000,"29*",'Accounting data'!$K$2:$K$37000,"62*")</f>
        <v>0</v>
      </c>
    </row>
    <row r="152" spans="1:5" x14ac:dyDescent="0.25">
      <c r="A152" s="112" t="s">
        <v>991</v>
      </c>
      <c r="B152" s="110" t="s">
        <v>992</v>
      </c>
      <c r="C152" s="110">
        <v>2900</v>
      </c>
      <c r="D152" s="110">
        <v>6200</v>
      </c>
      <c r="E152" s="111">
        <f>SUMIFS('Accounting data'!$G$2:$G$37000,'Accounting data'!$H$2:$H$37000,"9999*",'Accounting data'!$I$2:$I$37000,"7*",'Accounting data'!$J$2:$J$37000,"29*",'Accounting data'!$K$2:$K$37000,"62*")+SUMIFS('Accounting data'!$G$2:$G$37000,'Accounting data'!$H$2:$H$37000,"9999*",'Accounting data'!$I$2:$I$37000,"8*",'Accounting data'!$J$2:$J$37000,"29*",'Accounting data'!$K$2:$K$37000,"62*")+SUMIFS('Accounting data'!$G$2:$G$37000,'Accounting data'!$H$2:$H$37000,"9999*",'Accounting data'!$I$2:$I$37000,"9*",'Accounting data'!$J$2:$J$37000,"29*",'Accounting data'!$K$2:$K$37000,"62*")</f>
        <v>0</v>
      </c>
    </row>
    <row r="153" spans="1:5" x14ac:dyDescent="0.25">
      <c r="A153" s="110"/>
      <c r="B153" s="110"/>
      <c r="C153" s="110"/>
      <c r="D153" s="110"/>
      <c r="E153" s="111"/>
    </row>
    <row r="154" spans="1:5" x14ac:dyDescent="0.25">
      <c r="A154" s="110"/>
      <c r="B154" s="110"/>
      <c r="C154" s="110"/>
      <c r="D154" s="110"/>
      <c r="E154" s="111"/>
    </row>
    <row r="155" spans="1:5" ht="14.25" customHeight="1" x14ac:dyDescent="0.3">
      <c r="A155" s="113" t="s">
        <v>1014</v>
      </c>
      <c r="B155" s="113"/>
      <c r="C155" s="113"/>
      <c r="D155" s="113"/>
      <c r="E155" s="114">
        <f>(E149-E150-E151)+(E152+E153+E154)</f>
        <v>0</v>
      </c>
    </row>
    <row r="156" spans="1:5" x14ac:dyDescent="0.25">
      <c r="A156" s="110" t="s">
        <v>990</v>
      </c>
      <c r="B156" s="110" t="s">
        <v>990</v>
      </c>
      <c r="C156" s="110">
        <v>2600</v>
      </c>
      <c r="D156" s="110">
        <v>6200</v>
      </c>
      <c r="E156" s="111">
        <f>SUMIFS('Accounting data'!$G$2:$G$37000,'Accounting data'!$J$2:$J$37000,"26*",'Accounting data'!$K$2:$K$37000,"62*")</f>
        <v>127</v>
      </c>
    </row>
    <row r="157" spans="1:5" x14ac:dyDescent="0.25">
      <c r="A157" s="110" t="s">
        <v>991</v>
      </c>
      <c r="B157" s="110" t="s">
        <v>990</v>
      </c>
      <c r="C157" s="110">
        <v>2600</v>
      </c>
      <c r="D157" s="110">
        <v>6200</v>
      </c>
      <c r="E157" s="111">
        <f>SUMIFS('Accounting data'!$G$2:$G$37000,'Accounting data'!$H$2:$H$37000,"9999*",'Accounting data'!$J$2:$J$37000,"26*",'Accounting data'!$K$2:$K$37000,"62*")</f>
        <v>0</v>
      </c>
    </row>
    <row r="158" spans="1:5" x14ac:dyDescent="0.25">
      <c r="A158" s="110" t="s">
        <v>990</v>
      </c>
      <c r="B158" s="110" t="s">
        <v>992</v>
      </c>
      <c r="C158" s="110">
        <v>2600</v>
      </c>
      <c r="D158" s="110">
        <v>6200</v>
      </c>
      <c r="E158" s="111">
        <f>SUMIFS('Accounting data'!$G$2:$G$37000,'Accounting data'!$I$2:$I$37000,"7*",'Accounting data'!$J$2:$J$37000,"26*",'Accounting data'!$K$2:$K$37000,"62*")+SUMIFS('Accounting data'!$G$2:$G$37000,'Accounting data'!$I$2:$I$37000,"8*",'Accounting data'!$J$2:$J$37000,"26*",'Accounting data'!$K$2:$K$37000,"62*")+SUMIFS('Accounting data'!$G$2:$G$37000,'Accounting data'!$I$2:$I$37000,"9*",'Accounting data'!$J$2:$J$37000,"26*",'Accounting data'!$K$2:$K$37000,"62*")</f>
        <v>0</v>
      </c>
    </row>
    <row r="159" spans="1:5" x14ac:dyDescent="0.25">
      <c r="A159" s="112" t="s">
        <v>991</v>
      </c>
      <c r="B159" s="110" t="s">
        <v>992</v>
      </c>
      <c r="C159" s="110">
        <v>2600</v>
      </c>
      <c r="D159" s="110">
        <v>6200</v>
      </c>
      <c r="E159" s="111">
        <f>SUMIFS('Accounting data'!$G$2:$G$37000,'Accounting data'!$H$2:$H$37000,"9999*",'Accounting data'!$I$2:$I$37000,"7*",'Accounting data'!$J$2:$J$37000,"26*",'Accounting data'!$K$2:$K$37000,"62*")+SUMIFS('Accounting data'!$G$2:$G$37000,'Accounting data'!$H$2:$H$37000,"9999*",'Accounting data'!$I$2:$I$37000,"8*",'Accounting data'!$J$2:$J$37000,"26*",'Accounting data'!$K$2:$K$37000,"62*")+SUMIFS('Accounting data'!$G$2:$G$37000,'Accounting data'!$H$2:$H$37000,"9999*",'Accounting data'!$I$2:$I$37000,"9*",'Accounting data'!$J$2:$J$37000,"26*",'Accounting data'!$K$2:$K$37000,"62*")</f>
        <v>0</v>
      </c>
    </row>
    <row r="162" spans="1:5" ht="14.25" customHeight="1" x14ac:dyDescent="0.3">
      <c r="A162" s="113" t="s">
        <v>1015</v>
      </c>
      <c r="B162" s="113"/>
      <c r="C162" s="113"/>
      <c r="D162" s="113"/>
      <c r="E162" s="114">
        <f>(E156-E157-E158)+(E159+E160+E161)</f>
        <v>127</v>
      </c>
    </row>
    <row r="163" spans="1:5" x14ac:dyDescent="0.25">
      <c r="A163" s="110" t="s">
        <v>990</v>
      </c>
      <c r="B163" s="110" t="s">
        <v>990</v>
      </c>
      <c r="C163" s="110">
        <v>2700</v>
      </c>
      <c r="D163" s="110">
        <v>6200</v>
      </c>
      <c r="E163" s="111">
        <f>SUMIFS('Accounting data'!$G$2:$G$37000,'Accounting data'!$J$2:$J$37000,"27*",'Accounting data'!$K$2:$K$37000,"62*")</f>
        <v>0</v>
      </c>
    </row>
    <row r="164" spans="1:5" x14ac:dyDescent="0.25">
      <c r="A164" s="110" t="s">
        <v>991</v>
      </c>
      <c r="B164" s="110" t="s">
        <v>990</v>
      </c>
      <c r="C164" s="110">
        <v>2700</v>
      </c>
      <c r="D164" s="110">
        <v>6200</v>
      </c>
      <c r="E164" s="111">
        <f>SUMIFS('Accounting data'!$G$2:$G$37000,'Accounting data'!$H$2:$H$37000,"9999*",'Accounting data'!$J$2:$J$37000,"27*",'Accounting data'!$K$2:$K$37000,"62*")</f>
        <v>0</v>
      </c>
    </row>
    <row r="165" spans="1:5" x14ac:dyDescent="0.25">
      <c r="A165" s="110" t="s">
        <v>990</v>
      </c>
      <c r="B165" s="110" t="s">
        <v>992</v>
      </c>
      <c r="C165" s="110">
        <v>2700</v>
      </c>
      <c r="D165" s="110">
        <v>6200</v>
      </c>
      <c r="E165" s="111">
        <f>SUMIFS('Accounting data'!$G$2:$G$37000,'Accounting data'!$I$2:$I$37000,"7*",'Accounting data'!$J$2:$J$37000,"27*",'Accounting data'!$K$2:$K$37000,"62*")+SUMIFS('Accounting data'!$G$2:$G$37000,'Accounting data'!$I$2:$I$37000,"8*",'Accounting data'!$J$2:$J$37000,"27*",'Accounting data'!$K$2:$K$37000,"62*")+SUMIFS('Accounting data'!$G$2:$G$37000,'Accounting data'!$I$2:$I$37000,"9*",'Accounting data'!$J$2:$J$37000,"27*",'Accounting data'!$K$2:$K$37000,"62*")</f>
        <v>0</v>
      </c>
    </row>
    <row r="166" spans="1:5" x14ac:dyDescent="0.25">
      <c r="A166" s="112" t="s">
        <v>991</v>
      </c>
      <c r="B166" s="110" t="s">
        <v>992</v>
      </c>
      <c r="C166" s="110">
        <v>2700</v>
      </c>
      <c r="D166" s="110">
        <v>6200</v>
      </c>
      <c r="E166" s="111">
        <f>SUMIFS('Accounting data'!$G$2:$G$37000,'Accounting data'!$H$2:$H$37000,"9999*",'Accounting data'!$I$2:$I$37000,"7*",'Accounting data'!$J$2:$J$37000,"27*",'Accounting data'!$K$2:$K$37000,"62*")+SUMIFS('Accounting data'!$G$2:$G$37000,'Accounting data'!$H$2:$H$37000,"9999*",'Accounting data'!$I$2:$I$37000,"8*",'Accounting data'!$J$2:$J$37000,"27*",'Accounting data'!$K$2:$K$37000,"62*")+SUMIFS('Accounting data'!$G$2:$G$37000,'Accounting data'!$H$2:$H$37000,"9999*",'Accounting data'!$I$2:$I$37000,"9*",'Accounting data'!$J$2:$J$37000,"27*",'Accounting data'!$K$2:$K$37000,"62*")</f>
        <v>0</v>
      </c>
    </row>
    <row r="167" spans="1:5" x14ac:dyDescent="0.25">
      <c r="A167" s="110"/>
      <c r="B167" s="110"/>
      <c r="C167" s="110"/>
      <c r="D167" s="110"/>
      <c r="E167" s="111"/>
    </row>
    <row r="168" spans="1:5" x14ac:dyDescent="0.25">
      <c r="A168" s="110"/>
      <c r="B168" s="110"/>
      <c r="C168" s="110"/>
      <c r="D168" s="110"/>
      <c r="E168" s="111"/>
    </row>
    <row r="169" spans="1:5" ht="14.25" customHeight="1" x14ac:dyDescent="0.3">
      <c r="A169" s="113" t="s">
        <v>1016</v>
      </c>
      <c r="B169" s="113"/>
      <c r="C169" s="113"/>
      <c r="D169" s="113"/>
      <c r="E169" s="114">
        <f>(E163-E164-E165)+(E166+E167+E168)</f>
        <v>0</v>
      </c>
    </row>
    <row r="170" spans="1:5" x14ac:dyDescent="0.25">
      <c r="A170" s="110" t="s">
        <v>990</v>
      </c>
      <c r="B170" s="110" t="s">
        <v>990</v>
      </c>
      <c r="C170" s="110">
        <v>3100</v>
      </c>
      <c r="D170" s="110">
        <v>6200</v>
      </c>
      <c r="E170" s="111">
        <f>SUMIFS('Accounting data'!$G$2:$G$37000,'Accounting data'!$J$2:$J$37000,"31*",'Accounting data'!$K$2:$K$37000,"62*")</f>
        <v>0</v>
      </c>
    </row>
    <row r="171" spans="1:5" x14ac:dyDescent="0.25">
      <c r="A171" s="110" t="s">
        <v>991</v>
      </c>
      <c r="B171" s="110" t="s">
        <v>990</v>
      </c>
      <c r="C171" s="110">
        <v>3100</v>
      </c>
      <c r="D171" s="110">
        <v>6200</v>
      </c>
      <c r="E171" s="111">
        <f>SUMIFS('Accounting data'!$G$2:$G$37000,'Accounting data'!$H$2:$H$37000,"9999*",'Accounting data'!$J$2:$J$37000,"31*",'Accounting data'!$K$2:$K$37000,"62*")</f>
        <v>0</v>
      </c>
    </row>
    <row r="172" spans="1:5" x14ac:dyDescent="0.25">
      <c r="A172" s="110" t="s">
        <v>990</v>
      </c>
      <c r="B172" s="110" t="s">
        <v>992</v>
      </c>
      <c r="C172" s="110">
        <v>3100</v>
      </c>
      <c r="D172" s="110">
        <v>6200</v>
      </c>
      <c r="E172" s="111">
        <f>SUMIFS('Accounting data'!$G$2:$G$37000,'Accounting data'!$I$2:$I$37000,"7*",'Accounting data'!$J$2:$J$37000,"31*",'Accounting data'!$K$2:$K$37000,"62*")+SUMIFS('Accounting data'!$G$2:$G$37000,'Accounting data'!$I$2:$I$37000,"8*",'Accounting data'!$J$2:$J$37000,"31*",'Accounting data'!$K$2:$K$37000,"62*")+SUMIFS('Accounting data'!$G$2:$G$37000,'Accounting data'!$I$2:$I$37000,"9*",'Accounting data'!$J$2:$J$37000,"31*",'Accounting data'!$K$2:$K$37000,"62*")</f>
        <v>0</v>
      </c>
    </row>
    <row r="173" spans="1:5" x14ac:dyDescent="0.25">
      <c r="A173" s="112" t="s">
        <v>991</v>
      </c>
      <c r="B173" s="110" t="s">
        <v>992</v>
      </c>
      <c r="C173" s="110">
        <v>3100</v>
      </c>
      <c r="D173" s="110">
        <v>6200</v>
      </c>
      <c r="E173" s="111">
        <f>SUMIFS('Accounting data'!$G$2:$G$37000,'Accounting data'!$H$2:$H$37000,"9999*",'Accounting data'!$I$2:$I$37000,"7*",'Accounting data'!$J$2:$J$37000,"31*",'Accounting data'!$K$2:$K$37000,"62*")+SUMIFS('Accounting data'!$G$2:$G$37000,'Accounting data'!$H$2:$H$37000,"9999*",'Accounting data'!$I$2:$I$37000,"8*",'Accounting data'!$J$2:$J$37000,"31*",'Accounting data'!$K$2:$K$37000,"62*")+SUMIFS('Accounting data'!$G$2:$G$37000,'Accounting data'!$H$2:$H$37000,"9999*",'Accounting data'!$I$2:$I$37000,"9*",'Accounting data'!$J$2:$J$37000,"31*",'Accounting data'!$K$2:$K$37000,"62*")</f>
        <v>0</v>
      </c>
    </row>
    <row r="174" spans="1:5" x14ac:dyDescent="0.25">
      <c r="A174" s="110"/>
      <c r="B174" s="110"/>
      <c r="C174" s="110"/>
      <c r="D174" s="110"/>
      <c r="E174" s="111"/>
    </row>
    <row r="175" spans="1:5" x14ac:dyDescent="0.25">
      <c r="A175" s="110"/>
      <c r="B175" s="110"/>
      <c r="C175" s="110"/>
      <c r="D175" s="110"/>
      <c r="E175" s="111"/>
    </row>
    <row r="176" spans="1:5" ht="14.25" customHeight="1" x14ac:dyDescent="0.3">
      <c r="A176" s="113" t="s">
        <v>1017</v>
      </c>
      <c r="B176" s="113"/>
      <c r="C176" s="113"/>
      <c r="D176" s="113"/>
      <c r="E176" s="114">
        <f>(E170-E171-E172)+(E173+E174+E175)</f>
        <v>0</v>
      </c>
    </row>
    <row r="184" spans="1:5" x14ac:dyDescent="0.25">
      <c r="A184" s="110" t="s">
        <v>990</v>
      </c>
      <c r="B184" s="110" t="s">
        <v>990</v>
      </c>
      <c r="C184" s="110">
        <v>3400</v>
      </c>
      <c r="D184" s="110">
        <v>6200</v>
      </c>
      <c r="E184" s="111">
        <f>SUMIFS('Accounting data'!$G$2:$G$37000,'Accounting data'!$J$2:$J$37000,"34*",'Accounting data'!$K$2:$K$37000,"62*")</f>
        <v>0</v>
      </c>
    </row>
    <row r="185" spans="1:5" x14ac:dyDescent="0.25">
      <c r="A185" s="110" t="s">
        <v>991</v>
      </c>
      <c r="B185" s="110" t="s">
        <v>990</v>
      </c>
      <c r="C185" s="110">
        <v>3400</v>
      </c>
      <c r="D185" s="110">
        <v>6200</v>
      </c>
      <c r="E185" s="111">
        <f>SUMIFS('Accounting data'!$G$2:$G$37000,'Accounting data'!$H$2:$H$37000,"9999*",'Accounting data'!$J$2:$J$37000,"34*",'Accounting data'!$K$2:$K$37000,"62*")</f>
        <v>0</v>
      </c>
    </row>
    <row r="186" spans="1:5" x14ac:dyDescent="0.25">
      <c r="A186" s="110" t="s">
        <v>990</v>
      </c>
      <c r="B186" s="110" t="s">
        <v>992</v>
      </c>
      <c r="C186" s="110">
        <v>3400</v>
      </c>
      <c r="D186" s="110">
        <v>6200</v>
      </c>
      <c r="E186" s="111">
        <f>SUMIFS('Accounting data'!$G$2:$G$37000,'Accounting data'!$I$2:$I$37000,"7*",'Accounting data'!$J$2:$J$37000,"34*",'Accounting data'!$K$2:$K$37000,"62*")+SUMIFS('Accounting data'!$G$2:$G$37000,'Accounting data'!$I$2:$I$37000,"8*",'Accounting data'!$J$2:$J$37000,"34*",'Accounting data'!$K$2:$K$37000,"62*")+SUMIFS('Accounting data'!$G$2:$G$37000,'Accounting data'!$I$2:$I$37000,"9*",'Accounting data'!$J$2:$J$37000,"34*",'Accounting data'!$K$2:$K$37000,"62*")</f>
        <v>0</v>
      </c>
    </row>
    <row r="187" spans="1:5" x14ac:dyDescent="0.25">
      <c r="A187" s="112" t="s">
        <v>991</v>
      </c>
      <c r="B187" s="110" t="s">
        <v>992</v>
      </c>
      <c r="C187" s="110">
        <v>3400</v>
      </c>
      <c r="D187" s="110">
        <v>6200</v>
      </c>
      <c r="E187" s="111">
        <f>SUMIFS('Accounting data'!$G$2:$G$37000,'Accounting data'!$H$2:$H$37000,"9999*",'Accounting data'!$I$2:$I$37000,"7*",'Accounting data'!$J$2:$J$37000,"34*",'Accounting data'!$K$2:$K$37000,"62*")+SUMIFS('Accounting data'!$G$2:$G$37000,'Accounting data'!$H$2:$H$37000,"9999*",'Accounting data'!$I$2:$I$37000,"8*",'Accounting data'!$J$2:$J$37000,"34*",'Accounting data'!$K$2:$K$37000,"62*")+SUMIFS('Accounting data'!$G$2:$G$37000,'Accounting data'!$H$2:$H$37000,"9999*",'Accounting data'!$I$2:$I$37000,"9*",'Accounting data'!$J$2:$J$37000,"34*",'Accounting data'!$K$2:$K$37000,"62*")</f>
        <v>0</v>
      </c>
    </row>
    <row r="188" spans="1:5" x14ac:dyDescent="0.25">
      <c r="A188" s="110"/>
      <c r="B188" s="110"/>
      <c r="C188" s="110"/>
      <c r="D188" s="110"/>
      <c r="E188" s="111"/>
    </row>
    <row r="189" spans="1:5" x14ac:dyDescent="0.25">
      <c r="A189" s="110"/>
      <c r="B189" s="110"/>
      <c r="C189" s="110"/>
      <c r="D189" s="110"/>
      <c r="E189" s="111"/>
    </row>
    <row r="190" spans="1:5" ht="14.25" customHeight="1" x14ac:dyDescent="0.3">
      <c r="A190" s="113" t="s">
        <v>1018</v>
      </c>
      <c r="B190" s="113"/>
      <c r="C190" s="113"/>
      <c r="D190" s="113"/>
      <c r="E190" s="114">
        <f>(E184-E185-E186)+(E187+E188+E189)</f>
        <v>0</v>
      </c>
    </row>
    <row r="191" spans="1:5" x14ac:dyDescent="0.25">
      <c r="A191" s="110" t="s">
        <v>990</v>
      </c>
      <c r="B191" s="110" t="s">
        <v>990</v>
      </c>
      <c r="C191" s="110">
        <v>4000</v>
      </c>
      <c r="D191" s="110">
        <v>6200</v>
      </c>
      <c r="E191" s="111">
        <f>SUMIFS('Accounting data'!$G$2:$G$37000,'Accounting data'!$J$2:$J$37000,"4*",'Accounting data'!$K$2:$K$37000,"62*")</f>
        <v>0</v>
      </c>
    </row>
    <row r="192" spans="1:5" x14ac:dyDescent="0.25">
      <c r="A192" s="110" t="s">
        <v>991</v>
      </c>
      <c r="B192" s="110" t="s">
        <v>990</v>
      </c>
      <c r="C192" s="110">
        <v>4000</v>
      </c>
      <c r="D192" s="110">
        <v>6200</v>
      </c>
      <c r="E192" s="111">
        <f>SUMIFS('Accounting data'!$G$2:$G$37000,'Accounting data'!$H$2:$H$37000,"9999*",'Accounting data'!$J$2:$J$37000,"4*",'Accounting data'!$K$2:$K$37000,"62*")</f>
        <v>0</v>
      </c>
    </row>
    <row r="193" spans="1:5" x14ac:dyDescent="0.25">
      <c r="A193" s="110" t="s">
        <v>990</v>
      </c>
      <c r="B193" s="110" t="s">
        <v>992</v>
      </c>
      <c r="C193" s="110">
        <v>4000</v>
      </c>
      <c r="D193" s="110">
        <v>6200</v>
      </c>
      <c r="E193" s="111">
        <f>SUMIFS('Accounting data'!$G$2:$G$37000,'Accounting data'!$I$2:$I$37000,"7*",'Accounting data'!$J$2:$J$37000,"4*",'Accounting data'!$K$2:$K$37000,"62*")+SUMIFS('Accounting data'!$G$2:$G$37000,'Accounting data'!$I$2:$I$37000,"8*",'Accounting data'!$J$2:$J$37000,"4*",'Accounting data'!$K$2:$K$37000,"62*")+SUMIFS('Accounting data'!$G$2:$G$37000,'Accounting data'!$I$2:$I$37000,"9*",'Accounting data'!$J$2:$J$37000,"4*",'Accounting data'!$K$2:$K$37000,"62*")</f>
        <v>0</v>
      </c>
    </row>
    <row r="194" spans="1:5" x14ac:dyDescent="0.25">
      <c r="A194" s="112" t="s">
        <v>991</v>
      </c>
      <c r="B194" s="110" t="s">
        <v>992</v>
      </c>
      <c r="C194" s="110">
        <v>4000</v>
      </c>
      <c r="D194" s="110">
        <v>6200</v>
      </c>
      <c r="E194" s="111">
        <f>SUMIFS('Accounting data'!$G$2:$G$37000,'Accounting data'!$H$2:$H$37000,"9999*",'Accounting data'!$I$2:$I$37000,"7*",'Accounting data'!$J$2:$J$37000,"4*",'Accounting data'!$K$2:$K$37000,"62*")+SUMIFS('Accounting data'!$G$2:$G$37000,'Accounting data'!$H$2:$H$37000,"9999*",'Accounting data'!$I$2:$I$37000,"8*",'Accounting data'!$J$2:$J$37000,"4*",'Accounting data'!$K$2:$K$37000,"62*")+SUMIFS('Accounting data'!$G$2:$G$37000,'Accounting data'!$H$2:$H$37000,"9999*",'Accounting data'!$I$2:$I$37000,"9*",'Accounting data'!$J$2:$J$37000,"4*",'Accounting data'!$K$2:$K$37000,"62*")</f>
        <v>0</v>
      </c>
    </row>
    <row r="195" spans="1:5" x14ac:dyDescent="0.25">
      <c r="A195" s="110"/>
      <c r="B195" s="110"/>
      <c r="C195" s="110"/>
      <c r="D195" s="110"/>
      <c r="E195" s="111"/>
    </row>
    <row r="196" spans="1:5" x14ac:dyDescent="0.25">
      <c r="A196" s="110"/>
      <c r="B196" s="110"/>
      <c r="C196" s="110"/>
      <c r="D196" s="110"/>
      <c r="E196" s="111"/>
    </row>
    <row r="197" spans="1:5" ht="14.25" customHeight="1" x14ac:dyDescent="0.3">
      <c r="A197" s="113" t="s">
        <v>1019</v>
      </c>
      <c r="B197" s="113"/>
      <c r="C197" s="113"/>
      <c r="D197" s="113"/>
      <c r="E197" s="114">
        <f>(E191-E192-E193)+(E194+E195+E196)</f>
        <v>0</v>
      </c>
    </row>
    <row r="198" spans="1:5" ht="14.25" customHeight="1" x14ac:dyDescent="0.3">
      <c r="A198" s="116" t="s">
        <v>1020</v>
      </c>
      <c r="B198" s="116"/>
      <c r="C198" s="116"/>
      <c r="D198" s="116"/>
      <c r="E198" s="117">
        <f>E113+E120+E127+E134+E141+E148+E155+E162+E169+E176+E183+E190</f>
        <v>262153</v>
      </c>
    </row>
    <row r="199" spans="1:5" ht="14.25" customHeight="1" x14ac:dyDescent="0.3">
      <c r="A199" s="110" t="s">
        <v>1006</v>
      </c>
      <c r="B199" s="110" t="s">
        <v>990</v>
      </c>
      <c r="C199" s="110">
        <v>1000</v>
      </c>
      <c r="D199" s="110">
        <v>6200</v>
      </c>
      <c r="E199" s="118">
        <f>SUMIFS('Accounting data'!$G$2:$G$37000,'Accounting data'!$H$2:$H$37000,"11*",'Accounting data'!$J$2:$J$37000,"1*",'Accounting data'!$K$2:$K$37000,"62*")+SUMIFS('Accounting data'!$G$2:$G$37000,'Accounting data'!$H$2:$H$37000,"12*",'Accounting data'!$J$2:$J$37000,"1*",'Accounting data'!$K$2:$K$37000,"62*")+SUMIFS('Accounting data'!$G$2:$G$37000,'Accounting data'!$H$2:$H$37000,"13*",'Accounting data'!$J$2:$J$37000,"1*",'Accounting data'!$K$2:$K$37000,"62*")</f>
        <v>14864</v>
      </c>
    </row>
    <row r="200" spans="1:5" ht="14.25" customHeight="1" x14ac:dyDescent="0.3">
      <c r="A200" s="110" t="s">
        <v>1006</v>
      </c>
      <c r="B200" s="110" t="s">
        <v>990</v>
      </c>
      <c r="C200" s="110">
        <v>2000</v>
      </c>
      <c r="D200" s="110">
        <v>6200</v>
      </c>
      <c r="E200" s="118">
        <f>SUMIFS('Accounting data'!$G$2:$G$37000,'Accounting data'!$H$2:$H$37000,"11*",'Accounting data'!$J$2:$J$37000,"2*",'Accounting data'!$K$2:$K$37000,"62*")+SUMIFS('Accounting data'!$G$2:$G$37000,'Accounting data'!$H$2:$H$37000,"12*",'Accounting data'!$J$2:$J$37000,"2*",'Accounting data'!$K$2:$K$37000,"62*")+SUMIFS('Accounting data'!$G$2:$G$37000,'Accounting data'!$H$2:$H$37000,"13*",'Accounting data'!$J$2:$J$37000,"2*",'Accounting data'!$K$2:$K$37000,"62*")</f>
        <v>2047</v>
      </c>
    </row>
    <row r="201" spans="1:5" ht="14.25" customHeight="1" x14ac:dyDescent="0.3">
      <c r="A201" s="110" t="s">
        <v>1006</v>
      </c>
      <c r="B201" s="110" t="s">
        <v>990</v>
      </c>
      <c r="C201" s="110">
        <v>3000</v>
      </c>
      <c r="D201" s="110">
        <v>6200</v>
      </c>
      <c r="E201" s="118">
        <f>SUMIFS('Accounting data'!$G$2:$G$37000,'Accounting data'!$H$2:$H$37000,"11*",'Accounting data'!$J$2:$J$37000,"3*",'Accounting data'!$K$2:$K$37000,"62*")+SUMIFS('Accounting data'!$G$2:$G$37000,'Accounting data'!$H$2:$H$37000,"12*",'Accounting data'!$J$2:$J$37000,"3*",'Accounting data'!$K$2:$K$37000,"62*")+SUMIFS('Accounting data'!$G$2:$G$37000,'Accounting data'!$H$2:$H$37000,"13*",'Accounting data'!$J$2:$J$37000,"3*",'Accounting data'!$K$2:$K$37000,"62*")</f>
        <v>0</v>
      </c>
    </row>
    <row r="202" spans="1:5" ht="14.25" customHeight="1" x14ac:dyDescent="0.3">
      <c r="A202" s="110" t="s">
        <v>1006</v>
      </c>
      <c r="B202" s="112">
        <v>700</v>
      </c>
      <c r="C202" s="110">
        <v>1000</v>
      </c>
      <c r="D202" s="110">
        <v>6200</v>
      </c>
      <c r="E202" s="118">
        <f>SUMIFS('Accounting data'!$G$2:$G$37000,'Accounting data'!$H$2:$H$37000,"11*",'Accounting data'!$I$2:$I$37000,"7*",'Accounting data'!$J$2:$J$37000,"1*",'Accounting data'!$K$2:$K$37000,"62*")+SUMIFS('Accounting data'!$G$2:$G$37000,'Accounting data'!$H$2:$H$37000,"12*",'Accounting data'!$I$2:$I$37000,"7*",'Accounting data'!$J$2:$J$37000,"1*",'Accounting data'!$K$2:$K$37000,"62*")+SUMIFS('Accounting data'!$G$2:$G$37000,'Accounting data'!$H$2:$H$37000,"13*",'Accounting data'!$I$2:$I$37000,"7*",'Accounting data'!$J$2:$J$37000,"1*",'Accounting data'!$K$2:$K$37000,"62*")</f>
        <v>0</v>
      </c>
    </row>
    <row r="203" spans="1:5" ht="14.25" customHeight="1" x14ac:dyDescent="0.3">
      <c r="A203" s="110" t="s">
        <v>1006</v>
      </c>
      <c r="B203" s="112">
        <v>800</v>
      </c>
      <c r="C203" s="110">
        <v>1000</v>
      </c>
      <c r="D203" s="110">
        <v>6200</v>
      </c>
      <c r="E203" s="118">
        <f>SUMIFS('Accounting data'!$G$2:$G$37000,'Accounting data'!$H$2:$H$37000,"11*",'Accounting data'!$I$2:$I$37000,"8*",'Accounting data'!$J$2:$J$37000,"1*",'Accounting data'!$K$2:$K$37000,"62*")+SUMIFS('Accounting data'!$G$2:$G$37000,'Accounting data'!$H$2:$H$37000,"12*",'Accounting data'!$I$2:$I$37000,"8*",'Accounting data'!$J$2:$J$37000,"1*",'Accounting data'!$K$2:$K$37000,"62*")+SUMIFS('Accounting data'!$G$2:$G$37000,'Accounting data'!$H$2:$H$37000,"13*",'Accounting data'!$I$2:$I$37000,"8*",'Accounting data'!$J$2:$J$37000,"1*",'Accounting data'!$K$2:$K$37000,"62*")</f>
        <v>0</v>
      </c>
    </row>
    <row r="204" spans="1:5" ht="14.25" customHeight="1" x14ac:dyDescent="0.3">
      <c r="A204" s="110" t="s">
        <v>1006</v>
      </c>
      <c r="B204" s="112">
        <v>900</v>
      </c>
      <c r="C204" s="110">
        <v>1000</v>
      </c>
      <c r="D204" s="110">
        <v>6200</v>
      </c>
      <c r="E204" s="118">
        <f>SUMIFS('Accounting data'!$G$2:$G$37000,'Accounting data'!$H$2:$H$37000,"11*",'Accounting data'!$I$2:$I$37000,"9*",'Accounting data'!$J$2:$J$37000,"1*",'Accounting data'!$K$2:$K$37000,"62*")+SUMIFS('Accounting data'!$G$2:$G$37000,'Accounting data'!$H$2:$H$37000,"12*",'Accounting data'!$I$2:$I$37000,"9*",'Accounting data'!$J$2:$J$37000,"1*",'Accounting data'!$K$2:$K$37000,"62*")+SUMIFS('Accounting data'!$G$2:$G$37000,'Accounting data'!$H$2:$H$37000,"13*",'Accounting data'!$I$2:$I$37000,"9*",'Accounting data'!$J$2:$J$37000,"1*",'Accounting data'!$K$2:$K$37000,"62*")</f>
        <v>0</v>
      </c>
    </row>
    <row r="205" spans="1:5" ht="14.25" customHeight="1" x14ac:dyDescent="0.3">
      <c r="A205" s="110" t="s">
        <v>1006</v>
      </c>
      <c r="B205" s="112">
        <v>700</v>
      </c>
      <c r="C205" s="110">
        <v>2000</v>
      </c>
      <c r="D205" s="110">
        <v>6200</v>
      </c>
      <c r="E205" s="118">
        <f>SUMIFS('Accounting data'!$G$2:$G$37000,'Accounting data'!$H$2:$H$37000,"11*",'Accounting data'!$I$2:$I$37000,"7*",'Accounting data'!$J$2:$J$37000,"2*",'Accounting data'!$K$2:$K$37000,"62*")+SUMIFS('Accounting data'!$G$2:$G$37000,'Accounting data'!$H$2:$H$37000,"12*",'Accounting data'!$I$2:$I$37000,"7*",'Accounting data'!$J$2:$J$37000,"2*",'Accounting data'!$K$2:$K$37000,"62*")+SUMIFS('Accounting data'!$G$2:$G$37000,'Accounting data'!$H$2:$H$37000,"13*",'Accounting data'!$I$2:$I$37000,"7*",'Accounting data'!$J$2:$J$37000,"2*",'Accounting data'!$K$2:$K$37000,"62*")</f>
        <v>0</v>
      </c>
    </row>
    <row r="206" spans="1:5" ht="14.25" customHeight="1" x14ac:dyDescent="0.3">
      <c r="A206" s="110" t="s">
        <v>1006</v>
      </c>
      <c r="B206" s="112">
        <v>800</v>
      </c>
      <c r="C206" s="110">
        <v>2000</v>
      </c>
      <c r="D206" s="110">
        <v>6200</v>
      </c>
      <c r="E206" s="118">
        <f>SUMIFS('Accounting data'!$G$2:$G$37000,'Accounting data'!$H$2:$H$37000,"11*",'Accounting data'!$I$2:$I$37000,"8*",'Accounting data'!$J$2:$J$37000,"2*",'Accounting data'!$K$2:$K$37000,"62*")+SUMIFS('Accounting data'!$G$2:$G$37000,'Accounting data'!$H$2:$H$37000,"12*",'Accounting data'!$I$2:$I$37000,"8*",'Accounting data'!$J$2:$J$37000,"2*",'Accounting data'!$K$2:$K$37000,"62*")+SUMIFS('Accounting data'!$G$2:$G$37000,'Accounting data'!$H$2:$H$37000,"13*",'Accounting data'!$I$2:$I$37000,"8*",'Accounting data'!$J$2:$J$37000,"2*",'Accounting data'!$K$2:$K$37000,"62*")</f>
        <v>0</v>
      </c>
    </row>
    <row r="207" spans="1:5" ht="14.25" customHeight="1" x14ac:dyDescent="0.3">
      <c r="A207" s="110" t="s">
        <v>1006</v>
      </c>
      <c r="B207" s="112">
        <v>900</v>
      </c>
      <c r="C207" s="110">
        <v>2000</v>
      </c>
      <c r="D207" s="110">
        <v>6200</v>
      </c>
      <c r="E207" s="118">
        <f>SUMIFS('Accounting data'!$G$2:$G$37000,'Accounting data'!$H$2:$H$37000,"11*",'Accounting data'!$I$2:$I$37000,"9*",'Accounting data'!$J$2:$J$37000,"2*",'Accounting data'!$K$2:$K$37000,"62*")+SUMIFS('Accounting data'!$G$2:$G$37000,'Accounting data'!$H$2:$H$37000,"12*",'Accounting data'!$I$2:$I$37000,"9*",'Accounting data'!$J$2:$J$37000,"2*",'Accounting data'!$K$2:$K$37000,"62*")+SUMIFS('Accounting data'!$G$2:$G$37000,'Accounting data'!$H$2:$H$37000,"13*",'Accounting data'!$I$2:$I$37000,"9*",'Accounting data'!$J$2:$J$37000,"2*",'Accounting data'!$K$2:$K$37000,"62*")</f>
        <v>0</v>
      </c>
    </row>
    <row r="208" spans="1:5" ht="14.25" customHeight="1" x14ac:dyDescent="0.3">
      <c r="A208" s="110" t="s">
        <v>1006</v>
      </c>
      <c r="B208" s="112">
        <v>700</v>
      </c>
      <c r="C208" s="110">
        <v>3000</v>
      </c>
      <c r="D208" s="110">
        <v>6200</v>
      </c>
      <c r="E208" s="118">
        <f>SUMIFS('Accounting data'!$G$2:$G$37000,'Accounting data'!$H$2:$H$37000,"11*",'Accounting data'!$I$2:$I$37000,"7*",'Accounting data'!$J$2:$J$37000,"3*",'Accounting data'!$K$2:$K$37000,"62*")+SUMIFS('Accounting data'!$G$2:$G$37000,'Accounting data'!$H$2:$H$37000,"12*",'Accounting data'!$I$2:$I$37000,"7*",'Accounting data'!$J$2:$J$37000,"3*",'Accounting data'!$K$2:$K$37000,"62*")+SUMIFS('Accounting data'!$G$2:$G$37000,'Accounting data'!$H$2:$H$37000,"13*",'Accounting data'!$I$2:$I$37000,"7*",'Accounting data'!$J$2:$J$37000,"3*",'Accounting data'!$K$2:$K$37000,"62*")</f>
        <v>0</v>
      </c>
    </row>
    <row r="209" spans="1:5" ht="14.25" customHeight="1" x14ac:dyDescent="0.3">
      <c r="A209" s="110" t="s">
        <v>1006</v>
      </c>
      <c r="B209" s="112">
        <v>800</v>
      </c>
      <c r="C209" s="110">
        <v>3000</v>
      </c>
      <c r="D209" s="110">
        <v>6200</v>
      </c>
      <c r="E209" s="118">
        <f>SUMIFS('Accounting data'!$G$2:$G$37000,'Accounting data'!$H$2:$H$37000,"11*",'Accounting data'!$I$2:$I$37000,"8*",'Accounting data'!$J$2:$J$37000,"3*",'Accounting data'!$K$2:$K$37000,"62*")+SUMIFS('Accounting data'!$G$2:$G$37000,'Accounting data'!$H$2:$H$37000,"12*",'Accounting data'!$I$2:$I$37000,"8*",'Accounting data'!$J$2:$J$37000,"3*",'Accounting data'!$K$2:$K$37000,"62*")+SUMIFS('Accounting data'!$G$2:$G$37000,'Accounting data'!$H$2:$H$37000,"13*",'Accounting data'!$I$2:$I$37000,"8*",'Accounting data'!$J$2:$J$37000,"3*",'Accounting data'!$K$2:$K$37000,"62*")</f>
        <v>0</v>
      </c>
    </row>
    <row r="210" spans="1:5" ht="14.25" customHeight="1" x14ac:dyDescent="0.3">
      <c r="A210" s="110" t="s">
        <v>1006</v>
      </c>
      <c r="B210" s="112">
        <v>900</v>
      </c>
      <c r="C210" s="110">
        <v>3000</v>
      </c>
      <c r="D210" s="110">
        <v>6200</v>
      </c>
      <c r="E210" s="118">
        <f>SUMIFS('Accounting data'!$G$2:$G$37000,'Accounting data'!$H$2:$H$37000,"11*",'Accounting data'!$I$2:$I$37000,"9*",'Accounting data'!$J$2:$J$37000,"3*",'Accounting data'!$K$2:$K$37000,"62*")+SUMIFS('Accounting data'!$G$2:$G$37000,'Accounting data'!$H$2:$H$37000,"12*",'Accounting data'!$I$2:$I$37000,"9*",'Accounting data'!$J$2:$J$37000,"3*",'Accounting data'!$K$2:$K$37000,"62*")+SUMIFS('Accounting data'!$G$2:$G$37000,'Accounting data'!$H$2:$H$37000,"13*",'Accounting data'!$I$2:$I$37000,"9*",'Accounting data'!$J$2:$J$37000,"3*",'Accounting data'!$K$2:$K$37000,"62*")</f>
        <v>0</v>
      </c>
    </row>
    <row r="211" spans="1:5" ht="14.25" customHeight="1" x14ac:dyDescent="0.3">
      <c r="A211" s="113" t="s">
        <v>1021</v>
      </c>
      <c r="B211" s="113"/>
      <c r="C211" s="113"/>
      <c r="D211" s="113"/>
      <c r="E211" s="114">
        <f>(E199+E200+E201)-(E202+E203+E204+E205+E206+E207+E208+E209+E210)</f>
        <v>16911</v>
      </c>
    </row>
    <row r="212" spans="1:5" ht="14.25" customHeight="1" x14ac:dyDescent="0.3">
      <c r="A212" s="110" t="s">
        <v>990</v>
      </c>
      <c r="B212" s="110" t="s">
        <v>990</v>
      </c>
      <c r="C212" s="110">
        <v>1000</v>
      </c>
      <c r="D212" s="119" t="s">
        <v>1022</v>
      </c>
      <c r="E212" s="118">
        <f>SUMIFS('Accounting data'!$G$2:$G$37000,'Accounting data'!$J$2:$J$37000,"1*",'Accounting data'!$K$2:$K$37000,"63*")+SUMIFS('Accounting data'!$G$2:$G$37000,'Accounting data'!$J$2:$J$37000,"1*",'Accounting data'!$K$2:$K$37000,"64*")+SUMIFS('Accounting data'!$G$2:$G$37000,'Accounting data'!$J$2:$J$37000,"1*",'Accounting data'!$K$2:$K$37000,"65*")</f>
        <v>5717</v>
      </c>
    </row>
    <row r="213" spans="1:5" ht="14.25" customHeight="1" x14ac:dyDescent="0.3">
      <c r="A213" s="110" t="s">
        <v>991</v>
      </c>
      <c r="B213" s="110" t="s">
        <v>990</v>
      </c>
      <c r="C213" s="110">
        <v>1000</v>
      </c>
      <c r="D213" s="110">
        <v>6300</v>
      </c>
      <c r="E213" s="118">
        <f>SUMIFS('Accounting data'!$G$2:$G$37000,'Accounting data'!$H$2:$H$37000,"9999*",'Accounting data'!$J$2:$J$37000,"1*",'Accounting data'!$K$2:$K$37000,"63*")</f>
        <v>0</v>
      </c>
    </row>
    <row r="214" spans="1:5" ht="14.25" customHeight="1" x14ac:dyDescent="0.3">
      <c r="A214" s="110" t="s">
        <v>991</v>
      </c>
      <c r="B214" s="110" t="s">
        <v>990</v>
      </c>
      <c r="C214" s="110">
        <v>1000</v>
      </c>
      <c r="D214" s="110">
        <v>6400</v>
      </c>
      <c r="E214" s="118">
        <f>SUMIFS('Accounting data'!$G$2:$G$37000,'Accounting data'!$H$2:$H$37000,"9999*",'Accounting data'!$J$2:$J$37000,"1*",'Accounting data'!$K$2:$K$37000,"64*")</f>
        <v>0</v>
      </c>
    </row>
    <row r="215" spans="1:5" ht="14.25" customHeight="1" x14ac:dyDescent="0.3">
      <c r="A215" s="110" t="s">
        <v>991</v>
      </c>
      <c r="B215" s="110" t="s">
        <v>990</v>
      </c>
      <c r="C215" s="110">
        <v>1000</v>
      </c>
      <c r="D215" s="110">
        <v>6500</v>
      </c>
      <c r="E215" s="118">
        <f>SUMIFS('Accounting data'!$G$2:$G$37000,'Accounting data'!$H$2:$H$37000,"9999*",'Accounting data'!$J$2:$J$37000,"1*",'Accounting data'!$K$2:$K$37000,"65*")</f>
        <v>0</v>
      </c>
    </row>
    <row r="216" spans="1:5" ht="14.25" customHeight="1" x14ac:dyDescent="0.3">
      <c r="A216" s="110" t="s">
        <v>990</v>
      </c>
      <c r="B216" s="110" t="s">
        <v>992</v>
      </c>
      <c r="C216" s="110">
        <v>1000</v>
      </c>
      <c r="D216" s="119" t="s">
        <v>1022</v>
      </c>
      <c r="E216" s="118">
        <f>SUMIFS('Accounting data'!$G$2:$G$37000,'Accounting data'!$I$2:$I$37000,"7*",'Accounting data'!$J$2:$J$37000,"1*",'Accounting data'!$K$2:$K$37000,"63*")+SUMIFS('Accounting data'!$G$2:$G$37000,'Accounting data'!$I$2:$I$37000,"8*",'Accounting data'!$J$2:$J$37000,"1*",'Accounting data'!$K$2:$K$37000,"63*")+SUMIFS('Accounting data'!$G$2:$G$37000,'Accounting data'!$I$2:$I$37000,"9*",'Accounting data'!$J$2:$J$37000,"1*",'Accounting data'!$K$2:$K$37000,"63*")+SUMIFS('Accounting data'!$G$2:$G$37000,'Accounting data'!$I$2:$I$37000,"7*",'Accounting data'!$J$2:$J$37000,"1*",'Accounting data'!$K$2:$K$37000,"64*")+SUMIFS('Accounting data'!$G$2:$G$37000,'Accounting data'!$I$2:$I$37000,"8*",'Accounting data'!$J$2:$J$37000,"1*",'Accounting data'!$K$2:$K$37000,"64*")+SUMIFS('Accounting data'!$G$2:$G$37000,'Accounting data'!$I$2:$I$37000,"9*",'Accounting data'!$J$2:$J$37000,"1*",'Accounting data'!$K$2:$K$37000,"64*")+SUMIFS('Accounting data'!$G$2:$G$37000,'Accounting data'!$I$2:$I$37000,"7*",'Accounting data'!$J$2:$J$37000,"1*",'Accounting data'!$K$2:$K$37000,"65*")+SUMIFS('Accounting data'!$G$2:$G$37000,'Accounting data'!$I$2:$I$37000,"8*",'Accounting data'!$J$2:$J$37000,"1*",'Accounting data'!$K$2:$K$37000,"65*")+SUMIFS('Accounting data'!$G$2:$G$37000,'Accounting data'!$I$2:$I$37000,"9*",'Accounting data'!$J$2:$J$37000,"1*",'Accounting data'!$K$2:$K$37000,"65*")</f>
        <v>0</v>
      </c>
    </row>
    <row r="217" spans="1:5" ht="14.25" customHeight="1" x14ac:dyDescent="0.3">
      <c r="A217" s="112" t="s">
        <v>991</v>
      </c>
      <c r="B217" s="110" t="s">
        <v>992</v>
      </c>
      <c r="C217" s="110">
        <v>1000</v>
      </c>
      <c r="D217" s="110">
        <v>6300</v>
      </c>
      <c r="E217" s="118">
        <f>SUMIFS('Accounting data'!$G$2:$G$37000,'Accounting data'!$H$2:$H$37000,"9999*",'Accounting data'!$I$2:$I$37000,"7*",'Accounting data'!$J$2:$J$37000,"1*",'Accounting data'!$K$2:$K$37000,"63*")+SUMIFS('Accounting data'!$G$2:$G$37000,'Accounting data'!$H$2:$H$37000,"9999*",'Accounting data'!$I$2:$I$37000,"8*",'Accounting data'!$J$2:$J$37000,"1*",'Accounting data'!$K$2:$K$37000,"63*")+SUMIFS('Accounting data'!$G$2:$G$37000,'Accounting data'!$H$2:$H$37000,"9999*",'Accounting data'!$I$2:$I$37000,"9*",'Accounting data'!$J$2:$J$37000,"1*",'Accounting data'!$K$2:$K$37000,"63*")</f>
        <v>0</v>
      </c>
    </row>
    <row r="218" spans="1:5" ht="14.25" customHeight="1" x14ac:dyDescent="0.3">
      <c r="A218" s="112" t="s">
        <v>991</v>
      </c>
      <c r="B218" s="110" t="s">
        <v>992</v>
      </c>
      <c r="C218" s="110">
        <v>1000</v>
      </c>
      <c r="D218" s="110">
        <v>6400</v>
      </c>
      <c r="E218" s="118">
        <f>SUMIFS('Accounting data'!$G$2:$G$37000,'Accounting data'!$H$2:$H$37000,"9999*",'Accounting data'!$I$2:$I$37000,"7*",'Accounting data'!$J$2:$J$37000,"1*",'Accounting data'!$K$2:$K$37000,"64*")+SUMIFS('Accounting data'!$G$2:$G$37000,'Accounting data'!$H$2:$H$37000,"9999*",'Accounting data'!$I$2:$I$37000,"8*",'Accounting data'!$J$2:$J$37000,"1*",'Accounting data'!$K$2:$K$37000,"64*")+SUMIFS('Accounting data'!$G$2:$G$37000,'Accounting data'!$H$2:$H$37000,"9999*",'Accounting data'!$I$2:$I$37000,"9*",'Accounting data'!$J$2:$J$37000,"1*",'Accounting data'!$K$2:$K$37000,"64*")</f>
        <v>0</v>
      </c>
    </row>
    <row r="219" spans="1:5" ht="14.25" customHeight="1" x14ac:dyDescent="0.3">
      <c r="A219" s="112" t="s">
        <v>991</v>
      </c>
      <c r="B219" s="110" t="s">
        <v>992</v>
      </c>
      <c r="C219" s="110">
        <v>1000</v>
      </c>
      <c r="D219" s="110">
        <v>6500</v>
      </c>
      <c r="E219" s="118">
        <f>SUMIFS('Accounting data'!$G$2:$G$37000,'Accounting data'!$H$2:$H$37000,"9999*",'Accounting data'!$I$2:$I$37000,"7*",'Accounting data'!$J$2:$J$37000,"1*",'Accounting data'!$K$2:$K$37000,"65*")+SUMIFS('Accounting data'!$G$2:$G$37000,'Accounting data'!$H$2:$H$37000,"9999*",'Accounting data'!$I$2:$I$37000,"8*",'Accounting data'!$J$2:$J$37000,"1*",'Accounting data'!$K$2:$K$37000,"65*")+SUMIFS('Accounting data'!$G$2:$G$37000,'Accounting data'!$H$2:$H$37000,"9999*",'Accounting data'!$I$2:$I$37000,"9*",'Accounting data'!$J$2:$J$37000,"1*",'Accounting data'!$K$2:$K$37000,"65*")</f>
        <v>0</v>
      </c>
    </row>
    <row r="238" spans="1:5" ht="14.25" customHeight="1" x14ac:dyDescent="0.3">
      <c r="A238" s="113" t="s">
        <v>1023</v>
      </c>
      <c r="B238" s="113"/>
      <c r="C238" s="113"/>
      <c r="D238" s="113"/>
      <c r="E238" s="114">
        <f>((E212-E213-E214-E215-E216)+(E217+E218+E219+E220+E221+E222+E223+E224+E225))-((E226-E227-E228)+(E229+E230+E231))-((E232-E233-E234)+(E235+E236+E237))</f>
        <v>5717</v>
      </c>
    </row>
    <row r="239" spans="1:5" x14ac:dyDescent="0.25">
      <c r="A239" s="110" t="s">
        <v>990</v>
      </c>
      <c r="B239" s="110" t="s">
        <v>990</v>
      </c>
      <c r="C239" s="110">
        <v>2100</v>
      </c>
      <c r="D239" s="119" t="s">
        <v>1022</v>
      </c>
      <c r="E239" s="111">
        <f>SUMIFS('Accounting data'!$G$2:$G$37000,'Accounting data'!$J$2:$J$37000,"21*",'Accounting data'!$K$2:$K$37000,"63*")+SUMIFS('Accounting data'!$G$2:$G$37000,'Accounting data'!$J$2:$J$37000,"21*",'Accounting data'!$K$2:$K$37000,"64*")+SUMIFS('Accounting data'!$G$2:$G$37000,'Accounting data'!$J$2:$J$37000,"21*",'Accounting data'!$K$2:$K$37000,"65*")</f>
        <v>47743</v>
      </c>
    </row>
    <row r="240" spans="1:5" x14ac:dyDescent="0.25">
      <c r="A240" s="110" t="s">
        <v>991</v>
      </c>
      <c r="B240" s="110" t="s">
        <v>990</v>
      </c>
      <c r="C240" s="110">
        <v>2100</v>
      </c>
      <c r="D240" s="110">
        <v>6300</v>
      </c>
      <c r="E240" s="111">
        <f>SUMIFS('Accounting data'!$G$2:$G$37000,'Accounting data'!$H$2:$H$37000,"9999*",'Accounting data'!$J$2:$J$37000,"21*",'Accounting data'!$K$2:$K$37000,"63*")</f>
        <v>0</v>
      </c>
    </row>
    <row r="241" spans="1:5" x14ac:dyDescent="0.25">
      <c r="A241" s="110" t="s">
        <v>991</v>
      </c>
      <c r="B241" s="110" t="s">
        <v>990</v>
      </c>
      <c r="C241" s="110">
        <v>2100</v>
      </c>
      <c r="D241" s="110">
        <v>6400</v>
      </c>
      <c r="E241" s="111">
        <f>SUMIFS('Accounting data'!$G$2:$G$37000,'Accounting data'!$H$2:$H$37000,"9999*",'Accounting data'!$J$2:$J$37000,"21*",'Accounting data'!$K$2:$K$37000,"64*")</f>
        <v>0</v>
      </c>
    </row>
    <row r="242" spans="1:5" x14ac:dyDescent="0.25">
      <c r="A242" s="110" t="s">
        <v>991</v>
      </c>
      <c r="B242" s="110" t="s">
        <v>990</v>
      </c>
      <c r="C242" s="110">
        <v>2100</v>
      </c>
      <c r="D242" s="110">
        <v>6500</v>
      </c>
      <c r="E242" s="111">
        <f>SUMIFS('Accounting data'!$G$2:$G$37000,'Accounting data'!$H$2:$H$37000,"9999*",'Accounting data'!$J$2:$J$37000,"21*",'Accounting data'!$K$2:$K$37000,"65*")</f>
        <v>0</v>
      </c>
    </row>
    <row r="243" spans="1:5" x14ac:dyDescent="0.25">
      <c r="A243" s="110" t="s">
        <v>990</v>
      </c>
      <c r="B243" s="110" t="s">
        <v>992</v>
      </c>
      <c r="C243" s="110">
        <v>2100</v>
      </c>
      <c r="D243" s="119" t="s">
        <v>1022</v>
      </c>
      <c r="E243" s="111">
        <f>SUMIFS('Accounting data'!$G$2:$G$37000,'Accounting data'!$I$2:$I$37000,"7*",'Accounting data'!$J$2:$J$37000,"21*",'Accounting data'!$K$2:$K$37000,"63*")+SUMIFS('Accounting data'!$G$2:$G$37000,'Accounting data'!$I$2:$I$37000,"8*",'Accounting data'!$J$2:$J$37000,"21*",'Accounting data'!$K$2:$K$37000,"63*")+SUMIFS('Accounting data'!$G$2:$G$37000,'Accounting data'!$I$2:$I$37000,"9*",'Accounting data'!$J$2:$J$37000,"21*",'Accounting data'!$K$2:$K$37000,"63*")+SUMIFS('Accounting data'!$G$2:$G$37000,'Accounting data'!$I$2:$I$37000,"7*",'Accounting data'!$J$2:$J$37000,"21*",'Accounting data'!$K$2:$K$37000,"64*")+SUMIFS('Accounting data'!$G$2:$G$37000,'Accounting data'!$I$2:$I$37000,"8*",'Accounting data'!$J$2:$J$37000,"21*",'Accounting data'!$K$2:$K$37000,"64*")+SUMIFS('Accounting data'!$G$2:$G$37000,'Accounting data'!$I$2:$I$37000,"9*",'Accounting data'!$J$2:$J$37000,"21*",'Accounting data'!$K$2:$K$37000,"64*")+SUMIFS('Accounting data'!$G$2:$G$37000,'Accounting data'!$I$2:$I$37000,"7*",'Accounting data'!$J$2:$J$37000,"21*",'Accounting data'!$K$2:$K$37000,"65*")+SUMIFS('Accounting data'!$G$2:$G$37000,'Accounting data'!$I$2:$I$37000,"8*",'Accounting data'!$J$2:$J$37000,"21*",'Accounting data'!$K$2:$K$37000,"65*")+SUMIFS('Accounting data'!$G$2:$G$37000,'Accounting data'!$I$2:$I$37000,"9*",'Accounting data'!$J$2:$J$37000,"21*",'Accounting data'!$K$2:$K$37000,"65*")</f>
        <v>0</v>
      </c>
    </row>
    <row r="244" spans="1:5" x14ac:dyDescent="0.25">
      <c r="A244" s="112" t="s">
        <v>991</v>
      </c>
      <c r="B244" s="110" t="s">
        <v>992</v>
      </c>
      <c r="C244" s="110">
        <v>2100</v>
      </c>
      <c r="D244" s="110">
        <v>6300</v>
      </c>
      <c r="E244" s="111">
        <f>SUMIFS('Accounting data'!$G$2:$G$37000,'Accounting data'!$H$2:$H$37000,"9999*",'Accounting data'!$I$2:$I$37000,"7*",'Accounting data'!$J$2:$J$37000,"21*",'Accounting data'!$K$2:$K$37000,"63*")+SUMIFS('Accounting data'!$G$2:$G$37000,'Accounting data'!$H$2:$H$37000,"9999*",'Accounting data'!$I$2:$I$37000,"8*",'Accounting data'!$J$2:$J$37000,"21*",'Accounting data'!$K$2:$K$37000,"63*")+SUMIFS('Accounting data'!$G$2:$G$37000,'Accounting data'!$H$2:$H$37000,"9999*",'Accounting data'!$I$2:$I$37000,"9*",'Accounting data'!$J$2:$J$37000,"21*",'Accounting data'!$K$2:$K$37000,"63*")</f>
        <v>0</v>
      </c>
    </row>
    <row r="245" spans="1:5" x14ac:dyDescent="0.25">
      <c r="A245" s="112" t="s">
        <v>991</v>
      </c>
      <c r="B245" s="110" t="s">
        <v>992</v>
      </c>
      <c r="C245" s="110">
        <v>2100</v>
      </c>
      <c r="D245" s="110">
        <v>6400</v>
      </c>
      <c r="E245" s="111">
        <f>SUMIFS('Accounting data'!$G$2:$G$37000,'Accounting data'!$H$2:$H$37000,"9999*",'Accounting data'!$I$2:$I$37000,"7*",'Accounting data'!$J$2:$J$37000,"21*",'Accounting data'!$K$2:$K$37000,"64*")+SUMIFS('Accounting data'!$G$2:$G$37000,'Accounting data'!$H$2:$H$37000,"9999*",'Accounting data'!$I$2:$I$37000,"8*",'Accounting data'!$J$2:$J$37000,"21*",'Accounting data'!$K$2:$K$37000,"64*")+SUMIFS('Accounting data'!$G$2:$G$37000,'Accounting data'!$H$2:$H$37000,"9999*",'Accounting data'!$I$2:$I$37000,"9*",'Accounting data'!$J$2:$J$37000,"21*",'Accounting data'!$K$2:$K$37000,"64*")</f>
        <v>0</v>
      </c>
    </row>
    <row r="246" spans="1:5" x14ac:dyDescent="0.25">
      <c r="A246" s="112" t="s">
        <v>991</v>
      </c>
      <c r="B246" s="110" t="s">
        <v>992</v>
      </c>
      <c r="C246" s="110">
        <v>2100</v>
      </c>
      <c r="D246" s="110">
        <v>6500</v>
      </c>
      <c r="E246" s="111">
        <f>SUMIFS('Accounting data'!$G$2:$G$37000,'Accounting data'!$H$2:$H$37000,"9999*",'Accounting data'!$I$2:$I$37000,"7*",'Accounting data'!$J$2:$J$37000,"21*",'Accounting data'!$K$2:$K$37000,"65*")+SUMIFS('Accounting data'!$G$2:$G$37000,'Accounting data'!$H$2:$H$37000,"9999*",'Accounting data'!$I$2:$I$37000,"8*",'Accounting data'!$J$2:$J$37000,"21*",'Accounting data'!$K$2:$K$37000,"65*")+SUMIFS('Accounting data'!$G$2:$G$37000,'Accounting data'!$H$2:$H$37000,"9999*",'Accounting data'!$I$2:$I$37000,"9*",'Accounting data'!$J$2:$J$37000,"21*",'Accounting data'!$K$2:$K$37000,"65*")</f>
        <v>0</v>
      </c>
    </row>
    <row r="265" spans="1:5" x14ac:dyDescent="0.25">
      <c r="A265" s="113" t="s">
        <v>1024</v>
      </c>
      <c r="B265" s="113"/>
      <c r="C265" s="113"/>
      <c r="D265" s="113"/>
      <c r="E265" s="115">
        <f>((E239-E240-E241-E242-E243)+(E244+E245+E246+E247+E248+E249+E250+E251+E252))-((E253-E254-E255)+(E256+E257+E258))-((E259-E260-E261)+(E262+E263+E264))</f>
        <v>47743</v>
      </c>
    </row>
    <row r="266" spans="1:5" x14ac:dyDescent="0.25">
      <c r="A266" s="110" t="s">
        <v>990</v>
      </c>
      <c r="B266" s="110" t="s">
        <v>990</v>
      </c>
      <c r="C266" s="110">
        <v>2200</v>
      </c>
      <c r="D266" s="119" t="s">
        <v>1022</v>
      </c>
      <c r="E266" s="111">
        <f>SUMIFS('Accounting data'!$G$2:$G$37000,'Accounting data'!$J$2:$J$37000,"22*",'Accounting data'!$K$2:$K$37000,"63*")+SUMIFS('Accounting data'!$G$2:$G$37000,'Accounting data'!$J$2:$J$37000,"22*",'Accounting data'!$K$2:$K$37000,"64*")+SUMIFS('Accounting data'!$G$2:$G$37000,'Accounting data'!$J$2:$J$37000,"22*",'Accounting data'!$K$2:$K$37000,"65*")</f>
        <v>22046</v>
      </c>
    </row>
    <row r="267" spans="1:5" x14ac:dyDescent="0.25">
      <c r="A267" s="110" t="s">
        <v>991</v>
      </c>
      <c r="B267" s="110" t="s">
        <v>990</v>
      </c>
      <c r="C267" s="110">
        <v>2200</v>
      </c>
      <c r="D267" s="110">
        <v>6300</v>
      </c>
      <c r="E267" s="111">
        <f>SUMIFS('Accounting data'!$G$2:$G$37000,'Accounting data'!$H$2:$H$37000,"9999*",'Accounting data'!$J$2:$J$37000,"22*",'Accounting data'!$K$2:$K$37000,"63*")</f>
        <v>0</v>
      </c>
    </row>
    <row r="268" spans="1:5" x14ac:dyDescent="0.25">
      <c r="A268" s="110" t="s">
        <v>991</v>
      </c>
      <c r="B268" s="110" t="s">
        <v>990</v>
      </c>
      <c r="C268" s="110">
        <v>2200</v>
      </c>
      <c r="D268" s="110">
        <v>6400</v>
      </c>
      <c r="E268" s="111">
        <f>SUMIFS('Accounting data'!$G$2:$G$37000,'Accounting data'!$H$2:$H$37000,"9999*",'Accounting data'!$J$2:$J$37000,"22*",'Accounting data'!$K$2:$K$37000,"64*")</f>
        <v>0</v>
      </c>
    </row>
    <row r="269" spans="1:5" x14ac:dyDescent="0.25">
      <c r="A269" s="110" t="s">
        <v>991</v>
      </c>
      <c r="B269" s="110" t="s">
        <v>990</v>
      </c>
      <c r="C269" s="110">
        <v>2200</v>
      </c>
      <c r="D269" s="110">
        <v>6500</v>
      </c>
      <c r="E269" s="111">
        <f>SUMIFS('Accounting data'!$G$2:$G$37000,'Accounting data'!$H$2:$H$37000,"9999*",'Accounting data'!$J$2:$J$37000,"22*",'Accounting data'!$K$2:$K$37000,"65*")</f>
        <v>0</v>
      </c>
    </row>
    <row r="270" spans="1:5" x14ac:dyDescent="0.25">
      <c r="A270" s="110" t="s">
        <v>990</v>
      </c>
      <c r="B270" s="110" t="s">
        <v>992</v>
      </c>
      <c r="C270" s="110">
        <v>2200</v>
      </c>
      <c r="D270" s="119" t="s">
        <v>1022</v>
      </c>
      <c r="E270" s="111">
        <f>SUMIFS('Accounting data'!$G$2:$G$37000,'Accounting data'!$I$2:$I$37000,"7*",'Accounting data'!$J$2:$J$37000,"22*",'Accounting data'!$K$2:$K$37000,"63*")+SUMIFS('Accounting data'!$G$2:$G$37000,'Accounting data'!$I$2:$I$37000,"8*",'Accounting data'!$J$2:$J$37000,"22*",'Accounting data'!$K$2:$K$37000,"63*")+SUMIFS('Accounting data'!$G$2:$G$37000,'Accounting data'!$I$2:$I$37000,"9*",'Accounting data'!$J$2:$J$37000,"22*",'Accounting data'!$K$2:$K$37000,"63*")+SUMIFS('Accounting data'!$G$2:$G$37000,'Accounting data'!$I$2:$I$37000,"7*",'Accounting data'!$J$2:$J$37000,"22*",'Accounting data'!$K$2:$K$37000,"64*")+SUMIFS('Accounting data'!$G$2:$G$37000,'Accounting data'!$I$2:$I$37000,"8*",'Accounting data'!$J$2:$J$37000,"22*",'Accounting data'!$K$2:$K$37000,"64*")+SUMIFS('Accounting data'!$G$2:$G$37000,'Accounting data'!$I$2:$I$37000,"9*",'Accounting data'!$J$2:$J$37000,"22*",'Accounting data'!$K$2:$K$37000,"64*")+SUMIFS('Accounting data'!$G$2:$G$37000,'Accounting data'!$I$2:$I$37000,"7*",'Accounting data'!$J$2:$J$37000,"22*",'Accounting data'!$K$2:$K$37000,"65*")+SUMIFS('Accounting data'!$G$2:$G$37000,'Accounting data'!$I$2:$I$37000,"8*",'Accounting data'!$J$2:$J$37000,"22*",'Accounting data'!$K$2:$K$37000,"65*")+SUMIFS('Accounting data'!$G$2:$G$37000,'Accounting data'!$I$2:$I$37000,"9*",'Accounting data'!$J$2:$J$37000,"22*",'Accounting data'!$K$2:$K$37000,"65*")</f>
        <v>0</v>
      </c>
    </row>
    <row r="271" spans="1:5" x14ac:dyDescent="0.25">
      <c r="A271" s="112" t="s">
        <v>991</v>
      </c>
      <c r="B271" s="110" t="s">
        <v>992</v>
      </c>
      <c r="C271" s="110">
        <v>2200</v>
      </c>
      <c r="D271" s="110">
        <v>6300</v>
      </c>
      <c r="E271" s="111">
        <f>SUMIFS('Accounting data'!$G$2:$G$37000,'Accounting data'!$H$2:$H$37000,"9999*",'Accounting data'!$I$2:$I$37000,"7*",'Accounting data'!$J$2:$J$37000,"22*",'Accounting data'!$K$2:$K$37000,"63*")+SUMIFS('Accounting data'!$G$2:$G$37000,'Accounting data'!$H$2:$H$37000,"9999*",'Accounting data'!$I$2:$I$37000,"8*",'Accounting data'!$J$2:$J$37000,"22*",'Accounting data'!$K$2:$K$37000,"63*")+SUMIFS('Accounting data'!$G$2:$G$37000,'Accounting data'!$H$2:$H$37000,"9999*",'Accounting data'!$I$2:$I$37000,"9*",'Accounting data'!$J$2:$J$37000,"22*",'Accounting data'!$K$2:$K$37000,"63*")</f>
        <v>0</v>
      </c>
    </row>
    <row r="272" spans="1:5" x14ac:dyDescent="0.25">
      <c r="A272" s="112" t="s">
        <v>991</v>
      </c>
      <c r="B272" s="110" t="s">
        <v>992</v>
      </c>
      <c r="C272" s="110">
        <v>2200</v>
      </c>
      <c r="D272" s="110">
        <v>6400</v>
      </c>
      <c r="E272" s="111">
        <f>SUMIFS('Accounting data'!$G$2:$G$37000,'Accounting data'!$H$2:$H$37000,"9999*",'Accounting data'!$I$2:$I$37000,"7*",'Accounting data'!$J$2:$J$37000,"22*",'Accounting data'!$K$2:$K$37000,"64*")+SUMIFS('Accounting data'!$G$2:$G$37000,'Accounting data'!$H$2:$H$37000,"9999*",'Accounting data'!$I$2:$I$37000,"8*",'Accounting data'!$J$2:$J$37000,"22*",'Accounting data'!$K$2:$K$37000,"64*")+SUMIFS('Accounting data'!$G$2:$G$37000,'Accounting data'!$H$2:$H$37000,"9999*",'Accounting data'!$I$2:$I$37000,"9*",'Accounting data'!$J$2:$J$37000,"22*",'Accounting data'!$K$2:$K$37000,"64*")</f>
        <v>0</v>
      </c>
    </row>
    <row r="273" spans="1:5" x14ac:dyDescent="0.25">
      <c r="A273" s="112" t="s">
        <v>991</v>
      </c>
      <c r="B273" s="110" t="s">
        <v>992</v>
      </c>
      <c r="C273" s="110">
        <v>2200</v>
      </c>
      <c r="D273" s="110">
        <v>6500</v>
      </c>
      <c r="E273" s="111">
        <f>SUMIFS('Accounting data'!$G$2:$G$37000,'Accounting data'!$H$2:$H$37000,"9999*",'Accounting data'!$I$2:$I$37000,"7*",'Accounting data'!$J$2:$J$37000,"22*",'Accounting data'!$K$2:$K$37000,"65*")+SUMIFS('Accounting data'!$G$2:$G$37000,'Accounting data'!$H$2:$H$37000,"9999*",'Accounting data'!$I$2:$I$37000,"8*",'Accounting data'!$J$2:$J$37000,"22*",'Accounting data'!$K$2:$K$37000,"65*")+SUMIFS('Accounting data'!$G$2:$G$37000,'Accounting data'!$H$2:$H$37000,"9999*",'Accounting data'!$I$2:$I$37000,"9*",'Accounting data'!$J$2:$J$37000,"22*",'Accounting data'!$K$2:$K$37000,"65*")</f>
        <v>0</v>
      </c>
    </row>
    <row r="292" spans="1:5" x14ac:dyDescent="0.25">
      <c r="A292" s="113" t="s">
        <v>1025</v>
      </c>
      <c r="B292" s="113"/>
      <c r="C292" s="113"/>
      <c r="D292" s="113"/>
      <c r="E292" s="115">
        <f>((E266-E267-E268-E269-E270)+(E271+E272+E273+E274+E275+E276+E277+E278+E279))-((E280-E281-E282)+(E283+E284+E285))-((E286-E287-E288)+(E289+E290+E291))</f>
        <v>22046</v>
      </c>
    </row>
    <row r="293" spans="1:5" x14ac:dyDescent="0.25">
      <c r="A293" s="110" t="s">
        <v>990</v>
      </c>
      <c r="B293" s="110" t="s">
        <v>990</v>
      </c>
      <c r="C293" s="110">
        <v>2300</v>
      </c>
      <c r="D293" s="119" t="s">
        <v>1022</v>
      </c>
      <c r="E293" s="111">
        <f>SUMIFS('Accounting data'!$G$2:$G$37000,'Accounting data'!$J$2:$J$37000,"23*",'Accounting data'!$K$2:$K$37000,"63*")+SUMIFS('Accounting data'!$G$2:$G$37000,'Accounting data'!$J$2:$J$37000,"23*",'Accounting data'!$K$2:$K$37000,"64*")+SUMIFS('Accounting data'!$G$2:$G$37000,'Accounting data'!$J$2:$J$37000,"23*",'Accounting data'!$K$2:$K$37000,"65*")</f>
        <v>17872</v>
      </c>
    </row>
    <row r="294" spans="1:5" x14ac:dyDescent="0.25">
      <c r="A294" s="110" t="s">
        <v>991</v>
      </c>
      <c r="B294" s="110" t="s">
        <v>990</v>
      </c>
      <c r="C294" s="110">
        <v>2300</v>
      </c>
      <c r="D294" s="110">
        <v>6300</v>
      </c>
      <c r="E294" s="111">
        <f>SUMIFS('Accounting data'!$G$2:$G$37000,'Accounting data'!$H$2:$H$37000,"9999*",'Accounting data'!$J$2:$J$37000,"23*",'Accounting data'!$K$2:$K$37000,"63*")</f>
        <v>0</v>
      </c>
    </row>
    <row r="295" spans="1:5" x14ac:dyDescent="0.25">
      <c r="A295" s="110" t="s">
        <v>991</v>
      </c>
      <c r="B295" s="110" t="s">
        <v>990</v>
      </c>
      <c r="C295" s="110">
        <v>2300</v>
      </c>
      <c r="D295" s="110">
        <v>6400</v>
      </c>
      <c r="E295" s="111">
        <f>SUMIFS('Accounting data'!$G$2:$G$37000,'Accounting data'!$H$2:$H$37000,"9999*",'Accounting data'!$J$2:$J$37000,"23*",'Accounting data'!$K$2:$K$37000,"64*")</f>
        <v>0</v>
      </c>
    </row>
    <row r="296" spans="1:5" x14ac:dyDescent="0.25">
      <c r="A296" s="110" t="s">
        <v>991</v>
      </c>
      <c r="B296" s="110" t="s">
        <v>990</v>
      </c>
      <c r="C296" s="110">
        <v>2300</v>
      </c>
      <c r="D296" s="110">
        <v>6500</v>
      </c>
      <c r="E296" s="111">
        <f>SUMIFS('Accounting data'!$G$2:$G$37000,'Accounting data'!$H$2:$H$37000,"9999*",'Accounting data'!$J$2:$J$37000,"23*",'Accounting data'!$K$2:$K$37000,"65*")</f>
        <v>0</v>
      </c>
    </row>
    <row r="297" spans="1:5" x14ac:dyDescent="0.25">
      <c r="A297" s="110" t="s">
        <v>990</v>
      </c>
      <c r="B297" s="110" t="s">
        <v>992</v>
      </c>
      <c r="C297" s="110">
        <v>2300</v>
      </c>
      <c r="D297" s="119" t="s">
        <v>1022</v>
      </c>
      <c r="E297" s="111">
        <f>SUMIFS('Accounting data'!$G$2:$G$37000,'Accounting data'!$I$2:$I$37000,"7*",'Accounting data'!$J$2:$J$37000,"23*",'Accounting data'!$K$2:$K$37000,"63*")+SUMIFS('Accounting data'!$G$2:$G$37000,'Accounting data'!$I$2:$I$37000,"8*",'Accounting data'!$J$2:$J$37000,"23*",'Accounting data'!$K$2:$K$37000,"63*")+SUMIFS('Accounting data'!$G$2:$G$37000,'Accounting data'!$I$2:$I$37000,"9*",'Accounting data'!$J$2:$J$37000,"23*",'Accounting data'!$K$2:$K$37000,"63*")+SUMIFS('Accounting data'!$G$2:$G$37000,'Accounting data'!$I$2:$I$37000,"7*",'Accounting data'!$J$2:$J$37000,"23*",'Accounting data'!$K$2:$K$37000,"64*")+SUMIFS('Accounting data'!$G$2:$G$37000,'Accounting data'!$I$2:$I$37000,"8*",'Accounting data'!$J$2:$J$37000,"23*",'Accounting data'!$K$2:$K$37000,"64*")+SUMIFS('Accounting data'!$G$2:$G$37000,'Accounting data'!$I$2:$I$37000,"9*",'Accounting data'!$J$2:$J$37000,"23*",'Accounting data'!$K$2:$K$37000,"64*")+SUMIFS('Accounting data'!$G$2:$G$37000,'Accounting data'!$I$2:$I$37000,"7*",'Accounting data'!$J$2:$J$37000,"23*",'Accounting data'!$K$2:$K$37000,"65*")+SUMIFS('Accounting data'!$G$2:$G$37000,'Accounting data'!$I$2:$I$37000,"8*",'Accounting data'!$J$2:$J$37000,"23*",'Accounting data'!$K$2:$K$37000,"65*")+SUMIFS('Accounting data'!$G$2:$G$37000,'Accounting data'!$I$2:$I$37000,"9*",'Accounting data'!$J$2:$J$37000,"23*",'Accounting data'!$K$2:$K$37000,"65*")</f>
        <v>0</v>
      </c>
    </row>
    <row r="298" spans="1:5" x14ac:dyDescent="0.25">
      <c r="A298" s="112" t="s">
        <v>991</v>
      </c>
      <c r="B298" s="110" t="s">
        <v>992</v>
      </c>
      <c r="C298" s="110">
        <v>2300</v>
      </c>
      <c r="D298" s="110">
        <v>6300</v>
      </c>
      <c r="E298" s="111">
        <f>SUMIFS('Accounting data'!$G$2:$G$37000,'Accounting data'!$H$2:$H$37000,"9999*",'Accounting data'!$I$2:$I$37000,"7*",'Accounting data'!$J$2:$J$37000,"23*",'Accounting data'!$K$2:$K$37000,"63*")+SUMIFS('Accounting data'!$G$2:$G$37000,'Accounting data'!$H$2:$H$37000,"9999*",'Accounting data'!$I$2:$I$37000,"8*",'Accounting data'!$J$2:$J$37000,"23*",'Accounting data'!$K$2:$K$37000,"63*")+SUMIFS('Accounting data'!$G$2:$G$37000,'Accounting data'!$H$2:$H$37000,"9999*",'Accounting data'!$I$2:$I$37000,"9*",'Accounting data'!$J$2:$J$37000,"23*",'Accounting data'!$K$2:$K$37000,"63*")</f>
        <v>0</v>
      </c>
    </row>
    <row r="299" spans="1:5" x14ac:dyDescent="0.25">
      <c r="A299" s="112" t="s">
        <v>991</v>
      </c>
      <c r="B299" s="110" t="s">
        <v>992</v>
      </c>
      <c r="C299" s="110">
        <v>2300</v>
      </c>
      <c r="D299" s="110">
        <v>6400</v>
      </c>
      <c r="E299" s="111">
        <f>SUMIFS('Accounting data'!$G$2:$G$37000,'Accounting data'!$H$2:$H$37000,"9999*",'Accounting data'!$I$2:$I$37000,"7*",'Accounting data'!$J$2:$J$37000,"23*",'Accounting data'!$K$2:$K$37000,"64*")+SUMIFS('Accounting data'!$G$2:$G$37000,'Accounting data'!$H$2:$H$37000,"9999*",'Accounting data'!$I$2:$I$37000,"8*",'Accounting data'!$J$2:$J$37000,"23*",'Accounting data'!$K$2:$K$37000,"64*")+SUMIFS('Accounting data'!$G$2:$G$37000,'Accounting data'!$H$2:$H$37000,"9999*",'Accounting data'!$I$2:$I$37000,"9*",'Accounting data'!$J$2:$J$37000,"23*",'Accounting data'!$K$2:$K$37000,"64*")</f>
        <v>0</v>
      </c>
    </row>
    <row r="300" spans="1:5" x14ac:dyDescent="0.25">
      <c r="A300" s="112" t="s">
        <v>991</v>
      </c>
      <c r="B300" s="110" t="s">
        <v>992</v>
      </c>
      <c r="C300" s="110">
        <v>2300</v>
      </c>
      <c r="D300" s="110">
        <v>6500</v>
      </c>
      <c r="E300" s="111">
        <f>SUMIFS('Accounting data'!$G$2:$G$37000,'Accounting data'!$H$2:$H$37000,"9999*",'Accounting data'!$I$2:$I$37000,"7*",'Accounting data'!$J$2:$J$37000,"23*",'Accounting data'!$K$2:$K$37000,"65*")+SUMIFS('Accounting data'!$G$2:$G$37000,'Accounting data'!$H$2:$H$37000,"9999*",'Accounting data'!$I$2:$I$37000,"8*",'Accounting data'!$J$2:$J$37000,"23*",'Accounting data'!$K$2:$K$37000,"65*")+SUMIFS('Accounting data'!$G$2:$G$37000,'Accounting data'!$H$2:$H$37000,"9999*",'Accounting data'!$I$2:$I$37000,"9*",'Accounting data'!$J$2:$J$37000,"23*",'Accounting data'!$K$2:$K$37000,"65*")</f>
        <v>0</v>
      </c>
    </row>
    <row r="319" spans="1:5" x14ac:dyDescent="0.25">
      <c r="A319" s="113" t="s">
        <v>1026</v>
      </c>
      <c r="B319" s="113"/>
      <c r="C319" s="113"/>
      <c r="D319" s="113"/>
      <c r="E319" s="115">
        <f>((E293-E294-E295-E296-E297)+(E298+E299+E300+E301+E302+E303+E304+E305+E306))-((E307-E308-E309)+(E310+E311+E312))-((E313-E314-E315)+(E316+E317+E318))</f>
        <v>17872</v>
      </c>
    </row>
    <row r="320" spans="1:5" x14ac:dyDescent="0.25">
      <c r="A320" s="110" t="s">
        <v>990</v>
      </c>
      <c r="B320" s="110" t="s">
        <v>990</v>
      </c>
      <c r="C320" s="110">
        <v>2400</v>
      </c>
      <c r="D320" s="119" t="s">
        <v>1022</v>
      </c>
      <c r="E320" s="111">
        <f>SUMIFS('Accounting data'!$G$2:$G$37000,'Accounting data'!$J$2:$J$37000,"24*",'Accounting data'!$K$2:$K$37000,"63*")+SUMIFS('Accounting data'!$G$2:$G$37000,'Accounting data'!$J$2:$J$37000,"24*",'Accounting data'!$K$2:$K$37000,"64*")+SUMIFS('Accounting data'!$G$2:$G$37000,'Accounting data'!$J$2:$J$37000,"24*",'Accounting data'!$K$2:$K$37000,"65*")</f>
        <v>64833</v>
      </c>
    </row>
    <row r="321" spans="1:5" x14ac:dyDescent="0.25">
      <c r="A321" s="110" t="s">
        <v>991</v>
      </c>
      <c r="B321" s="110" t="s">
        <v>990</v>
      </c>
      <c r="C321" s="110">
        <v>2400</v>
      </c>
      <c r="D321" s="110">
        <v>6300</v>
      </c>
      <c r="E321" s="111">
        <f>SUMIFS('Accounting data'!$G$2:$G$37000,'Accounting data'!$H$2:$H$37000,"9999*",'Accounting data'!$J$2:$J$37000,"24*",'Accounting data'!$K$2:$K$37000,"63*")</f>
        <v>0</v>
      </c>
    </row>
    <row r="322" spans="1:5" x14ac:dyDescent="0.25">
      <c r="A322" s="110" t="s">
        <v>991</v>
      </c>
      <c r="B322" s="110" t="s">
        <v>990</v>
      </c>
      <c r="C322" s="110">
        <v>2400</v>
      </c>
      <c r="D322" s="110">
        <v>6400</v>
      </c>
      <c r="E322" s="111">
        <f>SUMIFS('Accounting data'!$G$2:$G$37000,'Accounting data'!$H$2:$H$37000,"9999*",'Accounting data'!$J$2:$J$37000,"24*",'Accounting data'!$K$2:$K$37000,"64*")</f>
        <v>0</v>
      </c>
    </row>
    <row r="323" spans="1:5" x14ac:dyDescent="0.25">
      <c r="A323" s="110" t="s">
        <v>991</v>
      </c>
      <c r="B323" s="110" t="s">
        <v>990</v>
      </c>
      <c r="C323" s="110">
        <v>2400</v>
      </c>
      <c r="D323" s="110">
        <v>6500</v>
      </c>
      <c r="E323" s="111">
        <f>SUMIFS('Accounting data'!$G$2:$G$37000,'Accounting data'!$H$2:$H$37000,"9999*",'Accounting data'!$J$2:$J$37000,"24*",'Accounting data'!$K$2:$K$37000,"65*")</f>
        <v>0</v>
      </c>
    </row>
    <row r="324" spans="1:5" x14ac:dyDescent="0.25">
      <c r="A324" s="110" t="s">
        <v>990</v>
      </c>
      <c r="B324" s="110" t="s">
        <v>992</v>
      </c>
      <c r="C324" s="110">
        <v>2400</v>
      </c>
      <c r="D324" s="119" t="s">
        <v>1022</v>
      </c>
      <c r="E324" s="111">
        <f>SUMIFS('Accounting data'!$G$2:$G$37000,'Accounting data'!$I$2:$I$37000,"7*",'Accounting data'!$J$2:$J$37000,"24*",'Accounting data'!$K$2:$K$37000,"63*")+SUMIFS('Accounting data'!$G$2:$G$37000,'Accounting data'!$I$2:$I$37000,"8*",'Accounting data'!$J$2:$J$37000,"24*",'Accounting data'!$K$2:$K$37000,"63*")+SUMIFS('Accounting data'!$G$2:$G$37000,'Accounting data'!$I$2:$I$37000,"9*",'Accounting data'!$J$2:$J$37000,"24*",'Accounting data'!$K$2:$K$37000,"63*")+SUMIFS('Accounting data'!$G$2:$G$37000,'Accounting data'!$I$2:$I$37000,"7*",'Accounting data'!$J$2:$J$37000,"24*",'Accounting data'!$K$2:$K$37000,"64*")+SUMIFS('Accounting data'!$G$2:$G$37000,'Accounting data'!$I$2:$I$37000,"8*",'Accounting data'!$J$2:$J$37000,"24*",'Accounting data'!$K$2:$K$37000,"64*")+SUMIFS('Accounting data'!$G$2:$G$37000,'Accounting data'!$I$2:$I$37000,"9*",'Accounting data'!$J$2:$J$37000,"24*",'Accounting data'!$K$2:$K$37000,"64*")+SUMIFS('Accounting data'!$G$2:$G$37000,'Accounting data'!$I$2:$I$37000,"7*",'Accounting data'!$J$2:$J$37000,"24*",'Accounting data'!$K$2:$K$37000,"65*")+SUMIFS('Accounting data'!$G$2:$G$37000,'Accounting data'!$I$2:$I$37000,"8*",'Accounting data'!$J$2:$J$37000,"24*",'Accounting data'!$K$2:$K$37000,"65*")+SUMIFS('Accounting data'!$G$2:$G$37000,'Accounting data'!$I$2:$I$37000,"9*",'Accounting data'!$J$2:$J$37000,"24*",'Accounting data'!$K$2:$K$37000,"65*")</f>
        <v>0</v>
      </c>
    </row>
    <row r="325" spans="1:5" x14ac:dyDescent="0.25">
      <c r="A325" s="112" t="s">
        <v>991</v>
      </c>
      <c r="B325" s="110" t="s">
        <v>992</v>
      </c>
      <c r="C325" s="110">
        <v>2400</v>
      </c>
      <c r="D325" s="110">
        <v>6300</v>
      </c>
      <c r="E325" s="111">
        <f>SUMIFS('Accounting data'!$G$2:$G$37000,'Accounting data'!$H$2:$H$37000,"9999*",'Accounting data'!$I$2:$I$37000,"7*",'Accounting data'!$J$2:$J$37000,"24*",'Accounting data'!$K$2:$K$37000,"63*")+SUMIFS('Accounting data'!$G$2:$G$37000,'Accounting data'!$H$2:$H$37000,"9999*",'Accounting data'!$I$2:$I$37000,"8*",'Accounting data'!$J$2:$J$37000,"24*",'Accounting data'!$K$2:$K$37000,"63*")+SUMIFS('Accounting data'!$G$2:$G$37000,'Accounting data'!$H$2:$H$37000,"9999*",'Accounting data'!$I$2:$I$37000,"9*",'Accounting data'!$J$2:$J$37000,"24*",'Accounting data'!$K$2:$K$37000,"63*")</f>
        <v>0</v>
      </c>
    </row>
    <row r="326" spans="1:5" x14ac:dyDescent="0.25">
      <c r="A326" s="112" t="s">
        <v>991</v>
      </c>
      <c r="B326" s="110" t="s">
        <v>992</v>
      </c>
      <c r="C326" s="110">
        <v>2400</v>
      </c>
      <c r="D326" s="110">
        <v>6400</v>
      </c>
      <c r="E326" s="111">
        <f>SUMIFS('Accounting data'!$G$2:$G$37000,'Accounting data'!$H$2:$H$37000,"9999*",'Accounting data'!$I$2:$I$37000,"7*",'Accounting data'!$J$2:$J$37000,"24*",'Accounting data'!$K$2:$K$37000,"64*")+SUMIFS('Accounting data'!$G$2:$G$37000,'Accounting data'!$H$2:$H$37000,"9999*",'Accounting data'!$I$2:$I$37000,"8*",'Accounting data'!$J$2:$J$37000,"24*",'Accounting data'!$K$2:$K$37000,"64*")+SUMIFS('Accounting data'!$G$2:$G$37000,'Accounting data'!$H$2:$H$37000,"9999*",'Accounting data'!$I$2:$I$37000,"9*",'Accounting data'!$J$2:$J$37000,"24*",'Accounting data'!$K$2:$K$37000,"64*")</f>
        <v>0</v>
      </c>
    </row>
    <row r="327" spans="1:5" x14ac:dyDescent="0.25">
      <c r="A327" s="112" t="s">
        <v>991</v>
      </c>
      <c r="B327" s="110" t="s">
        <v>992</v>
      </c>
      <c r="C327" s="110">
        <v>2400</v>
      </c>
      <c r="D327" s="110">
        <v>6500</v>
      </c>
      <c r="E327" s="111">
        <f>SUMIFS('Accounting data'!$G$2:$G$37000,'Accounting data'!$H$2:$H$37000,"9999*",'Accounting data'!$I$2:$I$37000,"7*",'Accounting data'!$J$2:$J$37000,"24*",'Accounting data'!$K$2:$K$37000,"65*")+SUMIFS('Accounting data'!$G$2:$G$37000,'Accounting data'!$H$2:$H$37000,"9999*",'Accounting data'!$I$2:$I$37000,"8*",'Accounting data'!$J$2:$J$37000,"24*",'Accounting data'!$K$2:$K$37000,"65*")+SUMIFS('Accounting data'!$G$2:$G$37000,'Accounting data'!$H$2:$H$37000,"9999*",'Accounting data'!$I$2:$I$37000,"9*",'Accounting data'!$J$2:$J$37000,"24*",'Accounting data'!$K$2:$K$37000,"65*")</f>
        <v>0</v>
      </c>
    </row>
    <row r="346" spans="1:5" x14ac:dyDescent="0.25">
      <c r="A346" s="113" t="s">
        <v>1027</v>
      </c>
      <c r="B346" s="113"/>
      <c r="C346" s="113"/>
      <c r="D346" s="113"/>
      <c r="E346" s="115">
        <f>((E320-E321-E322-E323-E324)+(E325+E326+E327+E328+E329+E330+E331+E332+E333))-((E334-E335-E336)+(E337+E338+E339))-((E340-E341-E342)+(E343+E344+E345))</f>
        <v>64833</v>
      </c>
    </row>
    <row r="347" spans="1:5" x14ac:dyDescent="0.25">
      <c r="A347" s="110" t="s">
        <v>990</v>
      </c>
      <c r="B347" s="110" t="s">
        <v>990</v>
      </c>
      <c r="C347" s="110">
        <v>2500</v>
      </c>
      <c r="D347" s="119" t="s">
        <v>1022</v>
      </c>
      <c r="E347" s="111">
        <f>SUMIFS('Accounting data'!$G$2:$G$37000,'Accounting data'!$J$2:$J$37000,"25*",'Accounting data'!$K$2:$K$37000,"63*")+SUMIFS('Accounting data'!$G$2:$G$37000,'Accounting data'!$J$2:$J$37000,"25*",'Accounting data'!$K$2:$K$37000,"64*")+SUMIFS('Accounting data'!$G$2:$G$37000,'Accounting data'!$J$2:$J$37000,"25*",'Accounting data'!$K$2:$K$37000,"65*")</f>
        <v>46655</v>
      </c>
    </row>
    <row r="348" spans="1:5" x14ac:dyDescent="0.25">
      <c r="A348" s="110" t="s">
        <v>991</v>
      </c>
      <c r="B348" s="110" t="s">
        <v>990</v>
      </c>
      <c r="C348" s="110">
        <v>2500</v>
      </c>
      <c r="D348" s="110">
        <v>6300</v>
      </c>
      <c r="E348" s="111">
        <f>SUMIFS('Accounting data'!$G$2:$G$37000,'Accounting data'!$H$2:$H$37000,"9999*",'Accounting data'!$J$2:$J$37000,"25*",'Accounting data'!$K$2:$K$37000,"63*")</f>
        <v>0</v>
      </c>
    </row>
    <row r="349" spans="1:5" x14ac:dyDescent="0.25">
      <c r="A349" s="110" t="s">
        <v>991</v>
      </c>
      <c r="B349" s="110" t="s">
        <v>990</v>
      </c>
      <c r="C349" s="110">
        <v>2500</v>
      </c>
      <c r="D349" s="110">
        <v>6400</v>
      </c>
      <c r="E349" s="111">
        <f>SUMIFS('Accounting data'!$G$2:$G$37000,'Accounting data'!$H$2:$H$37000,"9999*",'Accounting data'!$J$2:$J$37000,"25*",'Accounting data'!$K$2:$K$37000,"64*")</f>
        <v>0</v>
      </c>
    </row>
    <row r="350" spans="1:5" x14ac:dyDescent="0.25">
      <c r="A350" s="110" t="s">
        <v>991</v>
      </c>
      <c r="B350" s="110" t="s">
        <v>990</v>
      </c>
      <c r="C350" s="110">
        <v>2500</v>
      </c>
      <c r="D350" s="110">
        <v>6500</v>
      </c>
      <c r="E350" s="111">
        <f>SUMIFS('Accounting data'!$G$2:$G$37000,'Accounting data'!$H$2:$H$37000,"9999*",'Accounting data'!$J$2:$J$37000,"25*",'Accounting data'!$K$2:$K$37000,"65*")</f>
        <v>0</v>
      </c>
    </row>
    <row r="351" spans="1:5" x14ac:dyDescent="0.25">
      <c r="A351" s="110" t="s">
        <v>990</v>
      </c>
      <c r="B351" s="110" t="s">
        <v>992</v>
      </c>
      <c r="C351" s="110">
        <v>2500</v>
      </c>
      <c r="D351" s="119" t="s">
        <v>1022</v>
      </c>
      <c r="E351" s="111">
        <f>SUMIFS('Accounting data'!$G$2:$G$37000,'Accounting data'!$I$2:$I$37000,"7*",'Accounting data'!$J$2:$J$37000,"25*",'Accounting data'!$K$2:$K$37000,"63*")+SUMIFS('Accounting data'!$G$2:$G$37000,'Accounting data'!$I$2:$I$37000,"8*",'Accounting data'!$J$2:$J$37000,"25*",'Accounting data'!$K$2:$K$37000,"63*")+SUMIFS('Accounting data'!$G$2:$G$37000,'Accounting data'!$I$2:$I$37000,"9*",'Accounting data'!$J$2:$J$37000,"25*",'Accounting data'!$K$2:$K$37000,"63*")+SUMIFS('Accounting data'!$G$2:$G$37000,'Accounting data'!$I$2:$I$37000,"7*",'Accounting data'!$J$2:$J$37000,"25*",'Accounting data'!$K$2:$K$37000,"64*")+SUMIFS('Accounting data'!$G$2:$G$37000,'Accounting data'!$I$2:$I$37000,"8*",'Accounting data'!$J$2:$J$37000,"25*",'Accounting data'!$K$2:$K$37000,"64*")+SUMIFS('Accounting data'!$G$2:$G$37000,'Accounting data'!$I$2:$I$37000,"9*",'Accounting data'!$J$2:$J$37000,"25*",'Accounting data'!$K$2:$K$37000,"64*")+SUMIFS('Accounting data'!$G$2:$G$37000,'Accounting data'!$I$2:$I$37000,"7*",'Accounting data'!$J$2:$J$37000,"25*",'Accounting data'!$K$2:$K$37000,"65*")+SUMIFS('Accounting data'!$G$2:$G$37000,'Accounting data'!$I$2:$I$37000,"8*",'Accounting data'!$J$2:$J$37000,"25*",'Accounting data'!$K$2:$K$37000,"65*")+SUMIFS('Accounting data'!$G$2:$G$37000,'Accounting data'!$I$2:$I$37000,"9*",'Accounting data'!$J$2:$J$37000,"25*",'Accounting data'!$K$2:$K$37000,"65*")</f>
        <v>0</v>
      </c>
    </row>
    <row r="352" spans="1:5" x14ac:dyDescent="0.25">
      <c r="A352" s="112" t="s">
        <v>991</v>
      </c>
      <c r="B352" s="110" t="s">
        <v>992</v>
      </c>
      <c r="C352" s="110">
        <v>2500</v>
      </c>
      <c r="D352" s="110">
        <v>6300</v>
      </c>
      <c r="E352" s="111">
        <f>SUMIFS('Accounting data'!$G$2:$G$37000,'Accounting data'!$H$2:$H$37000,"9999*",'Accounting data'!$I$2:$I$37000,"7*",'Accounting data'!$J$2:$J$37000,"25*",'Accounting data'!$K$2:$K$37000,"63*")+SUMIFS('Accounting data'!$G$2:$G$37000,'Accounting data'!$H$2:$H$37000,"9999*",'Accounting data'!$I$2:$I$37000,"8*",'Accounting data'!$J$2:$J$37000,"25*",'Accounting data'!$K$2:$K$37000,"63*")+SUMIFS('Accounting data'!$G$2:$G$37000,'Accounting data'!$H$2:$H$37000,"9999*",'Accounting data'!$I$2:$I$37000,"9*",'Accounting data'!$J$2:$J$37000,"25*",'Accounting data'!$K$2:$K$37000,"63*")</f>
        <v>0</v>
      </c>
    </row>
    <row r="353" spans="1:5" x14ac:dyDescent="0.25">
      <c r="A353" s="112" t="s">
        <v>991</v>
      </c>
      <c r="B353" s="110" t="s">
        <v>992</v>
      </c>
      <c r="C353" s="110">
        <v>2500</v>
      </c>
      <c r="D353" s="110">
        <v>6400</v>
      </c>
      <c r="E353" s="111">
        <f>SUMIFS('Accounting data'!$G$2:$G$37000,'Accounting data'!$H$2:$H$37000,"9999*",'Accounting data'!$I$2:$I$37000,"7*",'Accounting data'!$J$2:$J$37000,"25*",'Accounting data'!$K$2:$K$37000,"64*")+SUMIFS('Accounting data'!$G$2:$G$37000,'Accounting data'!$H$2:$H$37000,"9999*",'Accounting data'!$I$2:$I$37000,"8*",'Accounting data'!$J$2:$J$37000,"25*",'Accounting data'!$K$2:$K$37000,"64*")+SUMIFS('Accounting data'!$G$2:$G$37000,'Accounting data'!$H$2:$H$37000,"9999*",'Accounting data'!$I$2:$I$37000,"9*",'Accounting data'!$J$2:$J$37000,"25*",'Accounting data'!$K$2:$K$37000,"64*")</f>
        <v>0</v>
      </c>
    </row>
    <row r="354" spans="1:5" x14ac:dyDescent="0.25">
      <c r="A354" s="112" t="s">
        <v>991</v>
      </c>
      <c r="B354" s="110" t="s">
        <v>992</v>
      </c>
      <c r="C354" s="110">
        <v>2500</v>
      </c>
      <c r="D354" s="110">
        <v>6500</v>
      </c>
      <c r="E354" s="111">
        <f>SUMIFS('Accounting data'!$G$2:$G$37000,'Accounting data'!$H$2:$H$37000,"9999*",'Accounting data'!$I$2:$I$37000,"7*",'Accounting data'!$J$2:$J$37000,"25*",'Accounting data'!$K$2:$K$37000,"65*")+SUMIFS('Accounting data'!$G$2:$G$37000,'Accounting data'!$H$2:$H$37000,"9999*",'Accounting data'!$I$2:$I$37000,"8*",'Accounting data'!$J$2:$J$37000,"25*",'Accounting data'!$K$2:$K$37000,"65*")+SUMIFS('Accounting data'!$G$2:$G$37000,'Accounting data'!$H$2:$H$37000,"9999*",'Accounting data'!$I$2:$I$37000,"9*",'Accounting data'!$J$2:$J$37000,"25*",'Accounting data'!$K$2:$K$37000,"65*")</f>
        <v>0</v>
      </c>
    </row>
    <row r="373" spans="1:5" x14ac:dyDescent="0.25">
      <c r="A373" s="113" t="s">
        <v>1028</v>
      </c>
      <c r="B373" s="113"/>
      <c r="C373" s="113"/>
      <c r="D373" s="113"/>
      <c r="E373" s="115">
        <f>((E347-E348-E349-E350-E351)+(E352+E353+E354+E355+E356+E357+E358+E359+E360))-((E361-E362-E363)+(E364+E365+E366))-((E367-E368-E369)+(E370+E371+E372))</f>
        <v>46655</v>
      </c>
    </row>
    <row r="374" spans="1:5" x14ac:dyDescent="0.25">
      <c r="A374" s="110" t="s">
        <v>990</v>
      </c>
      <c r="B374" s="110" t="s">
        <v>990</v>
      </c>
      <c r="C374" s="110">
        <v>2900</v>
      </c>
      <c r="D374" s="119" t="s">
        <v>1022</v>
      </c>
      <c r="E374" s="111">
        <f>SUMIFS('Accounting data'!$G$2:$G$37000,'Accounting data'!$J$2:$J$37000,"29*",'Accounting data'!$K$2:$K$37000,"63*")+SUMIFS('Accounting data'!$G$2:$G$37000,'Accounting data'!$J$2:$J$37000,"29*",'Accounting data'!$K$2:$K$37000,"64*")+SUMIFS('Accounting data'!$G$2:$G$37000,'Accounting data'!$J$2:$J$37000,"29*",'Accounting data'!$K$2:$K$37000,"65*")</f>
        <v>0</v>
      </c>
    </row>
    <row r="375" spans="1:5" x14ac:dyDescent="0.25">
      <c r="A375" s="110" t="s">
        <v>991</v>
      </c>
      <c r="B375" s="110" t="s">
        <v>990</v>
      </c>
      <c r="C375" s="110">
        <v>2900</v>
      </c>
      <c r="D375" s="110">
        <v>6300</v>
      </c>
      <c r="E375" s="111">
        <f>SUMIFS('Accounting data'!$G$2:$G$37000,'Accounting data'!$H$2:$H$37000,"9999*",'Accounting data'!$J$2:$J$37000,"29*",'Accounting data'!$K$2:$K$37000,"63*")</f>
        <v>0</v>
      </c>
    </row>
    <row r="376" spans="1:5" x14ac:dyDescent="0.25">
      <c r="A376" s="110" t="s">
        <v>991</v>
      </c>
      <c r="B376" s="110" t="s">
        <v>990</v>
      </c>
      <c r="C376" s="110">
        <v>2900</v>
      </c>
      <c r="D376" s="110">
        <v>6400</v>
      </c>
      <c r="E376" s="111">
        <f>SUMIFS('Accounting data'!$G$2:$G$37000,'Accounting data'!$H$2:$H$37000,"9999*",'Accounting data'!$J$2:$J$37000,"29*",'Accounting data'!$K$2:$K$37000,"64*")</f>
        <v>0</v>
      </c>
    </row>
    <row r="377" spans="1:5" x14ac:dyDescent="0.25">
      <c r="A377" s="110" t="s">
        <v>991</v>
      </c>
      <c r="B377" s="110" t="s">
        <v>990</v>
      </c>
      <c r="C377" s="110">
        <v>2900</v>
      </c>
      <c r="D377" s="110">
        <v>6500</v>
      </c>
      <c r="E377" s="111">
        <f>SUMIFS('Accounting data'!$G$2:$G$37000,'Accounting data'!$H$2:$H$37000,"9999*",'Accounting data'!$J$2:$J$37000,"29*",'Accounting data'!$K$2:$K$37000,"65*")</f>
        <v>0</v>
      </c>
    </row>
    <row r="378" spans="1:5" x14ac:dyDescent="0.25">
      <c r="A378" s="110" t="s">
        <v>990</v>
      </c>
      <c r="B378" s="110" t="s">
        <v>992</v>
      </c>
      <c r="C378" s="110">
        <v>2900</v>
      </c>
      <c r="D378" s="119" t="s">
        <v>1022</v>
      </c>
      <c r="E378" s="111">
        <f>SUMIFS('Accounting data'!$G$2:$G$37000,'Accounting data'!$I$2:$I$37000,"7*",'Accounting data'!$J$2:$J$37000,"29*",'Accounting data'!$K$2:$K$37000,"63*")+SUMIFS('Accounting data'!$G$2:$G$37000,'Accounting data'!$I$2:$I$37000,"8*",'Accounting data'!$J$2:$J$37000,"29*",'Accounting data'!$K$2:$K$37000,"63*")+SUMIFS('Accounting data'!$G$2:$G$37000,'Accounting data'!$I$2:$I$37000,"9*",'Accounting data'!$J$2:$J$37000,"29*",'Accounting data'!$K$2:$K$37000,"63*")+SUMIFS('Accounting data'!$G$2:$G$37000,'Accounting data'!$I$2:$I$37000,"7*",'Accounting data'!$J$2:$J$37000,"29*",'Accounting data'!$K$2:$K$37000,"64*")+SUMIFS('Accounting data'!$G$2:$G$37000,'Accounting data'!$I$2:$I$37000,"8*",'Accounting data'!$J$2:$J$37000,"29*",'Accounting data'!$K$2:$K$37000,"64*")+SUMIFS('Accounting data'!$G$2:$G$37000,'Accounting data'!$I$2:$I$37000,"9*",'Accounting data'!$J$2:$J$37000,"29*",'Accounting data'!$K$2:$K$37000,"64*")+SUMIFS('Accounting data'!$G$2:$G$37000,'Accounting data'!$I$2:$I$37000,"7*",'Accounting data'!$J$2:$J$37000,"29*",'Accounting data'!$K$2:$K$37000,"65*")+SUMIFS('Accounting data'!$G$2:$G$37000,'Accounting data'!$I$2:$I$37000,"8*",'Accounting data'!$J$2:$J$37000,"29*",'Accounting data'!$K$2:$K$37000,"65*")+SUMIFS('Accounting data'!$G$2:$G$37000,'Accounting data'!$I$2:$I$37000,"9*",'Accounting data'!$J$2:$J$37000,"29*",'Accounting data'!$K$2:$K$37000,"65*")</f>
        <v>0</v>
      </c>
    </row>
    <row r="379" spans="1:5" x14ac:dyDescent="0.25">
      <c r="A379" s="112" t="s">
        <v>991</v>
      </c>
      <c r="B379" s="110" t="s">
        <v>992</v>
      </c>
      <c r="C379" s="110">
        <v>2900</v>
      </c>
      <c r="D379" s="110">
        <v>6300</v>
      </c>
      <c r="E379" s="111">
        <f>SUMIFS('Accounting data'!$G$2:$G$37000,'Accounting data'!$H$2:$H$37000,"9999*",'Accounting data'!$I$2:$I$37000,"7*",'Accounting data'!$J$2:$J$37000,"29*",'Accounting data'!$K$2:$K$37000,"63*")+SUMIFS('Accounting data'!$G$2:$G$37000,'Accounting data'!$H$2:$H$37000,"9999*",'Accounting data'!$I$2:$I$37000,"8*",'Accounting data'!$J$2:$J$37000,"29*",'Accounting data'!$K$2:$K$37000,"63*")+SUMIFS('Accounting data'!$G$2:$G$37000,'Accounting data'!$H$2:$H$37000,"9999*",'Accounting data'!$I$2:$I$37000,"9*",'Accounting data'!$J$2:$J$37000,"29*",'Accounting data'!$K$2:$K$37000,"63*")</f>
        <v>0</v>
      </c>
    </row>
    <row r="380" spans="1:5" x14ac:dyDescent="0.25">
      <c r="A380" s="112" t="s">
        <v>991</v>
      </c>
      <c r="B380" s="110" t="s">
        <v>992</v>
      </c>
      <c r="C380" s="110">
        <v>2900</v>
      </c>
      <c r="D380" s="110">
        <v>6400</v>
      </c>
      <c r="E380" s="111">
        <f>SUMIFS('Accounting data'!$G$2:$G$37000,'Accounting data'!$H$2:$H$37000,"9999*",'Accounting data'!$I$2:$I$37000,"7*",'Accounting data'!$J$2:$J$37000,"29*",'Accounting data'!$K$2:$K$37000,"64*")+SUMIFS('Accounting data'!$G$2:$G$37000,'Accounting data'!$H$2:$H$37000,"9999*",'Accounting data'!$I$2:$I$37000,"8*",'Accounting data'!$J$2:$J$37000,"29*",'Accounting data'!$K$2:$K$37000,"64*")+SUMIFS('Accounting data'!$G$2:$G$37000,'Accounting data'!$H$2:$H$37000,"9999*",'Accounting data'!$I$2:$I$37000,"9*",'Accounting data'!$J$2:$J$37000,"29*",'Accounting data'!$K$2:$K$37000,"64*")</f>
        <v>0</v>
      </c>
    </row>
    <row r="381" spans="1:5" x14ac:dyDescent="0.25">
      <c r="A381" s="112" t="s">
        <v>991</v>
      </c>
      <c r="B381" s="110" t="s">
        <v>992</v>
      </c>
      <c r="C381" s="110">
        <v>2900</v>
      </c>
      <c r="D381" s="110">
        <v>6500</v>
      </c>
      <c r="E381" s="111">
        <f>SUMIFS('Accounting data'!$G$2:$G$37000,'Accounting data'!$H$2:$H$37000,"9999*",'Accounting data'!$I$2:$I$37000,"7*",'Accounting data'!$J$2:$J$37000,"29*",'Accounting data'!$K$2:$K$37000,"65*")+SUMIFS('Accounting data'!$G$2:$G$37000,'Accounting data'!$H$2:$H$37000,"9999*",'Accounting data'!$I$2:$I$37000,"8*",'Accounting data'!$J$2:$J$37000,"29*",'Accounting data'!$K$2:$K$37000,"65*")+SUMIFS('Accounting data'!$G$2:$G$37000,'Accounting data'!$H$2:$H$37000,"9999*",'Accounting data'!$I$2:$I$37000,"9*",'Accounting data'!$J$2:$J$37000,"29*",'Accounting data'!$K$2:$K$37000,"65*")</f>
        <v>0</v>
      </c>
    </row>
    <row r="400" spans="1:5" x14ac:dyDescent="0.25">
      <c r="A400" s="113" t="s">
        <v>1029</v>
      </c>
      <c r="B400" s="113"/>
      <c r="C400" s="113"/>
      <c r="D400" s="113"/>
      <c r="E400" s="115">
        <f>((E374-E375-E376-E377-E378)+(E379+E380+E381+E382+E383+E384+E385+E386+E387))-((E388-E389-E390)+(E391+E392+E393))-((E394-E395-E396)+(E397+E398+E399))</f>
        <v>0</v>
      </c>
    </row>
    <row r="401" spans="1:5" x14ac:dyDescent="0.25">
      <c r="A401" s="110" t="s">
        <v>990</v>
      </c>
      <c r="B401" s="110" t="s">
        <v>990</v>
      </c>
      <c r="C401" s="110">
        <v>2600</v>
      </c>
      <c r="D401" s="119" t="s">
        <v>1022</v>
      </c>
      <c r="E401" s="111">
        <f>SUMIFS('Accounting data'!$G$2:$G$37000,'Accounting data'!$J$2:$J$37000,"26*",'Accounting data'!$K$2:$K$37000,"63*")+SUMIFS('Accounting data'!$G$2:$G$37000,'Accounting data'!$J$2:$J$37000,"26*",'Accounting data'!$K$2:$K$37000,"64*")+SUMIFS('Accounting data'!$G$2:$G$37000,'Accounting data'!$J$2:$J$37000,"26*",'Accounting data'!$K$2:$K$37000,"65*")</f>
        <v>238336</v>
      </c>
    </row>
    <row r="402" spans="1:5" x14ac:dyDescent="0.25">
      <c r="A402" s="110" t="s">
        <v>991</v>
      </c>
      <c r="B402" s="110" t="s">
        <v>990</v>
      </c>
      <c r="C402" s="110">
        <v>2600</v>
      </c>
      <c r="D402" s="110">
        <v>6300</v>
      </c>
      <c r="E402" s="111">
        <f>SUMIFS('Accounting data'!$G$2:$G$37000,'Accounting data'!$H$2:$H$37000,"9999*",'Accounting data'!$J$2:$J$37000,"26*",'Accounting data'!$K$2:$K$37000,"63*")</f>
        <v>0</v>
      </c>
    </row>
    <row r="403" spans="1:5" x14ac:dyDescent="0.25">
      <c r="A403" s="110" t="s">
        <v>991</v>
      </c>
      <c r="B403" s="110" t="s">
        <v>990</v>
      </c>
      <c r="C403" s="110">
        <v>2600</v>
      </c>
      <c r="D403" s="110">
        <v>6400</v>
      </c>
      <c r="E403" s="111">
        <f>SUMIFS('Accounting data'!$G$2:$G$37000,'Accounting data'!$H$2:$H$37000,"9999*",'Accounting data'!$J$2:$J$37000,"26*",'Accounting data'!$K$2:$K$37000,"64*")</f>
        <v>0</v>
      </c>
    </row>
    <row r="404" spans="1:5" x14ac:dyDescent="0.25">
      <c r="A404" s="110" t="s">
        <v>991</v>
      </c>
      <c r="B404" s="110" t="s">
        <v>990</v>
      </c>
      <c r="C404" s="110">
        <v>2600</v>
      </c>
      <c r="D404" s="110">
        <v>6500</v>
      </c>
      <c r="E404" s="111">
        <f>SUMIFS('Accounting data'!$G$2:$G$37000,'Accounting data'!$H$2:$H$37000,"9999*",'Accounting data'!$J$2:$J$37000,"26*",'Accounting data'!$K$2:$K$37000,"65*")</f>
        <v>0</v>
      </c>
    </row>
    <row r="405" spans="1:5" x14ac:dyDescent="0.25">
      <c r="A405" s="110" t="s">
        <v>990</v>
      </c>
      <c r="B405" s="110" t="s">
        <v>992</v>
      </c>
      <c r="C405" s="110">
        <v>2600</v>
      </c>
      <c r="D405" s="119" t="s">
        <v>1022</v>
      </c>
      <c r="E405" s="111">
        <f>SUMIFS('Accounting data'!$G$2:$G$37000,'Accounting data'!$I$2:$I$37000,"7*",'Accounting data'!$J$2:$J$37000,"26*",'Accounting data'!$K$2:$K$37000,"63*")+SUMIFS('Accounting data'!$G$2:$G$37000,'Accounting data'!$I$2:$I$37000,"8*",'Accounting data'!$J$2:$J$37000,"26*",'Accounting data'!$K$2:$K$37000,"63*")+SUMIFS('Accounting data'!$G$2:$G$37000,'Accounting data'!$I$2:$I$37000,"9*",'Accounting data'!$J$2:$J$37000,"26*",'Accounting data'!$K$2:$K$37000,"63*")+SUMIFS('Accounting data'!$G$2:$G$37000,'Accounting data'!$I$2:$I$37000,"7*",'Accounting data'!$J$2:$J$37000,"26*",'Accounting data'!$K$2:$K$37000,"64*")+SUMIFS('Accounting data'!$G$2:$G$37000,'Accounting data'!$I$2:$I$37000,"8*",'Accounting data'!$J$2:$J$37000,"26*",'Accounting data'!$K$2:$K$37000,"64*")+SUMIFS('Accounting data'!$G$2:$G$37000,'Accounting data'!$I$2:$I$37000,"9*",'Accounting data'!$J$2:$J$37000,"26*",'Accounting data'!$K$2:$K$37000,"64*")+SUMIFS('Accounting data'!$G$2:$G$37000,'Accounting data'!$I$2:$I$37000,"7*",'Accounting data'!$J$2:$J$37000,"26*",'Accounting data'!$K$2:$K$37000,"65*")+SUMIFS('Accounting data'!$G$2:$G$37000,'Accounting data'!$I$2:$I$37000,"8*",'Accounting data'!$J$2:$J$37000,"26*",'Accounting data'!$K$2:$K$37000,"65*")+SUMIFS('Accounting data'!$G$2:$G$37000,'Accounting data'!$I$2:$I$37000,"9*",'Accounting data'!$J$2:$J$37000,"26*",'Accounting data'!$K$2:$K$37000,"65*")</f>
        <v>0</v>
      </c>
    </row>
    <row r="406" spans="1:5" x14ac:dyDescent="0.25">
      <c r="A406" s="112" t="s">
        <v>991</v>
      </c>
      <c r="B406" s="110" t="s">
        <v>992</v>
      </c>
      <c r="C406" s="110">
        <v>2600</v>
      </c>
      <c r="D406" s="110">
        <v>6300</v>
      </c>
      <c r="E406" s="111">
        <f>SUMIFS('Accounting data'!$G$2:$G$37000,'Accounting data'!$H$2:$H$37000,"9999*",'Accounting data'!$I$2:$I$37000,"7*",'Accounting data'!$J$2:$J$37000,"26*",'Accounting data'!$K$2:$K$37000,"63*")+SUMIFS('Accounting data'!$G$2:$G$37000,'Accounting data'!$H$2:$H$37000,"9999*",'Accounting data'!$I$2:$I$37000,"8*",'Accounting data'!$J$2:$J$37000,"26*",'Accounting data'!$K$2:$K$37000,"63*")+SUMIFS('Accounting data'!$G$2:$G$37000,'Accounting data'!$H$2:$H$37000,"9999*",'Accounting data'!$I$2:$I$37000,"9*",'Accounting data'!$J$2:$J$37000,"26*",'Accounting data'!$K$2:$K$37000,"63*")</f>
        <v>0</v>
      </c>
    </row>
    <row r="407" spans="1:5" x14ac:dyDescent="0.25">
      <c r="A407" s="112" t="s">
        <v>991</v>
      </c>
      <c r="B407" s="110" t="s">
        <v>992</v>
      </c>
      <c r="C407" s="110">
        <v>2600</v>
      </c>
      <c r="D407" s="110">
        <v>6400</v>
      </c>
      <c r="E407" s="111">
        <f>SUMIFS('Accounting data'!$G$2:$G$37000,'Accounting data'!$H$2:$H$37000,"9999*",'Accounting data'!$I$2:$I$37000,"7*",'Accounting data'!$J$2:$J$37000,"26*",'Accounting data'!$K$2:$K$37000,"64*")+SUMIFS('Accounting data'!$G$2:$G$37000,'Accounting data'!$H$2:$H$37000,"9999*",'Accounting data'!$I$2:$I$37000,"8*",'Accounting data'!$J$2:$J$37000,"26*",'Accounting data'!$K$2:$K$37000,"64*")+SUMIFS('Accounting data'!$G$2:$G$37000,'Accounting data'!$H$2:$H$37000,"9999*",'Accounting data'!$I$2:$I$37000,"9*",'Accounting data'!$J$2:$J$37000,"26*",'Accounting data'!$K$2:$K$37000,"64*")</f>
        <v>0</v>
      </c>
    </row>
    <row r="408" spans="1:5" x14ac:dyDescent="0.25">
      <c r="A408" s="112" t="s">
        <v>991</v>
      </c>
      <c r="B408" s="110" t="s">
        <v>992</v>
      </c>
      <c r="C408" s="110">
        <v>2600</v>
      </c>
      <c r="D408" s="110">
        <v>6500</v>
      </c>
      <c r="E408" s="111">
        <f>SUMIFS('Accounting data'!$G$2:$G$37000,'Accounting data'!$H$2:$H$37000,"9999*",'Accounting data'!$I$2:$I$37000,"7*",'Accounting data'!$J$2:$J$37000,"26*",'Accounting data'!$K$2:$K$37000,"65*")+SUMIFS('Accounting data'!$G$2:$G$37000,'Accounting data'!$H$2:$H$37000,"9999*",'Accounting data'!$I$2:$I$37000,"8*",'Accounting data'!$J$2:$J$37000,"26*",'Accounting data'!$K$2:$K$37000,"65*")+SUMIFS('Accounting data'!$G$2:$G$37000,'Accounting data'!$H$2:$H$37000,"9999*",'Accounting data'!$I$2:$I$37000,"9*",'Accounting data'!$J$2:$J$37000,"26*",'Accounting data'!$K$2:$K$37000,"65*")</f>
        <v>0</v>
      </c>
    </row>
    <row r="427" spans="1:5" x14ac:dyDescent="0.25">
      <c r="A427" s="113" t="s">
        <v>1030</v>
      </c>
      <c r="B427" s="113"/>
      <c r="C427" s="113"/>
      <c r="D427" s="113"/>
      <c r="E427" s="115">
        <f>((E401-E402-E403-E404-E405)+(E406+E407+E408+E409+E410+E411+E412+E413+E414))-((E415-E416-E417)+(E418+E419+E420))-((E421-E422-E423)+(E424+E425+E426))</f>
        <v>238336</v>
      </c>
    </row>
    <row r="428" spans="1:5" x14ac:dyDescent="0.25">
      <c r="A428" s="110" t="s">
        <v>990</v>
      </c>
      <c r="B428" s="110" t="s">
        <v>990</v>
      </c>
      <c r="C428" s="110">
        <v>2700</v>
      </c>
      <c r="D428" s="119" t="s">
        <v>1022</v>
      </c>
      <c r="E428" s="111">
        <f>SUMIFS('Accounting data'!$G$2:$G$37000,'Accounting data'!$J$2:$J$37000,"27*",'Accounting data'!$K$2:$K$37000,"63*")+SUMIFS('Accounting data'!$G$2:$G$37000,'Accounting data'!$J$2:$J$37000,"27*",'Accounting data'!$K$2:$K$37000,"64*")+SUMIFS('Accounting data'!$G$2:$G$37000,'Accounting data'!$J$2:$J$37000,"27*",'Accounting data'!$K$2:$K$37000,"65*")</f>
        <v>0</v>
      </c>
    </row>
    <row r="429" spans="1:5" x14ac:dyDescent="0.25">
      <c r="A429" s="110" t="s">
        <v>991</v>
      </c>
      <c r="B429" s="110" t="s">
        <v>990</v>
      </c>
      <c r="C429" s="110">
        <v>2700</v>
      </c>
      <c r="D429" s="110">
        <v>6300</v>
      </c>
      <c r="E429" s="111">
        <f>SUMIFS('Accounting data'!$G$2:$G$37000,'Accounting data'!$H$2:$H$37000,"9999*",'Accounting data'!$J$2:$J$37000,"27*",'Accounting data'!$K$2:$K$37000,"63*")</f>
        <v>0</v>
      </c>
    </row>
    <row r="430" spans="1:5" x14ac:dyDescent="0.25">
      <c r="A430" s="110" t="s">
        <v>991</v>
      </c>
      <c r="B430" s="110" t="s">
        <v>990</v>
      </c>
      <c r="C430" s="110">
        <v>2700</v>
      </c>
      <c r="D430" s="110">
        <v>6400</v>
      </c>
      <c r="E430" s="111">
        <f>SUMIFS('Accounting data'!$G$2:$G$37000,'Accounting data'!$H$2:$H$37000,"9999*",'Accounting data'!$J$2:$J$37000,"27*",'Accounting data'!$K$2:$K$37000,"64*")</f>
        <v>0</v>
      </c>
    </row>
    <row r="431" spans="1:5" x14ac:dyDescent="0.25">
      <c r="A431" s="110" t="s">
        <v>991</v>
      </c>
      <c r="B431" s="110" t="s">
        <v>990</v>
      </c>
      <c r="C431" s="110">
        <v>2700</v>
      </c>
      <c r="D431" s="110">
        <v>6500</v>
      </c>
      <c r="E431" s="111">
        <f>SUMIFS('Accounting data'!$G$2:$G$37000,'Accounting data'!$H$2:$H$37000,"9999*",'Accounting data'!$J$2:$J$37000,"27*",'Accounting data'!$K$2:$K$37000,"65*")</f>
        <v>0</v>
      </c>
    </row>
    <row r="432" spans="1:5" x14ac:dyDescent="0.25">
      <c r="A432" s="110" t="s">
        <v>990</v>
      </c>
      <c r="B432" s="110" t="s">
        <v>992</v>
      </c>
      <c r="C432" s="110">
        <v>2700</v>
      </c>
      <c r="D432" s="119" t="s">
        <v>1022</v>
      </c>
      <c r="E432" s="111">
        <f>SUMIFS('Accounting data'!$G$2:$G$37000,'Accounting data'!$I$2:$I$37000,"7*",'Accounting data'!$J$2:$J$37000,"27*",'Accounting data'!$K$2:$K$37000,"63*")+SUMIFS('Accounting data'!$G$2:$G$37000,'Accounting data'!$I$2:$I$37000,"8*",'Accounting data'!$J$2:$J$37000,"27*",'Accounting data'!$K$2:$K$37000,"63*")+SUMIFS('Accounting data'!$G$2:$G$37000,'Accounting data'!$I$2:$I$37000,"9*",'Accounting data'!$J$2:$J$37000,"27*",'Accounting data'!$K$2:$K$37000,"63*")+SUMIFS('Accounting data'!$G$2:$G$37000,'Accounting data'!$I$2:$I$37000,"7*",'Accounting data'!$J$2:$J$37000,"27*",'Accounting data'!$K$2:$K$37000,"64*")+SUMIFS('Accounting data'!$G$2:$G$37000,'Accounting data'!$I$2:$I$37000,"8*",'Accounting data'!$J$2:$J$37000,"27*",'Accounting data'!$K$2:$K$37000,"64*")+SUMIFS('Accounting data'!$G$2:$G$37000,'Accounting data'!$I$2:$I$37000,"9*",'Accounting data'!$J$2:$J$37000,"27*",'Accounting data'!$K$2:$K$37000,"64*")+SUMIFS('Accounting data'!$G$2:$G$37000,'Accounting data'!$I$2:$I$37000,"7*",'Accounting data'!$J$2:$J$37000,"27*",'Accounting data'!$K$2:$K$37000,"65*")+SUMIFS('Accounting data'!$G$2:$G$37000,'Accounting data'!$I$2:$I$37000,"8*",'Accounting data'!$J$2:$J$37000,"27*",'Accounting data'!$K$2:$K$37000,"65*")+SUMIFS('Accounting data'!$G$2:$G$37000,'Accounting data'!$I$2:$I$37000,"9*",'Accounting data'!$J$2:$J$37000,"27*",'Accounting data'!$K$2:$K$37000,"65*")</f>
        <v>0</v>
      </c>
    </row>
    <row r="433" spans="1:5" x14ac:dyDescent="0.25">
      <c r="A433" s="112" t="s">
        <v>991</v>
      </c>
      <c r="B433" s="110" t="s">
        <v>992</v>
      </c>
      <c r="C433" s="110">
        <v>2700</v>
      </c>
      <c r="D433" s="110">
        <v>6300</v>
      </c>
      <c r="E433" s="111">
        <f>SUMIFS('Accounting data'!$G$2:$G$37000,'Accounting data'!$H$2:$H$37000,"9999*",'Accounting data'!$I$2:$I$37000,"7*",'Accounting data'!$J$2:$J$37000,"27*",'Accounting data'!$K$2:$K$37000,"63*")+SUMIFS('Accounting data'!$G$2:$G$37000,'Accounting data'!$H$2:$H$37000,"9999*",'Accounting data'!$I$2:$I$37000,"8*",'Accounting data'!$J$2:$J$37000,"27*",'Accounting data'!$K$2:$K$37000,"63*")+SUMIFS('Accounting data'!$G$2:$G$37000,'Accounting data'!$H$2:$H$37000,"9999*",'Accounting data'!$I$2:$I$37000,"9*",'Accounting data'!$J$2:$J$37000,"27*",'Accounting data'!$K$2:$K$37000,"63*")</f>
        <v>0</v>
      </c>
    </row>
    <row r="434" spans="1:5" x14ac:dyDescent="0.25">
      <c r="A434" s="112" t="s">
        <v>991</v>
      </c>
      <c r="B434" s="110" t="s">
        <v>992</v>
      </c>
      <c r="C434" s="110">
        <v>2700</v>
      </c>
      <c r="D434" s="110">
        <v>6400</v>
      </c>
      <c r="E434" s="111">
        <f>SUMIFS('Accounting data'!$G$2:$G$37000,'Accounting data'!$H$2:$H$37000,"9999*",'Accounting data'!$I$2:$I$37000,"7*",'Accounting data'!$J$2:$J$37000,"27*",'Accounting data'!$K$2:$K$37000,"64*")+SUMIFS('Accounting data'!$G$2:$G$37000,'Accounting data'!$H$2:$H$37000,"9999*",'Accounting data'!$I$2:$I$37000,"8*",'Accounting data'!$J$2:$J$37000,"27*",'Accounting data'!$K$2:$K$37000,"64*")+SUMIFS('Accounting data'!$G$2:$G$37000,'Accounting data'!$H$2:$H$37000,"9999*",'Accounting data'!$I$2:$I$37000,"9*",'Accounting data'!$J$2:$J$37000,"27*",'Accounting data'!$K$2:$K$37000,"64*")</f>
        <v>0</v>
      </c>
    </row>
    <row r="435" spans="1:5" x14ac:dyDescent="0.25">
      <c r="A435" s="112" t="s">
        <v>991</v>
      </c>
      <c r="B435" s="110" t="s">
        <v>992</v>
      </c>
      <c r="C435" s="110">
        <v>2700</v>
      </c>
      <c r="D435" s="110">
        <v>6500</v>
      </c>
      <c r="E435" s="111">
        <f>SUMIFS('Accounting data'!$G$2:$G$37000,'Accounting data'!$H$2:$H$37000,"9999*",'Accounting data'!$I$2:$I$37000,"7*",'Accounting data'!$J$2:$J$37000,"27*",'Accounting data'!$K$2:$K$37000,"65*")+SUMIFS('Accounting data'!$G$2:$G$37000,'Accounting data'!$H$2:$H$37000,"9999*",'Accounting data'!$I$2:$I$37000,"8*",'Accounting data'!$J$2:$J$37000,"27*",'Accounting data'!$K$2:$K$37000,"65*")+SUMIFS('Accounting data'!$G$2:$G$37000,'Accounting data'!$H$2:$H$37000,"9999*",'Accounting data'!$I$2:$I$37000,"9*",'Accounting data'!$J$2:$J$37000,"27*",'Accounting data'!$K$2:$K$37000,"65*")</f>
        <v>0</v>
      </c>
    </row>
    <row r="454" spans="1:5" x14ac:dyDescent="0.25">
      <c r="A454" s="113" t="s">
        <v>1031</v>
      </c>
      <c r="B454" s="113"/>
      <c r="C454" s="113"/>
      <c r="D454" s="113"/>
      <c r="E454" s="115">
        <f>((E428-E429-E430-E431-E432)+(E433+E434+E435+E436+E437+E438+E439+E440+E441))-((E442-E443-E444)+(E445+E446+E447))-((E448-E449-E450)+(E451+E452+E453))</f>
        <v>0</v>
      </c>
    </row>
    <row r="455" spans="1:5" x14ac:dyDescent="0.25">
      <c r="A455" s="110" t="s">
        <v>990</v>
      </c>
      <c r="B455" s="110" t="s">
        <v>990</v>
      </c>
      <c r="C455" s="110">
        <v>3100</v>
      </c>
      <c r="D455" s="119" t="s">
        <v>1022</v>
      </c>
      <c r="E455" s="111">
        <f>SUMIFS('Accounting data'!$G$2:$G$37000,'Accounting data'!$J$2:$J$37000,"31*",'Accounting data'!$K$2:$K$37000,"63*")+SUMIFS('Accounting data'!$G$2:$G$37000,'Accounting data'!$J$2:$J$37000,"31*",'Accounting data'!$K$2:$K$37000,"64*")+SUMIFS('Accounting data'!$G$2:$G$37000,'Accounting data'!$J$2:$J$37000,"31*",'Accounting data'!$K$2:$K$37000,"65*")</f>
        <v>0</v>
      </c>
    </row>
    <row r="456" spans="1:5" x14ac:dyDescent="0.25">
      <c r="A456" s="110" t="s">
        <v>991</v>
      </c>
      <c r="B456" s="110" t="s">
        <v>990</v>
      </c>
      <c r="C456" s="110">
        <v>3100</v>
      </c>
      <c r="D456" s="110">
        <v>6300</v>
      </c>
      <c r="E456" s="111">
        <f>SUMIFS('Accounting data'!$G$2:$G$37000,'Accounting data'!$H$2:$H$37000,"9999*",'Accounting data'!$J$2:$J$37000,"31*",'Accounting data'!$K$2:$K$37000,"63*")</f>
        <v>0</v>
      </c>
    </row>
    <row r="457" spans="1:5" x14ac:dyDescent="0.25">
      <c r="A457" s="110" t="s">
        <v>991</v>
      </c>
      <c r="B457" s="110" t="s">
        <v>990</v>
      </c>
      <c r="C457" s="110">
        <v>3100</v>
      </c>
      <c r="D457" s="110">
        <v>6400</v>
      </c>
      <c r="E457" s="111">
        <f>SUMIFS('Accounting data'!$G$2:$G$37000,'Accounting data'!$H$2:$H$37000,"9999*",'Accounting data'!$J$2:$J$37000,"31*",'Accounting data'!$K$2:$K$37000,"64*")</f>
        <v>0</v>
      </c>
    </row>
    <row r="458" spans="1:5" x14ac:dyDescent="0.25">
      <c r="A458" s="110" t="s">
        <v>991</v>
      </c>
      <c r="B458" s="110" t="s">
        <v>990</v>
      </c>
      <c r="C458" s="110">
        <v>3100</v>
      </c>
      <c r="D458" s="110">
        <v>6500</v>
      </c>
      <c r="E458" s="111">
        <f>SUMIFS('Accounting data'!$G$2:$G$37000,'Accounting data'!$H$2:$H$37000,"9999*",'Accounting data'!$J$2:$J$37000,"31*",'Accounting data'!$K$2:$K$37000,"65*")</f>
        <v>0</v>
      </c>
    </row>
    <row r="459" spans="1:5" x14ac:dyDescent="0.25">
      <c r="A459" s="110" t="s">
        <v>990</v>
      </c>
      <c r="B459" s="110" t="s">
        <v>992</v>
      </c>
      <c r="C459" s="110">
        <v>3100</v>
      </c>
      <c r="D459" s="119" t="s">
        <v>1022</v>
      </c>
      <c r="E459" s="111">
        <f>SUMIFS('Accounting data'!$G$2:$G$37000,'Accounting data'!$I$2:$I$37000,"7*",'Accounting data'!$J$2:$J$37000,"31*",'Accounting data'!$K$2:$K$37000,"63*")+SUMIFS('Accounting data'!$G$2:$G$37000,'Accounting data'!$I$2:$I$37000,"8*",'Accounting data'!$J$2:$J$37000,"31*",'Accounting data'!$K$2:$K$37000,"63*")+SUMIFS('Accounting data'!$G$2:$G$37000,'Accounting data'!$I$2:$I$37000,"9*",'Accounting data'!$J$2:$J$37000,"31*",'Accounting data'!$K$2:$K$37000,"63*")+SUMIFS('Accounting data'!$G$2:$G$37000,'Accounting data'!$I$2:$I$37000,"7*",'Accounting data'!$J$2:$J$37000,"31*",'Accounting data'!$K$2:$K$37000,"64*")+SUMIFS('Accounting data'!$G$2:$G$37000,'Accounting data'!$I$2:$I$37000,"8*",'Accounting data'!$J$2:$J$37000,"31*",'Accounting data'!$K$2:$K$37000,"64*")+SUMIFS('Accounting data'!$G$2:$G$37000,'Accounting data'!$I$2:$I$37000,"9*",'Accounting data'!$J$2:$J$37000,"31*",'Accounting data'!$K$2:$K$37000,"64*")+SUMIFS('Accounting data'!$G$2:$G$37000,'Accounting data'!$I$2:$I$37000,"7*",'Accounting data'!$J$2:$J$37000,"31*",'Accounting data'!$K$2:$K$37000,"65*")+SUMIFS('Accounting data'!$G$2:$G$37000,'Accounting data'!$I$2:$I$37000,"8*",'Accounting data'!$J$2:$J$37000,"31*",'Accounting data'!$K$2:$K$37000,"65*")+SUMIFS('Accounting data'!$G$2:$G$37000,'Accounting data'!$I$2:$I$37000,"9*",'Accounting data'!$J$2:$J$37000,"31*",'Accounting data'!$K$2:$K$37000,"65*")</f>
        <v>0</v>
      </c>
    </row>
    <row r="460" spans="1:5" x14ac:dyDescent="0.25">
      <c r="A460" s="112" t="s">
        <v>991</v>
      </c>
      <c r="B460" s="110" t="s">
        <v>992</v>
      </c>
      <c r="C460" s="110">
        <v>3100</v>
      </c>
      <c r="D460" s="110">
        <v>6300</v>
      </c>
      <c r="E460" s="111">
        <f>SUMIFS('Accounting data'!$G$2:$G$37000,'Accounting data'!$H$2:$H$37000,"9999*",'Accounting data'!$I$2:$I$37000,"7*",'Accounting data'!$J$2:$J$37000,"31*",'Accounting data'!$K$2:$K$37000,"63*")+SUMIFS('Accounting data'!$G$2:$G$37000,'Accounting data'!$H$2:$H$37000,"9999*",'Accounting data'!$I$2:$I$37000,"8*",'Accounting data'!$J$2:$J$37000,"31*",'Accounting data'!$K$2:$K$37000,"63*")+SUMIFS('Accounting data'!$G$2:$G$37000,'Accounting data'!$H$2:$H$37000,"9999*",'Accounting data'!$I$2:$I$37000,"9*",'Accounting data'!$J$2:$J$37000,"31*",'Accounting data'!$K$2:$K$37000,"63*")</f>
        <v>0</v>
      </c>
    </row>
    <row r="461" spans="1:5" x14ac:dyDescent="0.25">
      <c r="A461" s="112" t="s">
        <v>991</v>
      </c>
      <c r="B461" s="110" t="s">
        <v>992</v>
      </c>
      <c r="C461" s="110">
        <v>3100</v>
      </c>
      <c r="D461" s="110">
        <v>6400</v>
      </c>
      <c r="E461" s="111">
        <f>SUMIFS('Accounting data'!$G$2:$G$37000,'Accounting data'!$H$2:$H$37000,"9999*",'Accounting data'!$I$2:$I$37000,"7*",'Accounting data'!$J$2:$J$37000,"31*",'Accounting data'!$K$2:$K$37000,"64*")+SUMIFS('Accounting data'!$G$2:$G$37000,'Accounting data'!$H$2:$H$37000,"9999*",'Accounting data'!$I$2:$I$37000,"8*",'Accounting data'!$J$2:$J$37000,"31*",'Accounting data'!$K$2:$K$37000,"64*")+SUMIFS('Accounting data'!$G$2:$G$37000,'Accounting data'!$H$2:$H$37000,"9999*",'Accounting data'!$I$2:$I$37000,"9*",'Accounting data'!$J$2:$J$37000,"31*",'Accounting data'!$K$2:$K$37000,"64*")</f>
        <v>0</v>
      </c>
    </row>
    <row r="462" spans="1:5" x14ac:dyDescent="0.25">
      <c r="A462" s="112" t="s">
        <v>991</v>
      </c>
      <c r="B462" s="110" t="s">
        <v>992</v>
      </c>
      <c r="C462" s="110">
        <v>3100</v>
      </c>
      <c r="D462" s="110">
        <v>6500</v>
      </c>
      <c r="E462" s="111">
        <f>SUMIFS('Accounting data'!$G$2:$G$37000,'Accounting data'!$H$2:$H$37000,"9999*",'Accounting data'!$I$2:$I$37000,"7*",'Accounting data'!$J$2:$J$37000,"31*",'Accounting data'!$K$2:$K$37000,"65*")+SUMIFS('Accounting data'!$G$2:$G$37000,'Accounting data'!$H$2:$H$37000,"9999*",'Accounting data'!$I$2:$I$37000,"8*",'Accounting data'!$J$2:$J$37000,"31*",'Accounting data'!$K$2:$K$37000,"65*")+SUMIFS('Accounting data'!$G$2:$G$37000,'Accounting data'!$H$2:$H$37000,"9999*",'Accounting data'!$I$2:$I$37000,"9*",'Accounting data'!$J$2:$J$37000,"31*",'Accounting data'!$K$2:$K$37000,"65*")</f>
        <v>0</v>
      </c>
    </row>
    <row r="481" spans="1:5" x14ac:dyDescent="0.25">
      <c r="A481" s="113" t="s">
        <v>1032</v>
      </c>
      <c r="B481" s="113"/>
      <c r="C481" s="113"/>
      <c r="D481" s="113"/>
      <c r="E481" s="115">
        <f>((E455-E456-E457-E458-E459)+(E460+E461+E462+E463+E464+E465+E466+E467+E468))-((E469-E470-E471)+(E472+E473+E474))-((E475-E476-E477)+(E478+E479+E480))</f>
        <v>0</v>
      </c>
    </row>
    <row r="509" spans="1:5" x14ac:dyDescent="0.25">
      <c r="A509" s="110" t="s">
        <v>990</v>
      </c>
      <c r="B509" s="110" t="s">
        <v>990</v>
      </c>
      <c r="C509" s="110">
        <v>3400</v>
      </c>
      <c r="D509" s="119" t="s">
        <v>1022</v>
      </c>
      <c r="E509" s="111">
        <f>SUMIFS('Accounting data'!$G$2:$G$37000,'Accounting data'!$J$2:$J$37000,"34*",'Accounting data'!$K$2:$K$37000,"63*")+SUMIFS('Accounting data'!$G$2:$G$37000,'Accounting data'!$J$2:$J$37000,"34*",'Accounting data'!$K$2:$K$37000,"64*")+SUMIFS('Accounting data'!$G$2:$G$37000,'Accounting data'!$J$2:$J$37000,"34*",'Accounting data'!$K$2:$K$37000,"65*")</f>
        <v>0</v>
      </c>
    </row>
    <row r="510" spans="1:5" x14ac:dyDescent="0.25">
      <c r="A510" s="110" t="s">
        <v>991</v>
      </c>
      <c r="B510" s="110" t="s">
        <v>990</v>
      </c>
      <c r="C510" s="110">
        <v>3400</v>
      </c>
      <c r="D510" s="110">
        <v>6300</v>
      </c>
      <c r="E510" s="111">
        <f>SUMIFS('Accounting data'!$G$2:$G$37000,'Accounting data'!$H$2:$H$37000,"9999*",'Accounting data'!$J$2:$J$37000,"34*",'Accounting data'!$K$2:$K$37000,"63*")</f>
        <v>0</v>
      </c>
    </row>
    <row r="511" spans="1:5" x14ac:dyDescent="0.25">
      <c r="A511" s="110" t="s">
        <v>991</v>
      </c>
      <c r="B511" s="110" t="s">
        <v>990</v>
      </c>
      <c r="C511" s="110">
        <v>3400</v>
      </c>
      <c r="D511" s="110">
        <v>6400</v>
      </c>
      <c r="E511" s="111">
        <f>SUMIFS('Accounting data'!$G$2:$G$37000,'Accounting data'!$H$2:$H$37000,"9999*",'Accounting data'!$J$2:$J$37000,"34*",'Accounting data'!$K$2:$K$37000,"64*")</f>
        <v>0</v>
      </c>
    </row>
    <row r="512" spans="1:5" x14ac:dyDescent="0.25">
      <c r="A512" s="110" t="s">
        <v>991</v>
      </c>
      <c r="B512" s="110" t="s">
        <v>990</v>
      </c>
      <c r="C512" s="110">
        <v>3400</v>
      </c>
      <c r="D512" s="110">
        <v>6500</v>
      </c>
      <c r="E512" s="111">
        <f>SUMIFS('Accounting data'!$G$2:$G$37000,'Accounting data'!$H$2:$H$37000,"9999*",'Accounting data'!$J$2:$J$37000,"34*",'Accounting data'!$K$2:$K$37000,"65*")</f>
        <v>0</v>
      </c>
    </row>
    <row r="513" spans="1:5" x14ac:dyDescent="0.25">
      <c r="A513" s="110" t="s">
        <v>990</v>
      </c>
      <c r="B513" s="110" t="s">
        <v>992</v>
      </c>
      <c r="C513" s="110">
        <v>3400</v>
      </c>
      <c r="D513" s="119" t="s">
        <v>1022</v>
      </c>
      <c r="E513" s="111">
        <f>SUMIFS('Accounting data'!$G$2:$G$37000,'Accounting data'!$I$2:$I$37000,"7*",'Accounting data'!$J$2:$J$37000,"34*",'Accounting data'!$K$2:$K$37000,"63*")+SUMIFS('Accounting data'!$G$2:$G$37000,'Accounting data'!$I$2:$I$37000,"8*",'Accounting data'!$J$2:$J$37000,"34*",'Accounting data'!$K$2:$K$37000,"63*")+SUMIFS('Accounting data'!$G$2:$G$37000,'Accounting data'!$I$2:$I$37000,"9*",'Accounting data'!$J$2:$J$37000,"34*",'Accounting data'!$K$2:$K$37000,"63*")+SUMIFS('Accounting data'!$G$2:$G$37000,'Accounting data'!$I$2:$I$37000,"7*",'Accounting data'!$J$2:$J$37000,"34*",'Accounting data'!$K$2:$K$37000,"64*")+SUMIFS('Accounting data'!$G$2:$G$37000,'Accounting data'!$I$2:$I$37000,"8*",'Accounting data'!$J$2:$J$37000,"34*",'Accounting data'!$K$2:$K$37000,"64*")+SUMIFS('Accounting data'!$G$2:$G$37000,'Accounting data'!$I$2:$I$37000,"9*",'Accounting data'!$J$2:$J$37000,"34*",'Accounting data'!$K$2:$K$37000,"64*")+SUMIFS('Accounting data'!$G$2:$G$37000,'Accounting data'!$I$2:$I$37000,"7*",'Accounting data'!$J$2:$J$37000,"34*",'Accounting data'!$K$2:$K$37000,"65*")+SUMIFS('Accounting data'!$G$2:$G$37000,'Accounting data'!$I$2:$I$37000,"8*",'Accounting data'!$J$2:$J$37000,"34*",'Accounting data'!$K$2:$K$37000,"65*")+SUMIFS('Accounting data'!$G$2:$G$37000,'Accounting data'!$I$2:$I$37000,"9*",'Accounting data'!$J$2:$J$37000,"34*",'Accounting data'!$K$2:$K$37000,"65*")</f>
        <v>0</v>
      </c>
    </row>
    <row r="514" spans="1:5" x14ac:dyDescent="0.25">
      <c r="A514" s="112" t="s">
        <v>991</v>
      </c>
      <c r="B514" s="110" t="s">
        <v>992</v>
      </c>
      <c r="C514" s="110">
        <v>3400</v>
      </c>
      <c r="D514" s="110">
        <v>6300</v>
      </c>
      <c r="E514" s="111">
        <f>SUMIFS('Accounting data'!$G$2:$G$37000,'Accounting data'!$H$2:$H$37000,"9999*",'Accounting data'!$I$2:$I$37000,"7*",'Accounting data'!$J$2:$J$37000,"34*",'Accounting data'!$K$2:$K$37000,"63*")+SUMIFS('Accounting data'!$G$2:$G$37000,'Accounting data'!$H$2:$H$37000,"9999*",'Accounting data'!$I$2:$I$37000,"8*",'Accounting data'!$J$2:$J$37000,"34*",'Accounting data'!$K$2:$K$37000,"63*")+SUMIFS('Accounting data'!$G$2:$G$37000,'Accounting data'!$H$2:$H$37000,"9999*",'Accounting data'!$I$2:$I$37000,"9*",'Accounting data'!$J$2:$J$37000,"34*",'Accounting data'!$K$2:$K$37000,"63*")</f>
        <v>0</v>
      </c>
    </row>
    <row r="515" spans="1:5" x14ac:dyDescent="0.25">
      <c r="A515" s="112" t="s">
        <v>991</v>
      </c>
      <c r="B515" s="110" t="s">
        <v>992</v>
      </c>
      <c r="C515" s="110">
        <v>3400</v>
      </c>
      <c r="D515" s="110">
        <v>6400</v>
      </c>
      <c r="E515" s="111">
        <f>SUMIFS('Accounting data'!$G$2:$G$37000,'Accounting data'!$H$2:$H$37000,"9999*",'Accounting data'!$I$2:$I$37000,"7*",'Accounting data'!$J$2:$J$37000,"34*",'Accounting data'!$K$2:$K$37000,"64*")+SUMIFS('Accounting data'!$G$2:$G$37000,'Accounting data'!$H$2:$H$37000,"9999*",'Accounting data'!$I$2:$I$37000,"8*",'Accounting data'!$J$2:$J$37000,"34*",'Accounting data'!$K$2:$K$37000,"64*")+SUMIFS('Accounting data'!$G$2:$G$37000,'Accounting data'!$H$2:$H$37000,"9999*",'Accounting data'!$I$2:$I$37000,"9*",'Accounting data'!$J$2:$J$37000,"34*",'Accounting data'!$K$2:$K$37000,"64*")</f>
        <v>0</v>
      </c>
    </row>
    <row r="516" spans="1:5" x14ac:dyDescent="0.25">
      <c r="A516" s="112" t="s">
        <v>991</v>
      </c>
      <c r="B516" s="110" t="s">
        <v>992</v>
      </c>
      <c r="C516" s="110">
        <v>3400</v>
      </c>
      <c r="D516" s="110">
        <v>6500</v>
      </c>
      <c r="E516" s="111">
        <f>SUMIFS('Accounting data'!$G$2:$G$37000,'Accounting data'!$H$2:$H$37000,"9999*",'Accounting data'!$I$2:$I$37000,"7*",'Accounting data'!$J$2:$J$37000,"34*",'Accounting data'!$K$2:$K$37000,"65*")+SUMIFS('Accounting data'!$G$2:$G$37000,'Accounting data'!$H$2:$H$37000,"9999*",'Accounting data'!$I$2:$I$37000,"8*",'Accounting data'!$J$2:$J$37000,"34*",'Accounting data'!$K$2:$K$37000,"65*")+SUMIFS('Accounting data'!$G$2:$G$37000,'Accounting data'!$H$2:$H$37000,"9999*",'Accounting data'!$I$2:$I$37000,"9*",'Accounting data'!$J$2:$J$37000,"34*",'Accounting data'!$K$2:$K$37000,"65*")</f>
        <v>0</v>
      </c>
    </row>
    <row r="535" spans="1:5" x14ac:dyDescent="0.25">
      <c r="A535" s="113" t="s">
        <v>1033</v>
      </c>
      <c r="B535" s="113"/>
      <c r="C535" s="113"/>
      <c r="D535" s="113"/>
      <c r="E535" s="115">
        <f>((E509-E510-E511-E512-E513)+(E514+E515+E516+E517+E518+E519+E520+E521+E522))-((E523-E524-E525)+(E526+E527+E528))-((E529-E530-E531)+(E532+E533+E534))</f>
        <v>0</v>
      </c>
    </row>
    <row r="536" spans="1:5" x14ac:dyDescent="0.25">
      <c r="A536" s="110" t="s">
        <v>990</v>
      </c>
      <c r="B536" s="110" t="s">
        <v>990</v>
      </c>
      <c r="C536" s="110">
        <v>4000</v>
      </c>
      <c r="D536" s="119" t="s">
        <v>1022</v>
      </c>
      <c r="E536" s="111">
        <f>SUMIFS('Accounting data'!$G$2:$G$37000,'Accounting data'!$J$2:$J$37000,"4*",'Accounting data'!$K$2:$K$37000,"63*")+SUMIFS('Accounting data'!$G$2:$G$37000,'Accounting data'!$J$2:$J$37000,"4*",'Accounting data'!$K$2:$K$37000,"64*")+SUMIFS('Accounting data'!$G$2:$G$37000,'Accounting data'!$J$2:$J$37000,"4*",'Accounting data'!$K$2:$K$37000,"65*")</f>
        <v>0</v>
      </c>
    </row>
    <row r="537" spans="1:5" x14ac:dyDescent="0.25">
      <c r="A537" s="110" t="s">
        <v>991</v>
      </c>
      <c r="B537" s="110" t="s">
        <v>990</v>
      </c>
      <c r="C537" s="110">
        <v>4000</v>
      </c>
      <c r="D537" s="110">
        <v>6300</v>
      </c>
      <c r="E537" s="111">
        <f>SUMIFS('Accounting data'!$G$2:$G$37000,'Accounting data'!$H$2:$H$37000,"9999*",'Accounting data'!$J$2:$J$37000,"4*",'Accounting data'!$K$2:$K$37000,"63*")</f>
        <v>0</v>
      </c>
    </row>
    <row r="538" spans="1:5" x14ac:dyDescent="0.25">
      <c r="A538" s="110" t="s">
        <v>991</v>
      </c>
      <c r="B538" s="110" t="s">
        <v>990</v>
      </c>
      <c r="C538" s="110">
        <v>4000</v>
      </c>
      <c r="D538" s="110">
        <v>6400</v>
      </c>
      <c r="E538" s="111">
        <f>SUMIFS('Accounting data'!$G$2:$G$37000,'Accounting data'!$H$2:$H$37000,"9999*",'Accounting data'!$J$2:$J$37000,"4*",'Accounting data'!$K$2:$K$37000,"64*")</f>
        <v>0</v>
      </c>
    </row>
    <row r="539" spans="1:5" x14ac:dyDescent="0.25">
      <c r="A539" s="110" t="s">
        <v>991</v>
      </c>
      <c r="B539" s="110" t="s">
        <v>990</v>
      </c>
      <c r="C539" s="110">
        <v>4000</v>
      </c>
      <c r="D539" s="110">
        <v>6500</v>
      </c>
      <c r="E539" s="111">
        <f>SUMIFS('Accounting data'!$G$2:$G$37000,'Accounting data'!$H$2:$H$37000,"9999*",'Accounting data'!$J$2:$J$37000,"4*",'Accounting data'!$K$2:$K$37000,"65*")</f>
        <v>0</v>
      </c>
    </row>
    <row r="540" spans="1:5" x14ac:dyDescent="0.25">
      <c r="A540" s="110" t="s">
        <v>990</v>
      </c>
      <c r="B540" s="110" t="s">
        <v>992</v>
      </c>
      <c r="C540" s="110">
        <v>4000</v>
      </c>
      <c r="D540" s="119" t="s">
        <v>1022</v>
      </c>
      <c r="E540" s="111">
        <f>SUMIFS('Accounting data'!$G$2:$G$37000,'Accounting data'!$I$2:$I$37000,"7*",'Accounting data'!$J$2:$J$37000,"4*",'Accounting data'!$K$2:$K$37000,"63*")+SUMIFS('Accounting data'!$G$2:$G$37000,'Accounting data'!$I$2:$I$37000,"8*",'Accounting data'!$J$2:$J$37000,"4*",'Accounting data'!$K$2:$K$37000,"63*")+SUMIFS('Accounting data'!$G$2:$G$37000,'Accounting data'!$I$2:$I$37000,"9*",'Accounting data'!$J$2:$J$37000,"4*",'Accounting data'!$K$2:$K$37000,"63*")+SUMIFS('Accounting data'!$G$2:$G$37000,'Accounting data'!$I$2:$I$37000,"7*",'Accounting data'!$J$2:$J$37000,"4*",'Accounting data'!$K$2:$K$37000,"64*")+SUMIFS('Accounting data'!$G$2:$G$37000,'Accounting data'!$I$2:$I$37000,"8*",'Accounting data'!$J$2:$J$37000,"4*",'Accounting data'!$K$2:$K$37000,"64*")+SUMIFS('Accounting data'!$G$2:$G$37000,'Accounting data'!$I$2:$I$37000,"9*",'Accounting data'!$J$2:$J$37000,"4*",'Accounting data'!$K$2:$K$37000,"64*")+SUMIFS('Accounting data'!$G$2:$G$37000,'Accounting data'!$I$2:$I$37000,"7*",'Accounting data'!$J$2:$J$37000,"4*",'Accounting data'!$K$2:$K$37000,"65*")+SUMIFS('Accounting data'!$G$2:$G$37000,'Accounting data'!$I$2:$I$37000,"8*",'Accounting data'!$J$2:$J$37000,"4*",'Accounting data'!$K$2:$K$37000,"65*")+SUMIFS('Accounting data'!$G$2:$G$37000,'Accounting data'!$I$2:$I$37000,"9*",'Accounting data'!$J$2:$J$37000,"4*",'Accounting data'!$K$2:$K$37000,"65*")</f>
        <v>0</v>
      </c>
    </row>
    <row r="541" spans="1:5" x14ac:dyDescent="0.25">
      <c r="A541" s="112" t="s">
        <v>991</v>
      </c>
      <c r="B541" s="110" t="s">
        <v>992</v>
      </c>
      <c r="C541" s="110">
        <v>4000</v>
      </c>
      <c r="D541" s="110">
        <v>6300</v>
      </c>
      <c r="E541" s="111">
        <f>SUMIFS('Accounting data'!$G$2:$G$37000,'Accounting data'!$H$2:$H$37000,"9999*",'Accounting data'!$I$2:$I$37000,"7*",'Accounting data'!$J$2:$J$37000,"4*",'Accounting data'!$K$2:$K$37000,"63*")+SUMIFS('Accounting data'!$G$2:$G$37000,'Accounting data'!$H$2:$H$37000,"9999*",'Accounting data'!$I$2:$I$37000,"8*",'Accounting data'!$J$2:$J$37000,"4*",'Accounting data'!$K$2:$K$37000,"63*")+SUMIFS('Accounting data'!$G$2:$G$37000,'Accounting data'!$H$2:$H$37000,"9999*",'Accounting data'!$I$2:$I$37000,"9*",'Accounting data'!$J$2:$J$37000,"4*",'Accounting data'!$K$2:$K$37000,"63*")</f>
        <v>0</v>
      </c>
    </row>
    <row r="542" spans="1:5" x14ac:dyDescent="0.25">
      <c r="A542" s="112" t="s">
        <v>991</v>
      </c>
      <c r="B542" s="110" t="s">
        <v>992</v>
      </c>
      <c r="C542" s="110">
        <v>4000</v>
      </c>
      <c r="D542" s="110">
        <v>6400</v>
      </c>
      <c r="E542" s="111">
        <f>SUMIFS('Accounting data'!$G$2:$G$37000,'Accounting data'!$H$2:$H$37000,"9999*",'Accounting data'!$I$2:$I$37000,"7*",'Accounting data'!$J$2:$J$37000,"4*",'Accounting data'!$K$2:$K$37000,"64*")+SUMIFS('Accounting data'!$G$2:$G$37000,'Accounting data'!$H$2:$H$37000,"9999*",'Accounting data'!$I$2:$I$37000,"8*",'Accounting data'!$J$2:$J$37000,"4*",'Accounting data'!$K$2:$K$37000,"64*")+SUMIFS('Accounting data'!$G$2:$G$37000,'Accounting data'!$H$2:$H$37000,"9999*",'Accounting data'!$I$2:$I$37000,"9*",'Accounting data'!$J$2:$J$37000,"4*",'Accounting data'!$K$2:$K$37000,"64*")</f>
        <v>0</v>
      </c>
    </row>
    <row r="543" spans="1:5" x14ac:dyDescent="0.25">
      <c r="A543" s="112" t="s">
        <v>991</v>
      </c>
      <c r="B543" s="110" t="s">
        <v>992</v>
      </c>
      <c r="C543" s="110">
        <v>4000</v>
      </c>
      <c r="D543" s="110">
        <v>6500</v>
      </c>
      <c r="E543" s="111">
        <f>SUMIFS('Accounting data'!$G$2:$G$37000,'Accounting data'!$H$2:$H$37000,"9999*",'Accounting data'!$I$2:$I$37000,"7*",'Accounting data'!$J$2:$J$37000,"4*",'Accounting data'!$K$2:$K$37000,"65*")+SUMIFS('Accounting data'!$G$2:$G$37000,'Accounting data'!$H$2:$H$37000,"9999*",'Accounting data'!$I$2:$I$37000,"8*",'Accounting data'!$J$2:$J$37000,"4*",'Accounting data'!$K$2:$K$37000,"65*")+SUMIFS('Accounting data'!$G$2:$G$37000,'Accounting data'!$H$2:$H$37000,"9999*",'Accounting data'!$I$2:$I$37000,"9*",'Accounting data'!$J$2:$J$37000,"4*",'Accounting data'!$K$2:$K$37000,"65*")</f>
        <v>0</v>
      </c>
    </row>
    <row r="562" spans="1:5" x14ac:dyDescent="0.25">
      <c r="A562" s="113" t="s">
        <v>1034</v>
      </c>
      <c r="B562" s="113"/>
      <c r="C562" s="113"/>
      <c r="D562" s="113"/>
      <c r="E562" s="115">
        <f>((E536-E537-E538-E539-E540)+(E541+E542+E543+E544+E545+E546+E547+E548+E549))-((E550-E551-E552)+(E553+E554+E555))-((E556-E557-E558)+(E559+E560+E561))</f>
        <v>0</v>
      </c>
    </row>
    <row r="563" spans="1:5" x14ac:dyDescent="0.25">
      <c r="A563" s="116" t="s">
        <v>1035</v>
      </c>
      <c r="B563" s="116"/>
      <c r="C563" s="116"/>
      <c r="D563" s="116"/>
      <c r="E563" s="120">
        <f>E238+E265+E292+E319+E346+E373+E400+E427+E454+E481+E508+E535</f>
        <v>443202</v>
      </c>
    </row>
    <row r="564" spans="1:5" ht="14.25" customHeight="1" x14ac:dyDescent="0.3">
      <c r="A564" s="110" t="s">
        <v>1006</v>
      </c>
      <c r="B564" s="110" t="s">
        <v>990</v>
      </c>
      <c r="C564" s="110">
        <v>1000</v>
      </c>
      <c r="D564" s="110">
        <v>6300</v>
      </c>
      <c r="E564" s="118">
        <f>SUMIFS('Accounting data'!$G$2:$G$37000,'Accounting data'!$H$2:$H$37000,"11*",'Accounting data'!$J$2:$J$37000,"1*",'Accounting data'!$K$2:$K$37000,"63*")+SUMIFS('Accounting data'!$G$2:$G$37000,'Accounting data'!$H$2:$H$37000,"12*",'Accounting data'!$J$2:$J$37000,"1*",'Accounting data'!$K$2:$K$37000,"63*")+SUMIFS('Accounting data'!$G$2:$G$37000,'Accounting data'!$H$2:$H$37000,"13*",'Accounting data'!$J$2:$J$37000,"1*",'Accounting data'!$K$2:$K$37000,"63*")</f>
        <v>0</v>
      </c>
    </row>
    <row r="565" spans="1:5" ht="14.25" customHeight="1" x14ac:dyDescent="0.3">
      <c r="A565" s="110" t="s">
        <v>1006</v>
      </c>
      <c r="B565" s="110" t="s">
        <v>990</v>
      </c>
      <c r="C565" s="110">
        <v>2000</v>
      </c>
      <c r="D565" s="110">
        <v>6300</v>
      </c>
      <c r="E565" s="118">
        <f>SUMIFS('Accounting data'!$G$2:$G$37000,'Accounting data'!$H$2:$H$37000,"11*",'Accounting data'!$J$2:$J$37000,"2*",'Accounting data'!$K$2:$K$37000,"63*")+SUMIFS('Accounting data'!$G$2:$G$37000,'Accounting data'!$H$2:$H$37000,"12*",'Accounting data'!$J$2:$J$37000,"2*",'Accounting data'!$K$2:$K$37000,"63*")+SUMIFS('Accounting data'!$G$2:$G$37000,'Accounting data'!$H$2:$H$37000,"13*",'Accounting data'!$J$2:$J$37000,"2*",'Accounting data'!$K$2:$K$37000,"63*")</f>
        <v>30584</v>
      </c>
    </row>
    <row r="566" spans="1:5" ht="14.25" customHeight="1" x14ac:dyDescent="0.3">
      <c r="A566" s="110" t="s">
        <v>1006</v>
      </c>
      <c r="B566" s="110" t="s">
        <v>990</v>
      </c>
      <c r="C566" s="110">
        <v>3000</v>
      </c>
      <c r="D566" s="110">
        <v>6300</v>
      </c>
      <c r="E566" s="118">
        <f>SUMIFS('Accounting data'!$G$2:$G$37000,'Accounting data'!$H$2:$H$37000,"11*",'Accounting data'!$J$2:$J$37000,"3*",'Accounting data'!$K$2:$K$37000,"63*")+SUMIFS('Accounting data'!$G$2:$G$37000,'Accounting data'!$H$2:$H$37000,"12*",'Accounting data'!$J$2:$J$37000,"3*",'Accounting data'!$K$2:$K$37000,"63*")+SUMIFS('Accounting data'!$G$2:$G$37000,'Accounting data'!$H$2:$H$37000,"13*",'Accounting data'!$J$2:$J$37000,"3*",'Accounting data'!$K$2:$K$37000,"63*")</f>
        <v>0</v>
      </c>
    </row>
    <row r="567" spans="1:5" ht="14.25" customHeight="1" x14ac:dyDescent="0.3">
      <c r="A567" s="110" t="s">
        <v>1006</v>
      </c>
      <c r="B567" s="112">
        <v>700</v>
      </c>
      <c r="C567" s="110">
        <v>1000</v>
      </c>
      <c r="D567" s="110">
        <v>6300</v>
      </c>
      <c r="E567" s="118">
        <f>SUMIFS('Accounting data'!$G$2:$G$37000,'Accounting data'!$H$2:$H$37000,"11*",'Accounting data'!$I$2:$I$37000,"7*",'Accounting data'!$J$2:$J$37000,"1*",'Accounting data'!$K$2:$K$37000,"63*")+SUMIFS('Accounting data'!$G$2:$G$37000,'Accounting data'!$H$2:$H$37000,"12*",'Accounting data'!$I$2:$I$37000,"7*",'Accounting data'!$J$2:$J$37000,"1*",'Accounting data'!$K$2:$K$37000,"63*")+SUMIFS('Accounting data'!$G$2:$G$37000,'Accounting data'!$H$2:$H$37000,"13*",'Accounting data'!$I$2:$I$37000,"7*",'Accounting data'!$J$2:$J$37000,"1*",'Accounting data'!$K$2:$K$37000,"63*")</f>
        <v>0</v>
      </c>
    </row>
    <row r="568" spans="1:5" ht="14.25" customHeight="1" x14ac:dyDescent="0.3">
      <c r="A568" s="110" t="s">
        <v>1006</v>
      </c>
      <c r="B568" s="112">
        <v>800</v>
      </c>
      <c r="C568" s="110">
        <v>1000</v>
      </c>
      <c r="D568" s="110">
        <v>6300</v>
      </c>
      <c r="E568" s="118">
        <f>SUMIFS('Accounting data'!$G$2:$G$37000,'Accounting data'!$H$2:$H$37000,"11*",'Accounting data'!$I$2:$I$37000,"8*",'Accounting data'!$J$2:$J$37000,"1*",'Accounting data'!$K$2:$K$37000,"63*")+SUMIFS('Accounting data'!$G$2:$G$37000,'Accounting data'!$H$2:$H$37000,"12*",'Accounting data'!$I$2:$I$37000,"8*",'Accounting data'!$J$2:$J$37000,"1*",'Accounting data'!$K$2:$K$37000,"63*")+SUMIFS('Accounting data'!$G$2:$G$37000,'Accounting data'!$H$2:$H$37000,"13*",'Accounting data'!$I$2:$I$37000,"8*",'Accounting data'!$J$2:$J$37000,"1*",'Accounting data'!$K$2:$K$37000,"63*")</f>
        <v>0</v>
      </c>
    </row>
    <row r="569" spans="1:5" ht="14.25" customHeight="1" x14ac:dyDescent="0.3">
      <c r="A569" s="110" t="s">
        <v>1006</v>
      </c>
      <c r="B569" s="112">
        <v>900</v>
      </c>
      <c r="C569" s="110">
        <v>1000</v>
      </c>
      <c r="D569" s="110">
        <v>6300</v>
      </c>
      <c r="E569" s="118">
        <f>SUMIFS('Accounting data'!$G$2:$G$37000,'Accounting data'!$H$2:$H$37000,"11*",'Accounting data'!$I$2:$I$37000,"9*",'Accounting data'!$J$2:$J$37000,"1*",'Accounting data'!$K$2:$K$37000,"63*")+SUMIFS('Accounting data'!$G$2:$G$37000,'Accounting data'!$H$2:$H$37000,"12*",'Accounting data'!$I$2:$I$37000,"9*",'Accounting data'!$J$2:$J$37000,"1*",'Accounting data'!$K$2:$K$37000,"63*")+SUMIFS('Accounting data'!$G$2:$G$37000,'Accounting data'!$H$2:$H$37000,"13*",'Accounting data'!$I$2:$I$37000,"9*",'Accounting data'!$J$2:$J$37000,"1*",'Accounting data'!$K$2:$K$37000,"63*")</f>
        <v>0</v>
      </c>
    </row>
    <row r="570" spans="1:5" x14ac:dyDescent="0.25">
      <c r="A570" s="110" t="s">
        <v>1006</v>
      </c>
      <c r="B570" s="112">
        <v>700</v>
      </c>
      <c r="C570" s="110">
        <v>2000</v>
      </c>
      <c r="D570" s="110">
        <v>6300</v>
      </c>
      <c r="E570" s="111">
        <f>SUMIFS('Accounting data'!$G$2:$G$37000,'Accounting data'!$H$2:$H$37000,"11*",'Accounting data'!$I$2:$I$37000,"7*",'Accounting data'!$J$2:$J$37000,"2*",'Accounting data'!$K$2:$K$37000,"63*")+SUMIFS('Accounting data'!$G$2:$G$37000,'Accounting data'!$H$2:$H$37000,"12*",'Accounting data'!$I$2:$I$37000,"7*",'Accounting data'!$J$2:$J$37000,"2*",'Accounting data'!$K$2:$K$37000,"63*")+SUMIFS('Accounting data'!$G$2:$G$37000,'Accounting data'!$H$2:$H$37000,"13*",'Accounting data'!$I$2:$I$37000,"7*",'Accounting data'!$J$2:$J$37000,"2*",'Accounting data'!$K$2:$K$37000,"63*")</f>
        <v>0</v>
      </c>
    </row>
    <row r="571" spans="1:5" x14ac:dyDescent="0.25">
      <c r="A571" s="110" t="s">
        <v>1006</v>
      </c>
      <c r="B571" s="112">
        <v>800</v>
      </c>
      <c r="C571" s="110">
        <v>2000</v>
      </c>
      <c r="D571" s="110">
        <v>6300</v>
      </c>
      <c r="E571" s="111">
        <f>SUMIFS('Accounting data'!$G$2:$G$37000,'Accounting data'!$H$2:$H$37000,"11*",'Accounting data'!$I$2:$I$37000,"8*",'Accounting data'!$J$2:$J$37000,"2*",'Accounting data'!$K$2:$K$37000,"63*")+SUMIFS('Accounting data'!$G$2:$G$37000,'Accounting data'!$H$2:$H$37000,"12*",'Accounting data'!$I$2:$I$37000,"8*",'Accounting data'!$J$2:$J$37000,"2*",'Accounting data'!$K$2:$K$37000,"63*")+SUMIFS('Accounting data'!$G$2:$G$37000,'Accounting data'!$H$2:$H$37000,"13*",'Accounting data'!$I$2:$I$37000,"8*",'Accounting data'!$J$2:$J$37000,"2*",'Accounting data'!$K$2:$K$37000,"63*")</f>
        <v>0</v>
      </c>
    </row>
    <row r="572" spans="1:5" x14ac:dyDescent="0.25">
      <c r="A572" s="110" t="s">
        <v>1006</v>
      </c>
      <c r="B572" s="112">
        <v>900</v>
      </c>
      <c r="C572" s="110">
        <v>2000</v>
      </c>
      <c r="D572" s="110">
        <v>6300</v>
      </c>
      <c r="E572" s="111">
        <f>SUMIFS('Accounting data'!$G$2:$G$37000,'Accounting data'!$H$2:$H$37000,"11*",'Accounting data'!$I$2:$I$37000,"9*",'Accounting data'!$J$2:$J$37000,"2*",'Accounting data'!$K$2:$K$37000,"63*")+SUMIFS('Accounting data'!$G$2:$G$37000,'Accounting data'!$H$2:$H$37000,"12*",'Accounting data'!$I$2:$I$37000,"9*",'Accounting data'!$J$2:$J$37000,"2*",'Accounting data'!$K$2:$K$37000,"63*")+SUMIFS('Accounting data'!$G$2:$G$37000,'Accounting data'!$H$2:$H$37000,"13*",'Accounting data'!$I$2:$I$37000,"9*",'Accounting data'!$J$2:$J$37000,"2*",'Accounting data'!$K$2:$K$37000,"63*")</f>
        <v>0</v>
      </c>
    </row>
    <row r="573" spans="1:5" x14ac:dyDescent="0.25">
      <c r="A573" s="110" t="s">
        <v>1006</v>
      </c>
      <c r="B573" s="112">
        <v>700</v>
      </c>
      <c r="C573" s="110">
        <v>3000</v>
      </c>
      <c r="D573" s="110">
        <v>6300</v>
      </c>
      <c r="E573" s="111">
        <f>SUMIFS('Accounting data'!$G$2:$G$37000,'Accounting data'!$H$2:$H$37000,"11*",'Accounting data'!$I$2:$I$37000,"7*",'Accounting data'!$J$2:$J$37000,"3*",'Accounting data'!$K$2:$K$37000,"63*")+SUMIFS('Accounting data'!$G$2:$G$37000,'Accounting data'!$H$2:$H$37000,"12*",'Accounting data'!$I$2:$I$37000,"7*",'Accounting data'!$J$2:$J$37000,"3*",'Accounting data'!$K$2:$K$37000,"63*")+SUMIFS('Accounting data'!$G$2:$G$37000,'Accounting data'!$H$2:$H$37000,"13*",'Accounting data'!$I$2:$I$37000,"7*",'Accounting data'!$J$2:$J$37000,"3*",'Accounting data'!$K$2:$K$37000,"63*")</f>
        <v>0</v>
      </c>
    </row>
    <row r="574" spans="1:5" x14ac:dyDescent="0.25">
      <c r="A574" s="110" t="s">
        <v>1006</v>
      </c>
      <c r="B574" s="112">
        <v>800</v>
      </c>
      <c r="C574" s="110">
        <v>3000</v>
      </c>
      <c r="D574" s="110">
        <v>6300</v>
      </c>
      <c r="E574" s="111">
        <f>SUMIFS('Accounting data'!$G$2:$G$37000,'Accounting data'!$H$2:$H$37000,"11*",'Accounting data'!$I$2:$I$37000,"8*",'Accounting data'!$J$2:$J$37000,"3*",'Accounting data'!$K$2:$K$37000,"63*")+SUMIFS('Accounting data'!$G$2:$G$37000,'Accounting data'!$H$2:$H$37000,"12*",'Accounting data'!$I$2:$I$37000,"8*",'Accounting data'!$J$2:$J$37000,"3*",'Accounting data'!$K$2:$K$37000,"63*")+SUMIFS('Accounting data'!$G$2:$G$37000,'Accounting data'!$H$2:$H$37000,"13*",'Accounting data'!$I$2:$I$37000,"8*",'Accounting data'!$J$2:$J$37000,"3*",'Accounting data'!$K$2:$K$37000,"63*")</f>
        <v>0</v>
      </c>
    </row>
    <row r="575" spans="1:5" x14ac:dyDescent="0.25">
      <c r="A575" s="110" t="s">
        <v>1006</v>
      </c>
      <c r="B575" s="112">
        <v>900</v>
      </c>
      <c r="C575" s="110">
        <v>3000</v>
      </c>
      <c r="D575" s="110">
        <v>6300</v>
      </c>
      <c r="E575" s="111">
        <f>SUMIFS('Accounting data'!$G$2:$G$37000,'Accounting data'!$H$2:$H$37000,"11*",'Accounting data'!$I$2:$I$37000,"9*",'Accounting data'!$J$2:$J$37000,"3*",'Accounting data'!$K$2:$K$37000,"63*")+SUMIFS('Accounting data'!$G$2:$G$37000,'Accounting data'!$H$2:$H$37000,"12*",'Accounting data'!$I$2:$I$37000,"9*",'Accounting data'!$J$2:$J$37000,"3*",'Accounting data'!$K$2:$K$37000,"63*")+SUMIFS('Accounting data'!$G$2:$G$37000,'Accounting data'!$H$2:$H$37000,"13*",'Accounting data'!$I$2:$I$37000,"9*",'Accounting data'!$J$2:$J$37000,"3*",'Accounting data'!$K$2:$K$37000,"63*")</f>
        <v>0</v>
      </c>
    </row>
    <row r="576" spans="1:5" x14ac:dyDescent="0.25">
      <c r="A576" s="113" t="s">
        <v>1036</v>
      </c>
      <c r="B576" s="113"/>
      <c r="C576" s="113"/>
      <c r="D576" s="113"/>
      <c r="E576" s="115">
        <f>(E564+E565+E566)-(E567+E568+E569+E570+E571+E572+E573+E574+E575)</f>
        <v>30584</v>
      </c>
    </row>
    <row r="577" spans="1:5" x14ac:dyDescent="0.25">
      <c r="A577" s="110" t="s">
        <v>1006</v>
      </c>
      <c r="B577" s="110" t="s">
        <v>990</v>
      </c>
      <c r="C577" s="110">
        <v>1000</v>
      </c>
      <c r="D577" s="110">
        <v>6400</v>
      </c>
      <c r="E577" s="111">
        <f>SUMIFS('Accounting data'!$G$2:$G$37000,'Accounting data'!$H$2:$H$37000,"11*",'Accounting data'!$J$2:$J$37000,"1*",'Accounting data'!$K$2:$K$37000,"64*")+SUMIFS('Accounting data'!$G$2:$G$37000,'Accounting data'!$H$2:$H$37000,"12*",'Accounting data'!$J$2:$J$37000,"1*",'Accounting data'!$K$2:$K$37000,"64*")+SUMIFS('Accounting data'!$G$2:$G$37000,'Accounting data'!$H$2:$H$37000,"13*",'Accounting data'!$J$2:$J$37000,"1*",'Accounting data'!$K$2:$K$37000,"64*")</f>
        <v>0</v>
      </c>
    </row>
    <row r="578" spans="1:5" x14ac:dyDescent="0.25">
      <c r="A578" s="110" t="s">
        <v>1006</v>
      </c>
      <c r="B578" s="110" t="s">
        <v>990</v>
      </c>
      <c r="C578" s="110">
        <v>2000</v>
      </c>
      <c r="D578" s="110">
        <v>6400</v>
      </c>
      <c r="E578" s="111">
        <f>SUMIFS('Accounting data'!$G$2:$G$37000,'Accounting data'!$H$2:$H$37000,"11*",'Accounting data'!$J$2:$J$37000,"2*",'Accounting data'!$K$2:$K$37000,"64*")+SUMIFS('Accounting data'!$G$2:$G$37000,'Accounting data'!$H$2:$H$37000,"12*",'Accounting data'!$J$2:$J$37000,"2*",'Accounting data'!$K$2:$K$37000,"64*")+SUMIFS('Accounting data'!$G$2:$G$37000,'Accounting data'!$H$2:$H$37000,"13*",'Accounting data'!$J$2:$J$37000,"2*",'Accounting data'!$K$2:$K$37000,"64*")</f>
        <v>0</v>
      </c>
    </row>
    <row r="579" spans="1:5" x14ac:dyDescent="0.25">
      <c r="A579" s="110" t="s">
        <v>1006</v>
      </c>
      <c r="B579" s="110" t="s">
        <v>990</v>
      </c>
      <c r="C579" s="110">
        <v>3000</v>
      </c>
      <c r="D579" s="110">
        <v>6400</v>
      </c>
      <c r="E579" s="111">
        <f>SUMIFS('Accounting data'!$G$2:$G$37000,'Accounting data'!$H$2:$H$37000,"11*",'Accounting data'!$J$2:$J$37000,"3*",'Accounting data'!$K$2:$K$37000,"64*")+SUMIFS('Accounting data'!$G$2:$G$37000,'Accounting data'!$H$2:$H$37000,"12*",'Accounting data'!$J$2:$J$37000,"3*",'Accounting data'!$K$2:$K$37000,"64*")+SUMIFS('Accounting data'!$G$2:$G$37000,'Accounting data'!$H$2:$H$37000,"13*",'Accounting data'!$J$2:$J$37000,"3*",'Accounting data'!$K$2:$K$37000,"64*")</f>
        <v>0</v>
      </c>
    </row>
    <row r="580" spans="1:5" x14ac:dyDescent="0.25">
      <c r="A580" s="110" t="s">
        <v>1006</v>
      </c>
      <c r="B580" s="112">
        <v>700</v>
      </c>
      <c r="C580" s="110">
        <v>1000</v>
      </c>
      <c r="D580" s="110">
        <v>6400</v>
      </c>
      <c r="E580" s="111">
        <f>SUMIFS('Accounting data'!$G$2:$G$37000,'Accounting data'!$H$2:$H$37000,"11*",'Accounting data'!$I$2:$I$37000,"7*",'Accounting data'!$J$2:$J$37000,"1*",'Accounting data'!$K$2:$K$37000,"64*")+SUMIFS('Accounting data'!$G$2:$G$37000,'Accounting data'!$H$2:$H$37000,"12*",'Accounting data'!$I$2:$I$37000,"7*",'Accounting data'!$J$2:$J$37000,"1*",'Accounting data'!$K$2:$K$37000,"64*")+SUMIFS('Accounting data'!$G$2:$G$37000,'Accounting data'!$H$2:$H$37000,"13*",'Accounting data'!$I$2:$I$37000,"7*",'Accounting data'!$J$2:$J$37000,"1*",'Accounting data'!$K$2:$K$37000,"64*")</f>
        <v>0</v>
      </c>
    </row>
    <row r="581" spans="1:5" x14ac:dyDescent="0.25">
      <c r="A581" s="110" t="s">
        <v>1006</v>
      </c>
      <c r="B581" s="112">
        <v>800</v>
      </c>
      <c r="C581" s="110">
        <v>1000</v>
      </c>
      <c r="D581" s="110">
        <v>6400</v>
      </c>
      <c r="E581" s="111">
        <f>SUMIFS('Accounting data'!$G$2:$G$37000,'Accounting data'!$H$2:$H$37000,"11*",'Accounting data'!$I$2:$I$37000,"8*",'Accounting data'!$J$2:$J$37000,"1*",'Accounting data'!$K$2:$K$37000,"64*")+SUMIFS('Accounting data'!$G$2:$G$37000,'Accounting data'!$H$2:$H$37000,"12*",'Accounting data'!$I$2:$I$37000,"8*",'Accounting data'!$J$2:$J$37000,"1*",'Accounting data'!$K$2:$K$37000,"64*")+SUMIFS('Accounting data'!$G$2:$G$37000,'Accounting data'!$H$2:$H$37000,"13*",'Accounting data'!$I$2:$I$37000,"8*",'Accounting data'!$J$2:$J$37000,"1*",'Accounting data'!$K$2:$K$37000,"64*")</f>
        <v>0</v>
      </c>
    </row>
    <row r="582" spans="1:5" x14ac:dyDescent="0.25">
      <c r="A582" s="110" t="s">
        <v>1006</v>
      </c>
      <c r="B582" s="112">
        <v>900</v>
      </c>
      <c r="C582" s="110">
        <v>1000</v>
      </c>
      <c r="D582" s="110">
        <v>6400</v>
      </c>
      <c r="E582" s="111">
        <f>SUMIFS('Accounting data'!$G$2:$G$37000,'Accounting data'!$H$2:$H$37000,"11*",'Accounting data'!$I$2:$I$37000,"9*",'Accounting data'!$J$2:$J$37000,"1*",'Accounting data'!$K$2:$K$37000,"64*")+SUMIFS('Accounting data'!$G$2:$G$37000,'Accounting data'!$H$2:$H$37000,"12*",'Accounting data'!$I$2:$I$37000,"9*",'Accounting data'!$J$2:$J$37000,"1*",'Accounting data'!$K$2:$K$37000,"64*")+SUMIFS('Accounting data'!$G$2:$G$37000,'Accounting data'!$H$2:$H$37000,"13*",'Accounting data'!$I$2:$I$37000,"9*",'Accounting data'!$J$2:$J$37000,"1*",'Accounting data'!$K$2:$K$37000,"64*")</f>
        <v>0</v>
      </c>
    </row>
    <row r="583" spans="1:5" x14ac:dyDescent="0.25">
      <c r="A583" s="110" t="s">
        <v>1006</v>
      </c>
      <c r="B583" s="112">
        <v>700</v>
      </c>
      <c r="C583" s="110">
        <v>2000</v>
      </c>
      <c r="D583" s="110">
        <v>6400</v>
      </c>
      <c r="E583" s="111">
        <f>SUMIFS('Accounting data'!$G$2:$G$37000,'Accounting data'!$H$2:$H$37000,"11*",'Accounting data'!$I$2:$I$37000,"7*",'Accounting data'!$J$2:$J$37000,"2*",'Accounting data'!$K$2:$K$37000,"64*")+SUMIFS('Accounting data'!$G$2:$G$37000,'Accounting data'!$H$2:$H$37000,"12*",'Accounting data'!$I$2:$I$37000,"7*",'Accounting data'!$J$2:$J$37000,"2*",'Accounting data'!$K$2:$K$37000,"64*")+SUMIFS('Accounting data'!$G$2:$G$37000,'Accounting data'!$H$2:$H$37000,"13*",'Accounting data'!$I$2:$I$37000,"7*",'Accounting data'!$J$2:$J$37000,"2*",'Accounting data'!$K$2:$K$37000,"64*")</f>
        <v>0</v>
      </c>
    </row>
    <row r="584" spans="1:5" x14ac:dyDescent="0.25">
      <c r="A584" s="110" t="s">
        <v>1006</v>
      </c>
      <c r="B584" s="112">
        <v>800</v>
      </c>
      <c r="C584" s="110">
        <v>2000</v>
      </c>
      <c r="D584" s="110">
        <v>6400</v>
      </c>
      <c r="E584" s="111">
        <f>SUMIFS('Accounting data'!$G$2:$G$37000,'Accounting data'!$H$2:$H$37000,"11*",'Accounting data'!$I$2:$I$37000,"8*",'Accounting data'!$J$2:$J$37000,"2*",'Accounting data'!$K$2:$K$37000,"64*")+SUMIFS('Accounting data'!$G$2:$G$37000,'Accounting data'!$H$2:$H$37000,"12*",'Accounting data'!$I$2:$I$37000,"8*",'Accounting data'!$J$2:$J$37000,"2*",'Accounting data'!$K$2:$K$37000,"64*")+SUMIFS('Accounting data'!$G$2:$G$37000,'Accounting data'!$H$2:$H$37000,"13*",'Accounting data'!$I$2:$I$37000,"8*",'Accounting data'!$J$2:$J$37000,"2*",'Accounting data'!$K$2:$K$37000,"64*")</f>
        <v>0</v>
      </c>
    </row>
    <row r="585" spans="1:5" x14ac:dyDescent="0.25">
      <c r="A585" s="110" t="s">
        <v>1006</v>
      </c>
      <c r="B585" s="112">
        <v>900</v>
      </c>
      <c r="C585" s="110">
        <v>2000</v>
      </c>
      <c r="D585" s="110">
        <v>6400</v>
      </c>
      <c r="E585" s="111">
        <f>SUMIFS('Accounting data'!$G$2:$G$37000,'Accounting data'!$H$2:$H$37000,"11*",'Accounting data'!$I$2:$I$37000,"9*",'Accounting data'!$J$2:$J$37000,"2*",'Accounting data'!$K$2:$K$37000,"64*")+SUMIFS('Accounting data'!$G$2:$G$37000,'Accounting data'!$H$2:$H$37000,"12*",'Accounting data'!$I$2:$I$37000,"9*",'Accounting data'!$J$2:$J$37000,"2*",'Accounting data'!$K$2:$K$37000,"64*")+SUMIFS('Accounting data'!$G$2:$G$37000,'Accounting data'!$H$2:$H$37000,"13*",'Accounting data'!$I$2:$I$37000,"9*",'Accounting data'!$J$2:$J$37000,"2*",'Accounting data'!$K$2:$K$37000,"64*")</f>
        <v>0</v>
      </c>
    </row>
    <row r="586" spans="1:5" x14ac:dyDescent="0.25">
      <c r="A586" s="110" t="s">
        <v>1006</v>
      </c>
      <c r="B586" s="112">
        <v>700</v>
      </c>
      <c r="C586" s="110">
        <v>3000</v>
      </c>
      <c r="D586" s="110">
        <v>6400</v>
      </c>
      <c r="E586" s="111">
        <f>SUMIFS('Accounting data'!$G$2:$G$37000,'Accounting data'!$H$2:$H$37000,"11*",'Accounting data'!$I$2:$I$37000,"7*",'Accounting data'!$J$2:$J$37000,"3*",'Accounting data'!$K$2:$K$37000,"64*")+SUMIFS('Accounting data'!$G$2:$G$37000,'Accounting data'!$H$2:$H$37000,"12*",'Accounting data'!$I$2:$I$37000,"7*",'Accounting data'!$J$2:$J$37000,"3*",'Accounting data'!$K$2:$K$37000,"64*")+SUMIFS('Accounting data'!$G$2:$G$37000,'Accounting data'!$H$2:$H$37000,"13*",'Accounting data'!$I$2:$I$37000,"7*",'Accounting data'!$J$2:$J$37000,"3*",'Accounting data'!$K$2:$K$37000,"64*")</f>
        <v>0</v>
      </c>
    </row>
    <row r="587" spans="1:5" x14ac:dyDescent="0.25">
      <c r="A587" s="110" t="s">
        <v>1006</v>
      </c>
      <c r="B587" s="112">
        <v>800</v>
      </c>
      <c r="C587" s="110">
        <v>3000</v>
      </c>
      <c r="D587" s="110">
        <v>6400</v>
      </c>
      <c r="E587" s="111">
        <f>SUMIFS('Accounting data'!$G$2:$G$37000,'Accounting data'!$H$2:$H$37000,"11*",'Accounting data'!$I$2:$I$37000,"8*",'Accounting data'!$J$2:$J$37000,"3*",'Accounting data'!$K$2:$K$37000,"64*")+SUMIFS('Accounting data'!$G$2:$G$37000,'Accounting data'!$H$2:$H$37000,"12*",'Accounting data'!$I$2:$I$37000,"8*",'Accounting data'!$J$2:$J$37000,"3*",'Accounting data'!$K$2:$K$37000,"64*")+SUMIFS('Accounting data'!$G$2:$G$37000,'Accounting data'!$H$2:$H$37000,"13*",'Accounting data'!$I$2:$I$37000,"8*",'Accounting data'!$J$2:$J$37000,"3*",'Accounting data'!$K$2:$K$37000,"64*")</f>
        <v>0</v>
      </c>
    </row>
    <row r="588" spans="1:5" x14ac:dyDescent="0.25">
      <c r="A588" s="110" t="s">
        <v>1006</v>
      </c>
      <c r="B588" s="112">
        <v>900</v>
      </c>
      <c r="C588" s="110">
        <v>3000</v>
      </c>
      <c r="D588" s="110">
        <v>6400</v>
      </c>
      <c r="E588" s="111">
        <f>SUMIFS('Accounting data'!$G$2:$G$37000,'Accounting data'!$H$2:$H$37000,"11*",'Accounting data'!$I$2:$I$37000,"9*",'Accounting data'!$J$2:$J$37000,"3*",'Accounting data'!$K$2:$K$37000,"64*")+SUMIFS('Accounting data'!$G$2:$G$37000,'Accounting data'!$H$2:$H$37000,"12*",'Accounting data'!$I$2:$I$37000,"9*",'Accounting data'!$J$2:$J$37000,"3*",'Accounting data'!$K$2:$K$37000,"64*")+SUMIFS('Accounting data'!$G$2:$G$37000,'Accounting data'!$H$2:$H$37000,"13*",'Accounting data'!$I$2:$I$37000,"9*",'Accounting data'!$J$2:$J$37000,"3*",'Accounting data'!$K$2:$K$37000,"64*")</f>
        <v>0</v>
      </c>
    </row>
    <row r="589" spans="1:5" x14ac:dyDescent="0.25">
      <c r="A589" s="113" t="s">
        <v>1037</v>
      </c>
      <c r="B589" s="113"/>
      <c r="C589" s="113"/>
      <c r="D589" s="113"/>
      <c r="E589" s="115">
        <f>(E577+E578+E579)-(E580+E581+E582+E583+E584+E585+E586+E587+E588)</f>
        <v>0</v>
      </c>
    </row>
    <row r="590" spans="1:5" x14ac:dyDescent="0.25">
      <c r="A590" s="110" t="s">
        <v>1006</v>
      </c>
      <c r="B590" s="110" t="s">
        <v>990</v>
      </c>
      <c r="C590" s="110">
        <v>1000</v>
      </c>
      <c r="D590" s="110">
        <v>6500</v>
      </c>
      <c r="E590" s="111">
        <f>SUMIFS('Accounting data'!$G$2:$G$37000,'Accounting data'!$H$2:$H$37000,"11*",'Accounting data'!$J$2:$J$37000,"1*",'Accounting data'!$K$2:$K$37000,"65*")+SUMIFS('Accounting data'!$G$2:$G$37000,'Accounting data'!$H$2:$H$37000,"12*",'Accounting data'!$J$2:$J$37000,"1*",'Accounting data'!$K$2:$K$37000,"65*")+SUMIFS('Accounting data'!$G$2:$G$37000,'Accounting data'!$H$2:$H$37000,"13*",'Accounting data'!$J$2:$J$37000,"1*",'Accounting data'!$K$2:$K$37000,"65*")</f>
        <v>0</v>
      </c>
    </row>
    <row r="591" spans="1:5" x14ac:dyDescent="0.25">
      <c r="A591" s="110" t="s">
        <v>1006</v>
      </c>
      <c r="B591" s="110" t="s">
        <v>990</v>
      </c>
      <c r="C591" s="110">
        <v>2000</v>
      </c>
      <c r="D591" s="110">
        <v>6500</v>
      </c>
      <c r="E591" s="111">
        <f>SUMIFS('Accounting data'!$G$2:$G$37000,'Accounting data'!$H$2:$H$37000,"11*",'Accounting data'!$J$2:$J$37000,"2*",'Accounting data'!$K$2:$K$37000,"65*")+SUMIFS('Accounting data'!$G$2:$G$37000,'Accounting data'!$H$2:$H$37000,"12*",'Accounting data'!$J$2:$J$37000,"2*",'Accounting data'!$K$2:$K$37000,"65*")+SUMIFS('Accounting data'!$G$2:$G$37000,'Accounting data'!$H$2:$H$37000,"13*",'Accounting data'!$J$2:$J$37000,"2*",'Accounting data'!$K$2:$K$37000,"65*")</f>
        <v>0</v>
      </c>
    </row>
    <row r="592" spans="1:5" x14ac:dyDescent="0.25">
      <c r="A592" s="110" t="s">
        <v>1006</v>
      </c>
      <c r="B592" s="110" t="s">
        <v>990</v>
      </c>
      <c r="C592" s="110">
        <v>3000</v>
      </c>
      <c r="D592" s="110">
        <v>6500</v>
      </c>
      <c r="E592" s="111">
        <f>SUMIFS('Accounting data'!$G$2:$G$37000,'Accounting data'!$H$2:$H$37000,"11*",'Accounting data'!$J$2:$J$37000,"3*",'Accounting data'!$K$2:$K$37000,"65*")+SUMIFS('Accounting data'!$G$2:$G$37000,'Accounting data'!$H$2:$H$37000,"12*",'Accounting data'!$J$2:$J$37000,"3*",'Accounting data'!$K$2:$K$37000,"65*")+SUMIFS('Accounting data'!$G$2:$G$37000,'Accounting data'!$H$2:$H$37000,"13*",'Accounting data'!$J$2:$J$37000,"3*",'Accounting data'!$K$2:$K$37000,"65*")</f>
        <v>0</v>
      </c>
    </row>
    <row r="593" spans="1:5" x14ac:dyDescent="0.25">
      <c r="A593" s="110" t="s">
        <v>1006</v>
      </c>
      <c r="B593" s="112">
        <v>700</v>
      </c>
      <c r="C593" s="110">
        <v>1000</v>
      </c>
      <c r="D593" s="110">
        <v>6500</v>
      </c>
      <c r="E593" s="111">
        <f>SUMIFS('Accounting data'!$G$2:$G$37000,'Accounting data'!$H$2:$H$37000,"11*",'Accounting data'!$I$2:$I$37000,"7*",'Accounting data'!$J$2:$J$37000,"1*",'Accounting data'!$K$2:$K$37000,"65*")+SUMIFS('Accounting data'!$G$2:$G$37000,'Accounting data'!$H$2:$H$37000,"12*",'Accounting data'!$I$2:$I$37000,"7*",'Accounting data'!$J$2:$J$37000,"1*",'Accounting data'!$K$2:$K$37000,"65*")+SUMIFS('Accounting data'!$G$2:$G$37000,'Accounting data'!$H$2:$H$37000,"13*",'Accounting data'!$I$2:$I$37000,"7*",'Accounting data'!$J$2:$J$37000,"1*",'Accounting data'!$K$2:$K$37000,"65*")</f>
        <v>0</v>
      </c>
    </row>
    <row r="594" spans="1:5" x14ac:dyDescent="0.25">
      <c r="A594" s="110" t="s">
        <v>1006</v>
      </c>
      <c r="B594" s="112">
        <v>800</v>
      </c>
      <c r="C594" s="110">
        <v>1000</v>
      </c>
      <c r="D594" s="110">
        <v>6500</v>
      </c>
      <c r="E594" s="111">
        <f>SUMIFS('Accounting data'!$G$2:$G$37000,'Accounting data'!$H$2:$H$37000,"11*",'Accounting data'!$I$2:$I$37000,"8*",'Accounting data'!$J$2:$J$37000,"1*",'Accounting data'!$K$2:$K$37000,"65*")+SUMIFS('Accounting data'!$G$2:$G$37000,'Accounting data'!$H$2:$H$37000,"12*",'Accounting data'!$I$2:$I$37000,"8*",'Accounting data'!$J$2:$J$37000,"1*",'Accounting data'!$K$2:$K$37000,"65*")+SUMIFS('Accounting data'!$G$2:$G$37000,'Accounting data'!$H$2:$H$37000,"13*",'Accounting data'!$I$2:$I$37000,"8*",'Accounting data'!$J$2:$J$37000,"1*",'Accounting data'!$K$2:$K$37000,"65*")</f>
        <v>0</v>
      </c>
    </row>
    <row r="595" spans="1:5" x14ac:dyDescent="0.25">
      <c r="A595" s="110" t="s">
        <v>1006</v>
      </c>
      <c r="B595" s="112">
        <v>900</v>
      </c>
      <c r="C595" s="110">
        <v>1000</v>
      </c>
      <c r="D595" s="110">
        <v>6500</v>
      </c>
      <c r="E595" s="111">
        <f>SUMIFS('Accounting data'!$G$2:$G$37000,'Accounting data'!$H$2:$H$37000,"11*",'Accounting data'!$I$2:$I$37000,"9*",'Accounting data'!$J$2:$J$37000,"1*",'Accounting data'!$K$2:$K$37000,"65*")+SUMIFS('Accounting data'!$G$2:$G$37000,'Accounting data'!$H$2:$H$37000,"12*",'Accounting data'!$I$2:$I$37000,"9*",'Accounting data'!$J$2:$J$37000,"1*",'Accounting data'!$K$2:$K$37000,"65*")+SUMIFS('Accounting data'!$G$2:$G$37000,'Accounting data'!$H$2:$H$37000,"13*",'Accounting data'!$I$2:$I$37000,"9*",'Accounting data'!$J$2:$J$37000,"1*",'Accounting data'!$K$2:$K$37000,"65*")</f>
        <v>0</v>
      </c>
    </row>
    <row r="596" spans="1:5" x14ac:dyDescent="0.25">
      <c r="A596" s="110" t="s">
        <v>1006</v>
      </c>
      <c r="B596" s="112">
        <v>700</v>
      </c>
      <c r="C596" s="110">
        <v>2000</v>
      </c>
      <c r="D596" s="110">
        <v>6500</v>
      </c>
      <c r="E596" s="111">
        <f>SUMIFS('Accounting data'!$G$2:$G$37000,'Accounting data'!$H$2:$H$37000,"11*",'Accounting data'!$I$2:$I$37000,"7*",'Accounting data'!$J$2:$J$37000,"2*",'Accounting data'!$K$2:$K$37000,"65*")+SUMIFS('Accounting data'!$G$2:$G$37000,'Accounting data'!$H$2:$H$37000,"12*",'Accounting data'!$I$2:$I$37000,"7*",'Accounting data'!$J$2:$J$37000,"2*",'Accounting data'!$K$2:$K$37000,"65*")+SUMIFS('Accounting data'!$G$2:$G$37000,'Accounting data'!$H$2:$H$37000,"13*",'Accounting data'!$I$2:$I$37000,"7*",'Accounting data'!$J$2:$J$37000,"2*",'Accounting data'!$K$2:$K$37000,"65*")</f>
        <v>0</v>
      </c>
    </row>
    <row r="597" spans="1:5" x14ac:dyDescent="0.25">
      <c r="A597" s="110" t="s">
        <v>1006</v>
      </c>
      <c r="B597" s="112">
        <v>800</v>
      </c>
      <c r="C597" s="110">
        <v>2000</v>
      </c>
      <c r="D597" s="110">
        <v>6500</v>
      </c>
      <c r="E597" s="111">
        <f>SUMIFS('Accounting data'!$G$2:$G$37000,'Accounting data'!$H$2:$H$37000,"11*",'Accounting data'!$I$2:$I$37000,"8*",'Accounting data'!$J$2:$J$37000,"2*",'Accounting data'!$K$2:$K$37000,"65*")+SUMIFS('Accounting data'!$G$2:$G$37000,'Accounting data'!$H$2:$H$37000,"12*",'Accounting data'!$I$2:$I$37000,"8*",'Accounting data'!$J$2:$J$37000,"2*",'Accounting data'!$K$2:$K$37000,"65*")+SUMIFS('Accounting data'!$G$2:$G$37000,'Accounting data'!$H$2:$H$37000,"13*",'Accounting data'!$I$2:$I$37000,"8*",'Accounting data'!$J$2:$J$37000,"2*",'Accounting data'!$K$2:$K$37000,"65*")</f>
        <v>0</v>
      </c>
    </row>
    <row r="598" spans="1:5" x14ac:dyDescent="0.25">
      <c r="A598" s="110" t="s">
        <v>1006</v>
      </c>
      <c r="B598" s="112">
        <v>900</v>
      </c>
      <c r="C598" s="110">
        <v>2000</v>
      </c>
      <c r="D598" s="110">
        <v>6500</v>
      </c>
      <c r="E598" s="111">
        <f>SUMIFS('Accounting data'!$G$2:$G$37000,'Accounting data'!$H$2:$H$37000,"11*",'Accounting data'!$I$2:$I$37000,"9*",'Accounting data'!$J$2:$J$37000,"2*",'Accounting data'!$K$2:$K$37000,"65*")+SUMIFS('Accounting data'!$G$2:$G$37000,'Accounting data'!$H$2:$H$37000,"12*",'Accounting data'!$I$2:$I$37000,"9*",'Accounting data'!$J$2:$J$37000,"2*",'Accounting data'!$K$2:$K$37000,"65*")+SUMIFS('Accounting data'!$G$2:$G$37000,'Accounting data'!$H$2:$H$37000,"13*",'Accounting data'!$I$2:$I$37000,"9*",'Accounting data'!$J$2:$J$37000,"2*",'Accounting data'!$K$2:$K$37000,"65*")</f>
        <v>0</v>
      </c>
    </row>
    <row r="599" spans="1:5" x14ac:dyDescent="0.25">
      <c r="A599" s="110" t="s">
        <v>1006</v>
      </c>
      <c r="B599" s="112">
        <v>700</v>
      </c>
      <c r="C599" s="110">
        <v>3000</v>
      </c>
      <c r="D599" s="110">
        <v>6500</v>
      </c>
      <c r="E599" s="111">
        <f>SUMIFS('Accounting data'!$G$2:$G$37000,'Accounting data'!$H$2:$H$37000,"11*",'Accounting data'!$I$2:$I$37000,"7*",'Accounting data'!$J$2:$J$37000,"3*",'Accounting data'!$K$2:$K$37000,"65*")+SUMIFS('Accounting data'!$G$2:$G$37000,'Accounting data'!$H$2:$H$37000,"12*",'Accounting data'!$I$2:$I$37000,"7*",'Accounting data'!$J$2:$J$37000,"3*",'Accounting data'!$K$2:$K$37000,"65*")+SUMIFS('Accounting data'!$G$2:$G$37000,'Accounting data'!$H$2:$H$37000,"13*",'Accounting data'!$I$2:$I$37000,"7*",'Accounting data'!$J$2:$J$37000,"3*",'Accounting data'!$K$2:$K$37000,"65*")</f>
        <v>0</v>
      </c>
    </row>
    <row r="600" spans="1:5" x14ac:dyDescent="0.25">
      <c r="A600" s="110" t="s">
        <v>1006</v>
      </c>
      <c r="B600" s="112">
        <v>800</v>
      </c>
      <c r="C600" s="110">
        <v>3000</v>
      </c>
      <c r="D600" s="110">
        <v>6500</v>
      </c>
      <c r="E600" s="111">
        <f>SUMIFS('Accounting data'!$G$2:$G$37000,'Accounting data'!$H$2:$H$37000,"11*",'Accounting data'!$I$2:$I$37000,"8*",'Accounting data'!$J$2:$J$37000,"3*",'Accounting data'!$K$2:$K$37000,"65*")+SUMIFS('Accounting data'!$G$2:$G$37000,'Accounting data'!$H$2:$H$37000,"12*",'Accounting data'!$I$2:$I$37000,"8*",'Accounting data'!$J$2:$J$37000,"3*",'Accounting data'!$K$2:$K$37000,"65*")+SUMIFS('Accounting data'!$G$2:$G$37000,'Accounting data'!$H$2:$H$37000,"13*",'Accounting data'!$I$2:$I$37000,"8*",'Accounting data'!$J$2:$J$37000,"3*",'Accounting data'!$K$2:$K$37000,"65*")</f>
        <v>0</v>
      </c>
    </row>
    <row r="601" spans="1:5" x14ac:dyDescent="0.25">
      <c r="A601" s="110" t="s">
        <v>1006</v>
      </c>
      <c r="B601" s="112">
        <v>900</v>
      </c>
      <c r="C601" s="110">
        <v>3000</v>
      </c>
      <c r="D601" s="110">
        <v>6500</v>
      </c>
      <c r="E601" s="111">
        <f>SUMIFS('Accounting data'!$G$2:$G$37000,'Accounting data'!$H$2:$H$37000,"11*",'Accounting data'!$I$2:$I$37000,"9*",'Accounting data'!$J$2:$J$37000,"3*",'Accounting data'!$K$2:$K$37000,"65*")+SUMIFS('Accounting data'!$G$2:$G$37000,'Accounting data'!$H$2:$H$37000,"12*",'Accounting data'!$I$2:$I$37000,"9*",'Accounting data'!$J$2:$J$37000,"3*",'Accounting data'!$K$2:$K$37000,"65*")+SUMIFS('Accounting data'!$G$2:$G$37000,'Accounting data'!$H$2:$H$37000,"13*",'Accounting data'!$I$2:$I$37000,"9*",'Accounting data'!$J$2:$J$37000,"3*",'Accounting data'!$K$2:$K$37000,"65*")</f>
        <v>0</v>
      </c>
    </row>
    <row r="602" spans="1:5" x14ac:dyDescent="0.25">
      <c r="A602" s="113" t="s">
        <v>1038</v>
      </c>
      <c r="B602" s="113"/>
      <c r="C602" s="113"/>
      <c r="D602" s="113"/>
      <c r="E602" s="115">
        <f>(E590+E591+E592)-(E593+E594+E595+E596+E597+E598+E599+E600+E601)</f>
        <v>0</v>
      </c>
    </row>
    <row r="629" spans="1:5" x14ac:dyDescent="0.25">
      <c r="A629" s="116" t="s">
        <v>1039</v>
      </c>
      <c r="B629" s="116"/>
      <c r="C629" s="116"/>
      <c r="D629" s="116"/>
      <c r="E629" s="120">
        <f>(E576+E589+E602)-(E615+E628)</f>
        <v>30584</v>
      </c>
    </row>
    <row r="630" spans="1:5" x14ac:dyDescent="0.25">
      <c r="A630" s="110" t="s">
        <v>990</v>
      </c>
      <c r="B630" s="110" t="s">
        <v>990</v>
      </c>
      <c r="C630" s="110">
        <v>1000</v>
      </c>
      <c r="D630" s="110">
        <v>6600</v>
      </c>
      <c r="E630" s="111">
        <f>SUMIFS('Accounting data'!$G$2:$G$37000,'Accounting data'!$J$2:$J$37000,"1*",'Accounting data'!$K$2:$K$37000,"66*")</f>
        <v>47367</v>
      </c>
    </row>
    <row r="631" spans="1:5" x14ac:dyDescent="0.25">
      <c r="A631" s="110" t="s">
        <v>991</v>
      </c>
      <c r="B631" s="110" t="s">
        <v>990</v>
      </c>
      <c r="C631" s="110">
        <v>1000</v>
      </c>
      <c r="D631" s="110">
        <v>6600</v>
      </c>
      <c r="E631" s="111">
        <f>SUMIFS('Accounting data'!$G$2:$G$37000,'Accounting data'!$H$2:$H$37000,"9999*",'Accounting data'!$J$2:$J$37000,"1*",'Accounting data'!$K$2:$K$37000,"66*")</f>
        <v>0</v>
      </c>
    </row>
    <row r="632" spans="1:5" x14ac:dyDescent="0.25">
      <c r="A632" s="110" t="s">
        <v>990</v>
      </c>
      <c r="B632" s="110" t="s">
        <v>992</v>
      </c>
      <c r="C632" s="110">
        <v>1000</v>
      </c>
      <c r="D632" s="110">
        <v>6600</v>
      </c>
      <c r="E632" s="111">
        <f>SUMIFS('Accounting data'!$G$2:$G$37000,'Accounting data'!$I$2:$I$37000,"7*",'Accounting data'!$J$2:$J$37000,"1*",'Accounting data'!$K$2:$K$37000,"66*")+SUMIFS('Accounting data'!$G$2:$G$37000,'Accounting data'!$I$2:$I$37000,"8*",'Accounting data'!$J$2:$J$37000,"1*",'Accounting data'!$K$2:$K$37000,"66*")+SUMIFS('Accounting data'!$G$2:$G$37000,'Accounting data'!$I$2:$I$37000,"9*",'Accounting data'!$J$2:$J$37000,"1*",'Accounting data'!$K$2:$K$37000,"66*")</f>
        <v>0</v>
      </c>
    </row>
    <row r="633" spans="1:5" x14ac:dyDescent="0.25">
      <c r="A633" s="112" t="s">
        <v>991</v>
      </c>
      <c r="B633" s="110" t="s">
        <v>992</v>
      </c>
      <c r="C633" s="110">
        <v>1000</v>
      </c>
      <c r="D633" s="110">
        <v>6600</v>
      </c>
      <c r="E633" s="111">
        <f>SUMIFS('Accounting data'!$G$2:$G$37000,'Accounting data'!$H$2:$H$37000,"9999*",'Accounting data'!$I$2:$I$37000,"7*",'Accounting data'!$J$2:$J$37000,"1*",'Accounting data'!$K$2:$K$37000,"66*")+SUMIFS('Accounting data'!$G$2:$G$37000,'Accounting data'!$H$2:$H$37000,"9999*",'Accounting data'!$I$2:$I$37000,"8*",'Accounting data'!$J$2:$J$37000,"1*",'Accounting data'!$K$2:$K$37000,"66*")+SUMIFS('Accounting data'!$G$2:$G$37000,'Accounting data'!$H$2:$H$37000,"9999*",'Accounting data'!$I$2:$I$37000,"9*",'Accounting data'!$J$2:$J$37000,"1*",'Accounting data'!$K$2:$K$37000,"66*")</f>
        <v>0</v>
      </c>
    </row>
    <row r="634" spans="1:5" x14ac:dyDescent="0.25">
      <c r="A634" s="110"/>
      <c r="B634" s="110"/>
      <c r="C634" s="110"/>
      <c r="D634" s="110"/>
      <c r="E634" s="111"/>
    </row>
    <row r="635" spans="1:5" x14ac:dyDescent="0.25">
      <c r="A635" s="110"/>
      <c r="B635" s="110"/>
      <c r="C635" s="110"/>
      <c r="D635" s="110"/>
      <c r="E635" s="111"/>
    </row>
    <row r="636" spans="1:5" x14ac:dyDescent="0.25">
      <c r="A636" s="113" t="s">
        <v>1040</v>
      </c>
      <c r="B636" s="113"/>
      <c r="C636" s="113"/>
      <c r="D636" s="113"/>
      <c r="E636" s="115">
        <f>(E630-E631-E632)+(E633+E634+E635)</f>
        <v>47367</v>
      </c>
    </row>
    <row r="637" spans="1:5" x14ac:dyDescent="0.25">
      <c r="A637" s="110" t="s">
        <v>990</v>
      </c>
      <c r="B637" s="110" t="s">
        <v>990</v>
      </c>
      <c r="C637" s="110">
        <v>2100</v>
      </c>
      <c r="D637" s="110">
        <v>6600</v>
      </c>
      <c r="E637" s="111">
        <f>SUMIFS('Accounting data'!$G$2:$G$37000,'Accounting data'!$J$2:$J$37000,"21*",'Accounting data'!$K$2:$K$37000,"66*")</f>
        <v>10289</v>
      </c>
    </row>
    <row r="638" spans="1:5" x14ac:dyDescent="0.25">
      <c r="A638" s="110" t="s">
        <v>991</v>
      </c>
      <c r="B638" s="110" t="s">
        <v>990</v>
      </c>
      <c r="C638" s="110">
        <v>2100</v>
      </c>
      <c r="D638" s="110">
        <v>6600</v>
      </c>
      <c r="E638" s="111">
        <f>SUMIFS('Accounting data'!$G$2:$G$37000,'Accounting data'!$H$2:$H$37000,"9999*",'Accounting data'!$J$2:$J$37000,"21*",'Accounting data'!$K$2:$K$37000,"66*")</f>
        <v>0</v>
      </c>
    </row>
    <row r="639" spans="1:5" x14ac:dyDescent="0.25">
      <c r="A639" s="110" t="s">
        <v>990</v>
      </c>
      <c r="B639" s="110" t="s">
        <v>992</v>
      </c>
      <c r="C639" s="110">
        <v>2100</v>
      </c>
      <c r="D639" s="110">
        <v>6600</v>
      </c>
      <c r="E639" s="111">
        <f>SUMIFS('Accounting data'!$G$2:$G$37000,'Accounting data'!$I$2:$I$37000,"7*",'Accounting data'!$J$2:$J$37000,"21*",'Accounting data'!$K$2:$K$37000,"66*")+SUMIFS('Accounting data'!$G$2:$G$37000,'Accounting data'!$I$2:$I$37000,"8*",'Accounting data'!$J$2:$J$37000,"21*",'Accounting data'!$K$2:$K$37000,"66*")+SUMIFS('Accounting data'!$G$2:$G$37000,'Accounting data'!$I$2:$I$37000,"9*",'Accounting data'!$J$2:$J$37000,"21*",'Accounting data'!$K$2:$K$37000,"66*")</f>
        <v>0</v>
      </c>
    </row>
    <row r="640" spans="1:5" x14ac:dyDescent="0.25">
      <c r="A640" s="112" t="s">
        <v>991</v>
      </c>
      <c r="B640" s="110" t="s">
        <v>992</v>
      </c>
      <c r="C640" s="110">
        <v>2100</v>
      </c>
      <c r="D640" s="110">
        <v>6600</v>
      </c>
      <c r="E640" s="111">
        <f>SUMIFS('Accounting data'!$G$2:$G$37000,'Accounting data'!$H$2:$H$37000,"9999*",'Accounting data'!$I$2:$I$37000,"7*",'Accounting data'!$J$2:$J$37000,"21*",'Accounting data'!$K$2:$K$37000,"66*")+SUMIFS('Accounting data'!$G$2:$G$37000,'Accounting data'!$H$2:$H$37000,"9999*",'Accounting data'!$I$2:$I$37000,"8*",'Accounting data'!$J$2:$J$37000,"21*",'Accounting data'!$K$2:$K$37000,"66*")+SUMIFS('Accounting data'!$G$2:$G$37000,'Accounting data'!$H$2:$H$37000,"9999*",'Accounting data'!$I$2:$I$37000,"9*",'Accounting data'!$J$2:$J$37000,"21*",'Accounting data'!$K$2:$K$37000,"66*")</f>
        <v>0</v>
      </c>
    </row>
    <row r="643" spans="1:5" x14ac:dyDescent="0.25">
      <c r="A643" s="113" t="s">
        <v>1041</v>
      </c>
      <c r="B643" s="113"/>
      <c r="C643" s="113"/>
      <c r="D643" s="113"/>
      <c r="E643" s="115">
        <f>(E637-E638-E639)+(E640+E641+E642)</f>
        <v>10289</v>
      </c>
    </row>
    <row r="644" spans="1:5" x14ac:dyDescent="0.25">
      <c r="A644" s="110" t="s">
        <v>990</v>
      </c>
      <c r="B644" s="110" t="s">
        <v>990</v>
      </c>
      <c r="C644" s="110">
        <v>2200</v>
      </c>
      <c r="D644" s="110">
        <v>6600</v>
      </c>
      <c r="E644" s="111">
        <f>SUMIFS('Accounting data'!$G$2:$G$37000,'Accounting data'!$J$2:$J$37000,"22*",'Accounting data'!$K$2:$K$37000,"66*")</f>
        <v>1925</v>
      </c>
    </row>
    <row r="645" spans="1:5" x14ac:dyDescent="0.25">
      <c r="A645" s="110" t="s">
        <v>991</v>
      </c>
      <c r="B645" s="110" t="s">
        <v>990</v>
      </c>
      <c r="C645" s="110">
        <v>2200</v>
      </c>
      <c r="D645" s="110">
        <v>6600</v>
      </c>
      <c r="E645" s="111">
        <f>SUMIFS('Accounting data'!$G$2:$G$37000,'Accounting data'!$H$2:$H$37000,"9999*",'Accounting data'!$J$2:$J$37000,"22*",'Accounting data'!$K$2:$K$37000,"66*")</f>
        <v>0</v>
      </c>
    </row>
    <row r="646" spans="1:5" x14ac:dyDescent="0.25">
      <c r="A646" s="110" t="s">
        <v>990</v>
      </c>
      <c r="B646" s="110" t="s">
        <v>992</v>
      </c>
      <c r="C646" s="110">
        <v>2200</v>
      </c>
      <c r="D646" s="110">
        <v>6600</v>
      </c>
      <c r="E646" s="111">
        <f>SUMIFS('Accounting data'!$G$2:$G$37000,'Accounting data'!$I$2:$I$37000,"7*",'Accounting data'!$J$2:$J$37000,"22*",'Accounting data'!$K$2:$K$37000,"66*")+SUMIFS('Accounting data'!$G$2:$G$37000,'Accounting data'!$I$2:$I$37000,"8*",'Accounting data'!$J$2:$J$37000,"22*",'Accounting data'!$K$2:$K$37000,"66*")+SUMIFS('Accounting data'!$G$2:$G$37000,'Accounting data'!$I$2:$I$37000,"9*",'Accounting data'!$J$2:$J$37000,"22*",'Accounting data'!$K$2:$K$37000,"66*")</f>
        <v>0</v>
      </c>
    </row>
    <row r="647" spans="1:5" x14ac:dyDescent="0.25">
      <c r="A647" s="112" t="s">
        <v>991</v>
      </c>
      <c r="B647" s="110" t="s">
        <v>992</v>
      </c>
      <c r="C647" s="110">
        <v>2200</v>
      </c>
      <c r="D647" s="110">
        <v>6600</v>
      </c>
      <c r="E647" s="111">
        <f>SUMIFS('Accounting data'!$G$2:$G$37000,'Accounting data'!$H$2:$H$37000,"9999*",'Accounting data'!$I$2:$I$37000,"7*",'Accounting data'!$J$2:$J$37000,"22*",'Accounting data'!$K$2:$K$37000,"66*")+SUMIFS('Accounting data'!$G$2:$G$37000,'Accounting data'!$H$2:$H$37000,"9999*",'Accounting data'!$I$2:$I$37000,"8*",'Accounting data'!$J$2:$J$37000,"22*",'Accounting data'!$K$2:$K$37000,"66*")+SUMIFS('Accounting data'!$G$2:$G$37000,'Accounting data'!$H$2:$H$37000,"9999*",'Accounting data'!$I$2:$I$37000,"9*",'Accounting data'!$J$2:$J$37000,"22*",'Accounting data'!$K$2:$K$37000,"66*")</f>
        <v>0</v>
      </c>
    </row>
    <row r="648" spans="1:5" x14ac:dyDescent="0.25">
      <c r="A648" s="110"/>
      <c r="B648" s="110"/>
      <c r="C648" s="110"/>
      <c r="D648" s="110"/>
      <c r="E648" s="111"/>
    </row>
    <row r="649" spans="1:5" x14ac:dyDescent="0.25">
      <c r="A649" s="110"/>
      <c r="B649" s="110"/>
      <c r="C649" s="110"/>
      <c r="D649" s="110"/>
      <c r="E649" s="111"/>
    </row>
    <row r="650" spans="1:5" x14ac:dyDescent="0.25">
      <c r="A650" s="113" t="s">
        <v>1042</v>
      </c>
      <c r="B650" s="113"/>
      <c r="C650" s="113"/>
      <c r="D650" s="113"/>
      <c r="E650" s="115">
        <f>(E644-E645-E646)+(E647+E648+E649)</f>
        <v>1925</v>
      </c>
    </row>
    <row r="651" spans="1:5" x14ac:dyDescent="0.25">
      <c r="A651" s="110" t="s">
        <v>990</v>
      </c>
      <c r="B651" s="110" t="s">
        <v>990</v>
      </c>
      <c r="C651" s="110">
        <v>2300</v>
      </c>
      <c r="D651" s="110">
        <v>6600</v>
      </c>
      <c r="E651" s="111">
        <f>SUMIFS('Accounting data'!$G$2:$G$37000,'Accounting data'!$J$2:$J$37000,"23*",'Accounting data'!$K$2:$K$37000,"66*")</f>
        <v>161</v>
      </c>
    </row>
    <row r="652" spans="1:5" x14ac:dyDescent="0.25">
      <c r="A652" s="110" t="s">
        <v>991</v>
      </c>
      <c r="B652" s="110" t="s">
        <v>990</v>
      </c>
      <c r="C652" s="110">
        <v>2300</v>
      </c>
      <c r="D652" s="110">
        <v>6600</v>
      </c>
      <c r="E652" s="111">
        <f>SUMIFS('Accounting data'!$G$2:$G$37000,'Accounting data'!$H$2:$H$37000,"9999*",'Accounting data'!$J$2:$J$37000,"23*",'Accounting data'!$K$2:$K$37000,"66*")</f>
        <v>0</v>
      </c>
    </row>
    <row r="653" spans="1:5" x14ac:dyDescent="0.25">
      <c r="A653" s="110" t="s">
        <v>990</v>
      </c>
      <c r="B653" s="110" t="s">
        <v>992</v>
      </c>
      <c r="C653" s="110">
        <v>2300</v>
      </c>
      <c r="D653" s="110">
        <v>6600</v>
      </c>
      <c r="E653" s="111">
        <f>SUMIFS('Accounting data'!$G$2:$G$37000,'Accounting data'!$I$2:$I$37000,"7*",'Accounting data'!$J$2:$J$37000,"23*",'Accounting data'!$K$2:$K$37000,"66*")+SUMIFS('Accounting data'!$G$2:$G$37000,'Accounting data'!$I$2:$I$37000,"8*",'Accounting data'!$J$2:$J$37000,"23*",'Accounting data'!$K$2:$K$37000,"66*")+SUMIFS('Accounting data'!$G$2:$G$37000,'Accounting data'!$I$2:$I$37000,"9*",'Accounting data'!$J$2:$J$37000,"23*",'Accounting data'!$K$2:$K$37000,"66*")</f>
        <v>0</v>
      </c>
    </row>
    <row r="654" spans="1:5" x14ac:dyDescent="0.25">
      <c r="A654" s="112" t="s">
        <v>991</v>
      </c>
      <c r="B654" s="110" t="s">
        <v>992</v>
      </c>
      <c r="C654" s="110">
        <v>2300</v>
      </c>
      <c r="D654" s="110">
        <v>6600</v>
      </c>
      <c r="E654" s="111">
        <f>SUMIFS('Accounting data'!$G$2:$G$37000,'Accounting data'!$H$2:$H$37000,"9999*",'Accounting data'!$I$2:$I$37000,"7*",'Accounting data'!$J$2:$J$37000,"23*",'Accounting data'!$K$2:$K$37000,"66*")+SUMIFS('Accounting data'!$G$2:$G$37000,'Accounting data'!$H$2:$H$37000,"9999*",'Accounting data'!$I$2:$I$37000,"8*",'Accounting data'!$J$2:$J$37000,"23*",'Accounting data'!$K$2:$K$37000,"66*")+SUMIFS('Accounting data'!$G$2:$G$37000,'Accounting data'!$H$2:$H$37000,"9999*",'Accounting data'!$I$2:$I$37000,"9*",'Accounting data'!$J$2:$J$37000,"23*",'Accounting data'!$K$2:$K$37000,"66*")</f>
        <v>0</v>
      </c>
    </row>
    <row r="657" spans="1:5" x14ac:dyDescent="0.25">
      <c r="A657" s="113" t="s">
        <v>1043</v>
      </c>
      <c r="B657" s="113"/>
      <c r="C657" s="113"/>
      <c r="D657" s="113"/>
      <c r="E657" s="115">
        <f>(E651-E652-E653)+(E654+E655+E656)</f>
        <v>161</v>
      </c>
    </row>
    <row r="658" spans="1:5" x14ac:dyDescent="0.25">
      <c r="A658" s="110" t="s">
        <v>990</v>
      </c>
      <c r="B658" s="110" t="s">
        <v>990</v>
      </c>
      <c r="C658" s="110">
        <v>2400</v>
      </c>
      <c r="D658" s="110">
        <v>6600</v>
      </c>
      <c r="E658" s="111">
        <f>SUMIFS('Accounting data'!$G$2:$G$37000,'Accounting data'!$J$2:$J$37000,"24*",'Accounting data'!$K$2:$K$37000,"66*")</f>
        <v>3266</v>
      </c>
    </row>
    <row r="659" spans="1:5" x14ac:dyDescent="0.25">
      <c r="A659" s="110" t="s">
        <v>991</v>
      </c>
      <c r="B659" s="110" t="s">
        <v>990</v>
      </c>
      <c r="C659" s="110">
        <v>2400</v>
      </c>
      <c r="D659" s="110">
        <v>6600</v>
      </c>
      <c r="E659" s="111">
        <f>SUMIFS('Accounting data'!$G$2:$G$37000,'Accounting data'!$H$2:$H$37000,"9999*",'Accounting data'!$J$2:$J$37000,"24*",'Accounting data'!$K$2:$K$37000,"66*")</f>
        <v>0</v>
      </c>
    </row>
    <row r="660" spans="1:5" x14ac:dyDescent="0.25">
      <c r="A660" s="110" t="s">
        <v>990</v>
      </c>
      <c r="B660" s="110" t="s">
        <v>992</v>
      </c>
      <c r="C660" s="110">
        <v>2400</v>
      </c>
      <c r="D660" s="110">
        <v>6600</v>
      </c>
      <c r="E660" s="111">
        <f>SUMIFS('Accounting data'!$G$2:$G$37000,'Accounting data'!$I$2:$I$37000,"7*",'Accounting data'!$J$2:$J$37000,"24*",'Accounting data'!$K$2:$K$37000,"66*")+SUMIFS('Accounting data'!$G$2:$G$37000,'Accounting data'!$I$2:$I$37000,"8*",'Accounting data'!$J$2:$J$37000,"24*",'Accounting data'!$K$2:$K$37000,"66*")+SUMIFS('Accounting data'!$G$2:$G$37000,'Accounting data'!$I$2:$I$37000,"9*",'Accounting data'!$J$2:$J$37000,"24*",'Accounting data'!$K$2:$K$37000,"66*")</f>
        <v>0</v>
      </c>
    </row>
    <row r="661" spans="1:5" x14ac:dyDescent="0.25">
      <c r="A661" s="112" t="s">
        <v>991</v>
      </c>
      <c r="B661" s="110" t="s">
        <v>992</v>
      </c>
      <c r="C661" s="110">
        <v>2400</v>
      </c>
      <c r="D661" s="110">
        <v>6600</v>
      </c>
      <c r="E661" s="111">
        <f>SUMIFS('Accounting data'!$G$2:$G$37000,'Accounting data'!$H$2:$H$37000,"9999*",'Accounting data'!$I$2:$I$37000,"7*",'Accounting data'!$J$2:$J$37000,"24*",'Accounting data'!$K$2:$K$37000,"66*")+SUMIFS('Accounting data'!$G$2:$G$37000,'Accounting data'!$H$2:$H$37000,"9999*",'Accounting data'!$I$2:$I$37000,"8*",'Accounting data'!$J$2:$J$37000,"24*",'Accounting data'!$K$2:$K$37000,"66*")+SUMIFS('Accounting data'!$G$2:$G$37000,'Accounting data'!$H$2:$H$37000,"9999*",'Accounting data'!$I$2:$I$37000,"9*",'Accounting data'!$J$2:$J$37000,"24*",'Accounting data'!$K$2:$K$37000,"66*")</f>
        <v>0</v>
      </c>
    </row>
    <row r="662" spans="1:5" x14ac:dyDescent="0.25">
      <c r="A662" s="110"/>
      <c r="B662" s="110"/>
      <c r="C662" s="110"/>
      <c r="D662" s="110"/>
      <c r="E662" s="111"/>
    </row>
    <row r="663" spans="1:5" x14ac:dyDescent="0.25">
      <c r="A663" s="110"/>
      <c r="B663" s="110"/>
      <c r="C663" s="110"/>
      <c r="D663" s="110"/>
      <c r="E663" s="111"/>
    </row>
    <row r="664" spans="1:5" x14ac:dyDescent="0.25">
      <c r="A664" s="113" t="s">
        <v>1044</v>
      </c>
      <c r="B664" s="113"/>
      <c r="C664" s="113"/>
      <c r="D664" s="113"/>
      <c r="E664" s="115">
        <f>(E658-E659-E660)+(E661+E662+E663)</f>
        <v>3266</v>
      </c>
    </row>
    <row r="665" spans="1:5" x14ac:dyDescent="0.25">
      <c r="A665" s="110" t="s">
        <v>990</v>
      </c>
      <c r="B665" s="110" t="s">
        <v>990</v>
      </c>
      <c r="C665" s="110">
        <v>2500</v>
      </c>
      <c r="D665" s="110">
        <v>6600</v>
      </c>
      <c r="E665" s="111">
        <f>SUMIFS('Accounting data'!$G$2:$G$37000,'Accounting data'!$J$2:$J$37000,"25*",'Accounting data'!$K$2:$K$37000,"66*")</f>
        <v>224</v>
      </c>
    </row>
    <row r="666" spans="1:5" x14ac:dyDescent="0.25">
      <c r="A666" s="110" t="s">
        <v>991</v>
      </c>
      <c r="B666" s="110" t="s">
        <v>990</v>
      </c>
      <c r="C666" s="110">
        <v>2500</v>
      </c>
      <c r="D666" s="110">
        <v>6600</v>
      </c>
      <c r="E666" s="111">
        <f>SUMIFS('Accounting data'!$G$2:$G$37000,'Accounting data'!$H$2:$H$37000,"9999*",'Accounting data'!$J$2:$J$37000,"25*",'Accounting data'!$K$2:$K$37000,"66*")</f>
        <v>0</v>
      </c>
    </row>
    <row r="667" spans="1:5" x14ac:dyDescent="0.25">
      <c r="A667" s="110" t="s">
        <v>990</v>
      </c>
      <c r="B667" s="110" t="s">
        <v>992</v>
      </c>
      <c r="C667" s="110">
        <v>2500</v>
      </c>
      <c r="D667" s="110">
        <v>6600</v>
      </c>
      <c r="E667" s="111">
        <f>SUMIFS('Accounting data'!$G$2:$G$37000,'Accounting data'!$I$2:$I$37000,"7*",'Accounting data'!$J$2:$J$37000,"25*",'Accounting data'!$K$2:$K$37000,"66*")+SUMIFS('Accounting data'!$G$2:$G$37000,'Accounting data'!$I$2:$I$37000,"8*",'Accounting data'!$J$2:$J$37000,"25*",'Accounting data'!$K$2:$K$37000,"66*")+SUMIFS('Accounting data'!$G$2:$G$37000,'Accounting data'!$I$2:$I$37000,"9*",'Accounting data'!$J$2:$J$37000,"25*",'Accounting data'!$K$2:$K$37000,"66*")</f>
        <v>0</v>
      </c>
    </row>
    <row r="668" spans="1:5" x14ac:dyDescent="0.25">
      <c r="A668" s="112" t="s">
        <v>991</v>
      </c>
      <c r="B668" s="110" t="s">
        <v>992</v>
      </c>
      <c r="C668" s="110">
        <v>2500</v>
      </c>
      <c r="D668" s="110">
        <v>6600</v>
      </c>
      <c r="E668" s="111">
        <f>SUMIFS('Accounting data'!$G$2:$G$37000,'Accounting data'!$H$2:$H$37000,"9999*",'Accounting data'!$I$2:$I$37000,"7*",'Accounting data'!$J$2:$J$37000,"25*",'Accounting data'!$K$2:$K$37000,"66*")+SUMIFS('Accounting data'!$G$2:$G$37000,'Accounting data'!$H$2:$H$37000,"9999*",'Accounting data'!$I$2:$I$37000,"8*",'Accounting data'!$J$2:$J$37000,"25*",'Accounting data'!$K$2:$K$37000,"66*")+SUMIFS('Accounting data'!$G$2:$G$37000,'Accounting data'!$H$2:$H$37000,"9999*",'Accounting data'!$I$2:$I$37000,"9*",'Accounting data'!$J$2:$J$37000,"25*",'Accounting data'!$K$2:$K$37000,"66*")</f>
        <v>0</v>
      </c>
    </row>
    <row r="669" spans="1:5" x14ac:dyDescent="0.25">
      <c r="A669" s="110"/>
      <c r="B669" s="110"/>
      <c r="C669" s="110"/>
      <c r="D669" s="110"/>
      <c r="E669" s="111"/>
    </row>
    <row r="670" spans="1:5" x14ac:dyDescent="0.25">
      <c r="A670" s="110"/>
      <c r="B670" s="110"/>
      <c r="C670" s="110"/>
      <c r="D670" s="110"/>
      <c r="E670" s="111"/>
    </row>
    <row r="671" spans="1:5" x14ac:dyDescent="0.25">
      <c r="A671" s="113" t="s">
        <v>1045</v>
      </c>
      <c r="B671" s="113"/>
      <c r="C671" s="113"/>
      <c r="D671" s="113"/>
      <c r="E671" s="115">
        <f>(E665-E666-E667)+(E668+E669+E670)</f>
        <v>224</v>
      </c>
    </row>
    <row r="672" spans="1:5" x14ac:dyDescent="0.25">
      <c r="A672" s="110" t="s">
        <v>990</v>
      </c>
      <c r="B672" s="110" t="s">
        <v>990</v>
      </c>
      <c r="C672" s="110">
        <v>2900</v>
      </c>
      <c r="D672" s="110">
        <v>6600</v>
      </c>
      <c r="E672" s="111">
        <f>SUMIFS('Accounting data'!$G$2:$G$37000,'Accounting data'!$J$2:$J$37000,"29*",'Accounting data'!$K$2:$K$37000,"66*")</f>
        <v>0</v>
      </c>
    </row>
    <row r="673" spans="1:5" x14ac:dyDescent="0.25">
      <c r="A673" s="110" t="s">
        <v>991</v>
      </c>
      <c r="B673" s="110" t="s">
        <v>990</v>
      </c>
      <c r="C673" s="110">
        <v>2900</v>
      </c>
      <c r="D673" s="110">
        <v>6600</v>
      </c>
      <c r="E673" s="111">
        <f>SUMIFS('Accounting data'!$G$2:$G$37000,'Accounting data'!$H$2:$H$37000,"9999*",'Accounting data'!$J$2:$J$37000,"29*",'Accounting data'!$K$2:$K$37000,"66*")</f>
        <v>0</v>
      </c>
    </row>
    <row r="674" spans="1:5" x14ac:dyDescent="0.25">
      <c r="A674" s="110" t="s">
        <v>990</v>
      </c>
      <c r="B674" s="110" t="s">
        <v>992</v>
      </c>
      <c r="C674" s="110">
        <v>2900</v>
      </c>
      <c r="D674" s="110">
        <v>6600</v>
      </c>
      <c r="E674" s="111">
        <f>SUMIFS('Accounting data'!$G$2:$G$37000,'Accounting data'!$I$2:$I$37000,"7*",'Accounting data'!$J$2:$J$37000,"29*",'Accounting data'!$K$2:$K$37000,"66*")+SUMIFS('Accounting data'!$G$2:$G$37000,'Accounting data'!$I$2:$I$37000,"8*",'Accounting data'!$J$2:$J$37000,"29*",'Accounting data'!$K$2:$K$37000,"66*")+SUMIFS('Accounting data'!$G$2:$G$37000,'Accounting data'!$I$2:$I$37000,"9*",'Accounting data'!$J$2:$J$37000,"29*",'Accounting data'!$K$2:$K$37000,"66*")</f>
        <v>0</v>
      </c>
    </row>
    <row r="675" spans="1:5" x14ac:dyDescent="0.25">
      <c r="A675" s="112" t="s">
        <v>991</v>
      </c>
      <c r="B675" s="110" t="s">
        <v>992</v>
      </c>
      <c r="C675" s="110">
        <v>2900</v>
      </c>
      <c r="D675" s="110">
        <v>6600</v>
      </c>
      <c r="E675" s="111">
        <f>SUMIFS('Accounting data'!$G$2:$G$37000,'Accounting data'!$H$2:$H$37000,"9999*",'Accounting data'!$I$2:$I$37000,"7*",'Accounting data'!$J$2:$J$37000,"29*",'Accounting data'!$K$2:$K$37000,"66*")+SUMIFS('Accounting data'!$G$2:$G$37000,'Accounting data'!$H$2:$H$37000,"9999*",'Accounting data'!$I$2:$I$37000,"8*",'Accounting data'!$J$2:$J$37000,"29*",'Accounting data'!$K$2:$K$37000,"66*")+SUMIFS('Accounting data'!$G$2:$G$37000,'Accounting data'!$H$2:$H$37000,"9999*",'Accounting data'!$I$2:$I$37000,"9*",'Accounting data'!$J$2:$J$37000,"29*",'Accounting data'!$K$2:$K$37000,"66*")</f>
        <v>0</v>
      </c>
    </row>
    <row r="676" spans="1:5" x14ac:dyDescent="0.25">
      <c r="A676" s="110"/>
      <c r="B676" s="110"/>
      <c r="C676" s="110"/>
      <c r="D676" s="110"/>
      <c r="E676" s="111"/>
    </row>
    <row r="677" spans="1:5" x14ac:dyDescent="0.25">
      <c r="A677" s="110"/>
      <c r="B677" s="110"/>
      <c r="C677" s="110"/>
      <c r="D677" s="110"/>
      <c r="E677" s="111"/>
    </row>
    <row r="678" spans="1:5" x14ac:dyDescent="0.25">
      <c r="A678" s="113" t="s">
        <v>1046</v>
      </c>
      <c r="B678" s="113"/>
      <c r="C678" s="113"/>
      <c r="D678" s="113"/>
      <c r="E678" s="115">
        <f>(E672-E673-E674)+(E675+E676+E677)</f>
        <v>0</v>
      </c>
    </row>
    <row r="679" spans="1:5" x14ac:dyDescent="0.25">
      <c r="A679" s="110" t="s">
        <v>990</v>
      </c>
      <c r="B679" s="110" t="s">
        <v>990</v>
      </c>
      <c r="C679" s="110">
        <v>2600</v>
      </c>
      <c r="D679" s="110">
        <v>6600</v>
      </c>
      <c r="E679" s="111">
        <f>SUMIFS('Accounting data'!$G$2:$G$37000,'Accounting data'!$J$2:$J$37000,"26*",'Accounting data'!$K$2:$K$37000,"66*")</f>
        <v>21292</v>
      </c>
    </row>
    <row r="680" spans="1:5" x14ac:dyDescent="0.25">
      <c r="A680" s="110" t="s">
        <v>991</v>
      </c>
      <c r="B680" s="110" t="s">
        <v>990</v>
      </c>
      <c r="C680" s="110">
        <v>2600</v>
      </c>
      <c r="D680" s="110">
        <v>6600</v>
      </c>
      <c r="E680" s="111">
        <f>SUMIFS('Accounting data'!$G$2:$G$37000,'Accounting data'!$H$2:$H$37000,"9999*",'Accounting data'!$J$2:$J$37000,"26*",'Accounting data'!$K$2:$K$37000,"66*")</f>
        <v>0</v>
      </c>
    </row>
    <row r="681" spans="1:5" x14ac:dyDescent="0.25">
      <c r="A681" s="110" t="s">
        <v>990</v>
      </c>
      <c r="B681" s="110" t="s">
        <v>992</v>
      </c>
      <c r="C681" s="110">
        <v>2600</v>
      </c>
      <c r="D681" s="110">
        <v>6600</v>
      </c>
      <c r="E681" s="111">
        <f>SUMIFS('Accounting data'!$G$2:$G$37000,'Accounting data'!$I$2:$I$37000,"7*",'Accounting data'!$J$2:$J$37000,"26*",'Accounting data'!$K$2:$K$37000,"66*")+SUMIFS('Accounting data'!$G$2:$G$37000,'Accounting data'!$I$2:$I$37000,"8*",'Accounting data'!$J$2:$J$37000,"26*",'Accounting data'!$K$2:$K$37000,"66*")+SUMIFS('Accounting data'!$G$2:$G$37000,'Accounting data'!$I$2:$I$37000,"9*",'Accounting data'!$J$2:$J$37000,"26*",'Accounting data'!$K$2:$K$37000,"66*")</f>
        <v>0</v>
      </c>
    </row>
    <row r="682" spans="1:5" x14ac:dyDescent="0.25">
      <c r="A682" s="112" t="s">
        <v>991</v>
      </c>
      <c r="B682" s="110" t="s">
        <v>992</v>
      </c>
      <c r="C682" s="110">
        <v>2600</v>
      </c>
      <c r="D682" s="110">
        <v>6600</v>
      </c>
      <c r="E682" s="111">
        <f>SUMIFS('Accounting data'!$G$2:$G$37000,'Accounting data'!$H$2:$H$37000,"9999*",'Accounting data'!$I$2:$I$37000,"7*",'Accounting data'!$J$2:$J$37000,"26*",'Accounting data'!$K$2:$K$37000,"66*")+SUMIFS('Accounting data'!$G$2:$G$37000,'Accounting data'!$H$2:$H$37000,"9999*",'Accounting data'!$I$2:$I$37000,"8*",'Accounting data'!$J$2:$J$37000,"26*",'Accounting data'!$K$2:$K$37000,"66*")+SUMIFS('Accounting data'!$G$2:$G$37000,'Accounting data'!$H$2:$H$37000,"9999*",'Accounting data'!$I$2:$I$37000,"9*",'Accounting data'!$J$2:$J$37000,"26*",'Accounting data'!$K$2:$K$37000,"66*")</f>
        <v>0</v>
      </c>
    </row>
    <row r="683" spans="1:5" x14ac:dyDescent="0.25">
      <c r="A683" s="110"/>
      <c r="B683" s="110"/>
      <c r="C683" s="110"/>
      <c r="D683" s="110"/>
      <c r="E683" s="111"/>
    </row>
    <row r="684" spans="1:5" x14ac:dyDescent="0.25">
      <c r="A684" s="110"/>
      <c r="B684" s="110"/>
      <c r="C684" s="110"/>
      <c r="D684" s="110"/>
      <c r="E684" s="111"/>
    </row>
    <row r="685" spans="1:5" x14ac:dyDescent="0.25">
      <c r="A685" s="113" t="s">
        <v>1047</v>
      </c>
      <c r="B685" s="113"/>
      <c r="C685" s="113"/>
      <c r="D685" s="113"/>
      <c r="E685" s="115">
        <f>(E679-E680-E681)+(E682+E683+E684)</f>
        <v>21292</v>
      </c>
    </row>
    <row r="686" spans="1:5" x14ac:dyDescent="0.25">
      <c r="A686" s="110" t="s">
        <v>990</v>
      </c>
      <c r="B686" s="110" t="s">
        <v>990</v>
      </c>
      <c r="C686" s="110">
        <v>2700</v>
      </c>
      <c r="D686" s="110">
        <v>6600</v>
      </c>
      <c r="E686" s="111">
        <f>SUMIFS('Accounting data'!$G$2:$G$37000,'Accounting data'!$J$2:$J$37000,"27*",'Accounting data'!$K$2:$K$37000,"66*")</f>
        <v>0</v>
      </c>
    </row>
    <row r="687" spans="1:5" x14ac:dyDescent="0.25">
      <c r="A687" s="110" t="s">
        <v>991</v>
      </c>
      <c r="B687" s="110" t="s">
        <v>990</v>
      </c>
      <c r="C687" s="110">
        <v>2700</v>
      </c>
      <c r="D687" s="110">
        <v>6600</v>
      </c>
      <c r="E687" s="111">
        <f>SUMIFS('Accounting data'!$G$2:$G$37000,'Accounting data'!$H$2:$H$37000,"9999*",'Accounting data'!$J$2:$J$37000,"27*",'Accounting data'!$K$2:$K$37000,"66*")</f>
        <v>0</v>
      </c>
    </row>
    <row r="688" spans="1:5" x14ac:dyDescent="0.25">
      <c r="A688" s="110" t="s">
        <v>990</v>
      </c>
      <c r="B688" s="110" t="s">
        <v>992</v>
      </c>
      <c r="C688" s="110">
        <v>2700</v>
      </c>
      <c r="D688" s="110">
        <v>6600</v>
      </c>
      <c r="E688" s="111">
        <f>SUMIFS('Accounting data'!$G$2:$G$37000,'Accounting data'!$I$2:$I$37000,"7*",'Accounting data'!$J$2:$J$37000,"27*",'Accounting data'!$K$2:$K$37000,"66*")+SUMIFS('Accounting data'!$G$2:$G$37000,'Accounting data'!$I$2:$I$37000,"8*",'Accounting data'!$J$2:$J$37000,"27*",'Accounting data'!$K$2:$K$37000,"66*")+SUMIFS('Accounting data'!$G$2:$G$37000,'Accounting data'!$I$2:$I$37000,"9*",'Accounting data'!$J$2:$J$37000,"27*",'Accounting data'!$K$2:$K$37000,"66*")</f>
        <v>0</v>
      </c>
    </row>
    <row r="689" spans="1:5" x14ac:dyDescent="0.25">
      <c r="A689" s="112" t="s">
        <v>991</v>
      </c>
      <c r="B689" s="110" t="s">
        <v>992</v>
      </c>
      <c r="C689" s="110">
        <v>2700</v>
      </c>
      <c r="D689" s="110">
        <v>6600</v>
      </c>
      <c r="E689" s="111">
        <f>SUMIFS('Accounting data'!$G$2:$G$37000,'Accounting data'!$H$2:$H$37000,"9999*",'Accounting data'!$I$2:$I$37000,"7*",'Accounting data'!$J$2:$J$37000,"27*",'Accounting data'!$K$2:$K$37000,"66*")+SUMIFS('Accounting data'!$G$2:$G$37000,'Accounting data'!$H$2:$H$37000,"9999*",'Accounting data'!$I$2:$I$37000,"8*",'Accounting data'!$J$2:$J$37000,"27*",'Accounting data'!$K$2:$K$37000,"66*")+SUMIFS('Accounting data'!$G$2:$G$37000,'Accounting data'!$H$2:$H$37000,"9999*",'Accounting data'!$I$2:$I$37000,"9*",'Accounting data'!$J$2:$J$37000,"27*",'Accounting data'!$K$2:$K$37000,"66*")</f>
        <v>0</v>
      </c>
    </row>
    <row r="690" spans="1:5" x14ac:dyDescent="0.25">
      <c r="A690" s="110"/>
      <c r="B690" s="110"/>
      <c r="C690" s="110"/>
      <c r="D690" s="110"/>
      <c r="E690" s="111"/>
    </row>
    <row r="691" spans="1:5" x14ac:dyDescent="0.25">
      <c r="A691" s="110"/>
      <c r="B691" s="110"/>
      <c r="C691" s="110"/>
      <c r="D691" s="110"/>
      <c r="E691" s="111"/>
    </row>
    <row r="692" spans="1:5" x14ac:dyDescent="0.25">
      <c r="A692" s="113" t="s">
        <v>1048</v>
      </c>
      <c r="B692" s="113"/>
      <c r="C692" s="113"/>
      <c r="D692" s="113"/>
      <c r="E692" s="115">
        <f>(E686-E687-E688)+(E689+E690+E691)</f>
        <v>0</v>
      </c>
    </row>
    <row r="693" spans="1:5" x14ac:dyDescent="0.25">
      <c r="A693" s="110" t="s">
        <v>990</v>
      </c>
      <c r="B693" s="110" t="s">
        <v>990</v>
      </c>
      <c r="C693" s="110">
        <v>3100</v>
      </c>
      <c r="D693" s="110">
        <v>6600</v>
      </c>
      <c r="E693" s="111">
        <f>SUMIFS('Accounting data'!$G$2:$G$37000,'Accounting data'!$J$2:$J$37000,"31*",'Accounting data'!$K$2:$K$37000,"66*")</f>
        <v>0</v>
      </c>
    </row>
    <row r="694" spans="1:5" x14ac:dyDescent="0.25">
      <c r="A694" s="110" t="s">
        <v>991</v>
      </c>
      <c r="B694" s="110" t="s">
        <v>990</v>
      </c>
      <c r="C694" s="110">
        <v>3100</v>
      </c>
      <c r="D694" s="110">
        <v>6600</v>
      </c>
      <c r="E694" s="111">
        <f>SUMIFS('Accounting data'!$G$2:$G$37000,'Accounting data'!$H$2:$H$37000,"9999*",'Accounting data'!$J$2:$J$37000,"31*",'Accounting data'!$K$2:$K$37000,"66*")</f>
        <v>0</v>
      </c>
    </row>
    <row r="695" spans="1:5" x14ac:dyDescent="0.25">
      <c r="A695" s="110" t="s">
        <v>990</v>
      </c>
      <c r="B695" s="110" t="s">
        <v>992</v>
      </c>
      <c r="C695" s="110">
        <v>3100</v>
      </c>
      <c r="D695" s="110">
        <v>6600</v>
      </c>
      <c r="E695" s="111">
        <f>SUMIFS('Accounting data'!$G$2:$G$37000,'Accounting data'!$I$2:$I$37000,"7*",'Accounting data'!$J$2:$J$37000,"31*",'Accounting data'!$K$2:$K$37000,"66*")+SUMIFS('Accounting data'!$G$2:$G$37000,'Accounting data'!$I$2:$I$37000,"8*",'Accounting data'!$J$2:$J$37000,"31*",'Accounting data'!$K$2:$K$37000,"66*")+SUMIFS('Accounting data'!$G$2:$G$37000,'Accounting data'!$I$2:$I$37000,"9*",'Accounting data'!$J$2:$J$37000,"31*",'Accounting data'!$K$2:$K$37000,"66*")</f>
        <v>0</v>
      </c>
    </row>
    <row r="696" spans="1:5" x14ac:dyDescent="0.25">
      <c r="A696" s="112" t="s">
        <v>991</v>
      </c>
      <c r="B696" s="110" t="s">
        <v>992</v>
      </c>
      <c r="C696" s="110">
        <v>3100</v>
      </c>
      <c r="D696" s="110">
        <v>6600</v>
      </c>
      <c r="E696" s="111">
        <f>SUMIFS('Accounting data'!$G$2:$G$37000,'Accounting data'!$H$2:$H$37000,"9999*",'Accounting data'!$I$2:$I$37000,"7*",'Accounting data'!$J$2:$J$37000,"31*",'Accounting data'!$K$2:$K$37000,"66*")+SUMIFS('Accounting data'!$G$2:$G$37000,'Accounting data'!$H$2:$H$37000,"9999*",'Accounting data'!$I$2:$I$37000,"8*",'Accounting data'!$J$2:$J$37000,"31*",'Accounting data'!$K$2:$K$37000,"66*")+SUMIFS('Accounting data'!$G$2:$G$37000,'Accounting data'!$H$2:$H$37000,"9999*",'Accounting data'!$I$2:$I$37000,"9*",'Accounting data'!$J$2:$J$37000,"31*",'Accounting data'!$K$2:$K$37000,"66*")</f>
        <v>0</v>
      </c>
    </row>
    <row r="697" spans="1:5" x14ac:dyDescent="0.25">
      <c r="A697" s="110"/>
      <c r="B697" s="110"/>
      <c r="C697" s="110"/>
      <c r="D697" s="110"/>
      <c r="E697" s="111"/>
    </row>
    <row r="698" spans="1:5" x14ac:dyDescent="0.25">
      <c r="A698" s="110"/>
      <c r="B698" s="110"/>
      <c r="C698" s="110"/>
      <c r="D698" s="110"/>
      <c r="E698" s="111"/>
    </row>
    <row r="699" spans="1:5" x14ac:dyDescent="0.25">
      <c r="A699" s="113" t="s">
        <v>1049</v>
      </c>
      <c r="B699" s="113"/>
      <c r="C699" s="113"/>
      <c r="D699" s="113"/>
      <c r="E699" s="115">
        <f>(E693-E694-E695)+(E696+E697+E698)</f>
        <v>0</v>
      </c>
    </row>
    <row r="707" spans="1:5" x14ac:dyDescent="0.25">
      <c r="A707" s="110" t="s">
        <v>990</v>
      </c>
      <c r="B707" s="110" t="s">
        <v>990</v>
      </c>
      <c r="C707" s="110">
        <v>3400</v>
      </c>
      <c r="D707" s="110">
        <v>6600</v>
      </c>
      <c r="E707" s="111">
        <f>SUMIFS('Accounting data'!$G$2:$G$37000,'Accounting data'!$J$2:$J$37000,"34*",'Accounting data'!$K$2:$K$37000,"66*")</f>
        <v>0</v>
      </c>
    </row>
    <row r="708" spans="1:5" x14ac:dyDescent="0.25">
      <c r="A708" s="110" t="s">
        <v>991</v>
      </c>
      <c r="B708" s="110" t="s">
        <v>990</v>
      </c>
      <c r="C708" s="110">
        <v>3400</v>
      </c>
      <c r="D708" s="110">
        <v>6600</v>
      </c>
      <c r="E708" s="111">
        <f>SUMIFS('Accounting data'!$G$2:$G$37000,'Accounting data'!$H$2:$H$37000,"9999*",'Accounting data'!$J$2:$J$37000,"34*",'Accounting data'!$K$2:$K$37000,"66*")</f>
        <v>0</v>
      </c>
    </row>
    <row r="709" spans="1:5" x14ac:dyDescent="0.25">
      <c r="A709" s="110" t="s">
        <v>990</v>
      </c>
      <c r="B709" s="110" t="s">
        <v>992</v>
      </c>
      <c r="C709" s="110">
        <v>3400</v>
      </c>
      <c r="D709" s="110">
        <v>6600</v>
      </c>
      <c r="E709" s="111">
        <f>SUMIFS('Accounting data'!$G$2:$G$37000,'Accounting data'!$I$2:$I$37000,"7*",'Accounting data'!$J$2:$J$37000,"34*",'Accounting data'!$K$2:$K$37000,"66*")+SUMIFS('Accounting data'!$G$2:$G$37000,'Accounting data'!$I$2:$I$37000,"8*",'Accounting data'!$J$2:$J$37000,"34*",'Accounting data'!$K$2:$K$37000,"66*")+SUMIFS('Accounting data'!$G$2:$G$37000,'Accounting data'!$I$2:$I$37000,"9*",'Accounting data'!$J$2:$J$37000,"34*",'Accounting data'!$K$2:$K$37000,"66*")</f>
        <v>0</v>
      </c>
    </row>
    <row r="710" spans="1:5" x14ac:dyDescent="0.25">
      <c r="A710" s="112" t="s">
        <v>991</v>
      </c>
      <c r="B710" s="110" t="s">
        <v>992</v>
      </c>
      <c r="C710" s="110">
        <v>3400</v>
      </c>
      <c r="D710" s="110">
        <v>6600</v>
      </c>
      <c r="E710" s="111">
        <f>SUMIFS('Accounting data'!$G$2:$G$37000,'Accounting data'!$H$2:$H$37000,"9999*",'Accounting data'!$I$2:$I$37000,"7*",'Accounting data'!$J$2:$J$37000,"34*",'Accounting data'!$K$2:$K$37000,"66*")+SUMIFS('Accounting data'!$G$2:$G$37000,'Accounting data'!$H$2:$H$37000,"9999*",'Accounting data'!$I$2:$I$37000,"8*",'Accounting data'!$J$2:$J$37000,"34*",'Accounting data'!$K$2:$K$37000,"66*")+SUMIFS('Accounting data'!$G$2:$G$37000,'Accounting data'!$H$2:$H$37000,"9999*",'Accounting data'!$I$2:$I$37000,"9*",'Accounting data'!$J$2:$J$37000,"34*",'Accounting data'!$K$2:$K$37000,"66*")</f>
        <v>0</v>
      </c>
    </row>
    <row r="711" spans="1:5" x14ac:dyDescent="0.25">
      <c r="A711" s="110"/>
      <c r="B711" s="110"/>
      <c r="C711" s="110"/>
      <c r="D711" s="110"/>
      <c r="E711" s="111"/>
    </row>
    <row r="712" spans="1:5" x14ac:dyDescent="0.25">
      <c r="A712" s="110"/>
      <c r="B712" s="110"/>
      <c r="C712" s="110"/>
      <c r="D712" s="110"/>
      <c r="E712" s="111"/>
    </row>
    <row r="713" spans="1:5" x14ac:dyDescent="0.25">
      <c r="A713" s="113" t="s">
        <v>1050</v>
      </c>
      <c r="B713" s="113"/>
      <c r="C713" s="113"/>
      <c r="D713" s="113"/>
      <c r="E713" s="115">
        <f>(E707-E708-E709)+(E710+E711+E712)</f>
        <v>0</v>
      </c>
    </row>
    <row r="714" spans="1:5" x14ac:dyDescent="0.25">
      <c r="A714" s="110" t="s">
        <v>990</v>
      </c>
      <c r="B714" s="110" t="s">
        <v>990</v>
      </c>
      <c r="C714" s="110">
        <v>4000</v>
      </c>
      <c r="D714" s="110">
        <v>6600</v>
      </c>
      <c r="E714" s="111">
        <f>SUMIFS('Accounting data'!$G$2:$G$37000,'Accounting data'!$J$2:$J$37000,"4*",'Accounting data'!$K$2:$K$37000,"66*")</f>
        <v>0</v>
      </c>
    </row>
    <row r="715" spans="1:5" x14ac:dyDescent="0.25">
      <c r="A715" s="110" t="s">
        <v>991</v>
      </c>
      <c r="B715" s="110" t="s">
        <v>990</v>
      </c>
      <c r="C715" s="110">
        <v>4000</v>
      </c>
      <c r="D715" s="110">
        <v>6600</v>
      </c>
      <c r="E715" s="111">
        <f>SUMIFS('Accounting data'!$G$2:$G$37000,'Accounting data'!$H$2:$H$37000,"9999*",'Accounting data'!$J$2:$J$37000,"4*",'Accounting data'!$K$2:$K$37000,"66*")</f>
        <v>0</v>
      </c>
    </row>
    <row r="716" spans="1:5" x14ac:dyDescent="0.25">
      <c r="A716" s="110" t="s">
        <v>990</v>
      </c>
      <c r="B716" s="110" t="s">
        <v>992</v>
      </c>
      <c r="C716" s="110">
        <v>4000</v>
      </c>
      <c r="D716" s="110">
        <v>6600</v>
      </c>
      <c r="E716" s="111">
        <f>SUMIFS('Accounting data'!$G$2:$G$37000,'Accounting data'!$I$2:$I$37000,"7*",'Accounting data'!$J$2:$J$37000,"4*",'Accounting data'!$K$2:$K$37000,"66*")+SUMIFS('Accounting data'!$G$2:$G$37000,'Accounting data'!$I$2:$I$37000,"8*",'Accounting data'!$J$2:$J$37000,"4*",'Accounting data'!$K$2:$K$37000,"66*")+SUMIFS('Accounting data'!$G$2:$G$37000,'Accounting data'!$I$2:$I$37000,"9*",'Accounting data'!$J$2:$J$37000,"4*",'Accounting data'!$K$2:$K$37000,"66*")</f>
        <v>0</v>
      </c>
    </row>
    <row r="717" spans="1:5" x14ac:dyDescent="0.25">
      <c r="A717" s="112" t="s">
        <v>991</v>
      </c>
      <c r="B717" s="110" t="s">
        <v>992</v>
      </c>
      <c r="C717" s="110">
        <v>4000</v>
      </c>
      <c r="D717" s="110">
        <v>6600</v>
      </c>
      <c r="E717" s="111">
        <f>SUMIFS('Accounting data'!$G$2:$G$37000,'Accounting data'!$H$2:$H$37000,"9999*",'Accounting data'!$I$2:$I$37000,"7*",'Accounting data'!$J$2:$J$37000,"4*",'Accounting data'!$K$2:$K$37000,"66*")+SUMIFS('Accounting data'!$G$2:$G$37000,'Accounting data'!$H$2:$H$37000,"9999*",'Accounting data'!$I$2:$I$37000,"8*",'Accounting data'!$J$2:$J$37000,"4*",'Accounting data'!$K$2:$K$37000,"66*")+SUMIFS('Accounting data'!$G$2:$G$37000,'Accounting data'!$H$2:$H$37000,"9999*",'Accounting data'!$I$2:$I$37000,"9*",'Accounting data'!$J$2:$J$37000,"4*",'Accounting data'!$K$2:$K$37000,"66*")</f>
        <v>0</v>
      </c>
    </row>
    <row r="718" spans="1:5" x14ac:dyDescent="0.25">
      <c r="A718" s="110"/>
      <c r="B718" s="110"/>
      <c r="C718" s="110"/>
      <c r="D718" s="110"/>
      <c r="E718" s="111"/>
    </row>
    <row r="719" spans="1:5" x14ac:dyDescent="0.25">
      <c r="A719" s="110"/>
      <c r="B719" s="110"/>
      <c r="C719" s="110"/>
      <c r="D719" s="110"/>
      <c r="E719" s="111"/>
    </row>
    <row r="720" spans="1:5" x14ac:dyDescent="0.25">
      <c r="A720" s="113" t="s">
        <v>1051</v>
      </c>
      <c r="B720" s="113"/>
      <c r="C720" s="113"/>
      <c r="D720" s="113"/>
      <c r="E720" s="115">
        <f>(E714-E715-E716)+(E717+E718+E719)</f>
        <v>0</v>
      </c>
    </row>
    <row r="721" spans="1:6" x14ac:dyDescent="0.25">
      <c r="A721" s="121" t="s">
        <v>1052</v>
      </c>
      <c r="B721" s="121"/>
      <c r="C721" s="121"/>
      <c r="D721" s="121"/>
      <c r="E721" s="122">
        <f>E636+E643+E650+E657+E664+E671+E678+E685+E692+E699+E706+E713</f>
        <v>84524</v>
      </c>
    </row>
    <row r="722" spans="1:6" x14ac:dyDescent="0.25">
      <c r="A722" s="110" t="s">
        <v>1006</v>
      </c>
      <c r="B722" s="110" t="s">
        <v>990</v>
      </c>
      <c r="C722" s="110">
        <v>1000</v>
      </c>
      <c r="D722" s="110">
        <v>6600</v>
      </c>
      <c r="E722" s="111">
        <f>SUMIFS('Accounting data'!$G$2:$G$37000,'Accounting data'!$H$2:$H$37000,"11*",'Accounting data'!$J$2:$J$37000,"1*",'Accounting data'!$K$2:$K$37000,"66*")+SUMIFS('Accounting data'!$G$2:$G$37000,'Accounting data'!$H$2:$H$37000,"12*",'Accounting data'!$J$2:$J$37000,"1*",'Accounting data'!$K$2:$K$37000,"66*")+SUMIFS('Accounting data'!$G$2:$G$37000,'Accounting data'!$H$2:$H$37000,"13*",'Accounting data'!$J$2:$J$37000,"1*",'Accounting data'!$K$2:$K$37000,"66*")</f>
        <v>3544</v>
      </c>
    </row>
    <row r="723" spans="1:6" x14ac:dyDescent="0.25">
      <c r="A723" s="110" t="s">
        <v>1006</v>
      </c>
      <c r="B723" s="110" t="s">
        <v>990</v>
      </c>
      <c r="C723" s="110">
        <v>2000</v>
      </c>
      <c r="D723" s="110">
        <v>6600</v>
      </c>
      <c r="E723" s="111">
        <f>SUMIFS('Accounting data'!$G$2:$G$37000,'Accounting data'!$H$2:$H$37000,"11*",'Accounting data'!$J$2:$J$37000,"2*",'Accounting data'!$K$2:$K$37000,"66*")+SUMIFS('Accounting data'!$G$2:$G$37000,'Accounting data'!$H$2:$H$37000,"12*",'Accounting data'!$J$2:$J$37000,"2*",'Accounting data'!$K$2:$K$37000,"66*")+SUMIFS('Accounting data'!$G$2:$G$37000,'Accounting data'!$H$2:$H$37000,"13*",'Accounting data'!$J$2:$J$37000,"2*",'Accounting data'!$K$2:$K$37000,"66*")</f>
        <v>7868</v>
      </c>
    </row>
    <row r="724" spans="1:6" x14ac:dyDescent="0.25">
      <c r="A724" s="110" t="s">
        <v>1006</v>
      </c>
      <c r="B724" s="110" t="s">
        <v>990</v>
      </c>
      <c r="C724" s="110">
        <v>3000</v>
      </c>
      <c r="D724" s="110">
        <v>6600</v>
      </c>
      <c r="E724" s="111">
        <f>SUMIFS('Accounting data'!$G$2:$G$37000,'Accounting data'!$H$2:$H$37000,"11*",'Accounting data'!$J$2:$J$37000,"3*",'Accounting data'!$K$2:$K$37000,"66*")+SUMIFS('Accounting data'!$G$2:$G$37000,'Accounting data'!$H$2:$H$37000,"12*",'Accounting data'!$J$2:$J$37000,"3*",'Accounting data'!$K$2:$K$37000,"66*")+SUMIFS('Accounting data'!$G$2:$G$37000,'Accounting data'!$H$2:$H$37000,"13*",'Accounting data'!$J$2:$J$37000,"3*",'Accounting data'!$K$2:$K$37000,"66*")</f>
        <v>0</v>
      </c>
    </row>
    <row r="725" spans="1:6" x14ac:dyDescent="0.25">
      <c r="A725" s="110" t="s">
        <v>1006</v>
      </c>
      <c r="B725" s="112">
        <v>700</v>
      </c>
      <c r="C725" s="110">
        <v>1000</v>
      </c>
      <c r="D725" s="110">
        <v>6600</v>
      </c>
      <c r="E725" s="111">
        <f>SUMIFS('Accounting data'!$G$2:$G$37000,'Accounting data'!$H$2:$H$37000,"11*",'Accounting data'!$I$2:$I$37000,"7*",'Accounting data'!$J$2:$J$37000,"1*",'Accounting data'!$K$2:$K$37000,"66*")+SUMIFS('Accounting data'!$G$2:$G$37000,'Accounting data'!$H$2:$H$37000,"12*",'Accounting data'!$I$2:$I$37000,"7*",'Accounting data'!$J$2:$J$37000,"1*",'Accounting data'!$K$2:$K$37000,"66*")+SUMIFS('Accounting data'!$G$2:$G$37000,'Accounting data'!$H$2:$H$37000,"13*",'Accounting data'!$I$2:$I$37000,"7*",'Accounting data'!$J$2:$J$37000,"1*",'Accounting data'!$K$2:$K$37000,"66*")</f>
        <v>0</v>
      </c>
    </row>
    <row r="726" spans="1:6" x14ac:dyDescent="0.25">
      <c r="A726" s="110" t="s">
        <v>1006</v>
      </c>
      <c r="B726" s="112">
        <v>800</v>
      </c>
      <c r="C726" s="110">
        <v>1000</v>
      </c>
      <c r="D726" s="110">
        <v>6600</v>
      </c>
      <c r="E726" s="111">
        <f>SUMIFS('Accounting data'!$G$2:$G$37000,'Accounting data'!$H$2:$H$37000,"11*",'Accounting data'!$I$2:$I$37000,"8*",'Accounting data'!$J$2:$J$37000,"1*",'Accounting data'!$K$2:$K$37000,"66*")+SUMIFS('Accounting data'!$G$2:$G$37000,'Accounting data'!$H$2:$H$37000,"12*",'Accounting data'!$I$2:$I$37000,"8*",'Accounting data'!$J$2:$J$37000,"1*",'Accounting data'!$K$2:$K$37000,"66*")+SUMIFS('Accounting data'!$G$2:$G$37000,'Accounting data'!$H$2:$H$37000,"13*",'Accounting data'!$I$2:$I$37000,"8*",'Accounting data'!$J$2:$J$37000,"1*",'Accounting data'!$K$2:$K$37000,"66*")</f>
        <v>0</v>
      </c>
    </row>
    <row r="727" spans="1:6" x14ac:dyDescent="0.25">
      <c r="A727" s="110" t="s">
        <v>1006</v>
      </c>
      <c r="B727" s="112">
        <v>900</v>
      </c>
      <c r="C727" s="110">
        <v>1000</v>
      </c>
      <c r="D727" s="110">
        <v>6600</v>
      </c>
      <c r="E727" s="111">
        <f>SUMIFS('Accounting data'!$G$2:$G$37000,'Accounting data'!$H$2:$H$37000,"11*",'Accounting data'!$I$2:$I$37000,"9*",'Accounting data'!$J$2:$J$37000,"1*",'Accounting data'!$K$2:$K$37000,"66*")+SUMIFS('Accounting data'!$G$2:$G$37000,'Accounting data'!$H$2:$H$37000,"12*",'Accounting data'!$I$2:$I$37000,"9*",'Accounting data'!$J$2:$J$37000,"1*",'Accounting data'!$K$2:$K$37000,"66*")+SUMIFS('Accounting data'!$G$2:$G$37000,'Accounting data'!$H$2:$H$37000,"13*",'Accounting data'!$I$2:$I$37000,"9*",'Accounting data'!$J$2:$J$37000,"1*",'Accounting data'!$K$2:$K$37000,"66*")</f>
        <v>0</v>
      </c>
    </row>
    <row r="728" spans="1:6" x14ac:dyDescent="0.25">
      <c r="A728" s="110" t="s">
        <v>1006</v>
      </c>
      <c r="B728" s="112">
        <v>700</v>
      </c>
      <c r="C728" s="110">
        <v>2000</v>
      </c>
      <c r="D728" s="110">
        <v>6600</v>
      </c>
      <c r="E728" s="111">
        <f>SUMIFS('Accounting data'!$G$2:$G$37000,'Accounting data'!$H$2:$H$37000,"11*",'Accounting data'!$I$2:$I$37000,"7*",'Accounting data'!$J$2:$J$37000,"2*",'Accounting data'!$K$2:$K$37000,"66*")+SUMIFS('Accounting data'!$G$2:$G$37000,'Accounting data'!$H$2:$H$37000,"12*",'Accounting data'!$I$2:$I$37000,"7*",'Accounting data'!$J$2:$J$37000,"2*",'Accounting data'!$K$2:$K$37000,"66*")+SUMIFS('Accounting data'!$G$2:$G$37000,'Accounting data'!$H$2:$H$37000,"13*",'Accounting data'!$I$2:$I$37000,"7*",'Accounting data'!$J$2:$J$37000,"2*",'Accounting data'!$K$2:$K$37000,"66*")</f>
        <v>0</v>
      </c>
    </row>
    <row r="729" spans="1:6" x14ac:dyDescent="0.25">
      <c r="A729" s="110" t="s">
        <v>1006</v>
      </c>
      <c r="B729" s="112">
        <v>800</v>
      </c>
      <c r="C729" s="110">
        <v>2000</v>
      </c>
      <c r="D729" s="110">
        <v>6600</v>
      </c>
      <c r="E729" s="111">
        <f>SUMIFS('Accounting data'!$G$2:$G$37000,'Accounting data'!$H$2:$H$37000,"11*",'Accounting data'!$I$2:$I$37000,"8*",'Accounting data'!$J$2:$J$37000,"2*",'Accounting data'!$K$2:$K$37000,"66*")+SUMIFS('Accounting data'!$G$2:$G$37000,'Accounting data'!$H$2:$H$37000,"12*",'Accounting data'!$I$2:$I$37000,"8*",'Accounting data'!$J$2:$J$37000,"2*",'Accounting data'!$K$2:$K$37000,"66*")+SUMIFS('Accounting data'!$G$2:$G$37000,'Accounting data'!$H$2:$H$37000,"13*",'Accounting data'!$I$2:$I$37000,"8*",'Accounting data'!$J$2:$J$37000,"2*",'Accounting data'!$K$2:$K$37000,"66*")</f>
        <v>0</v>
      </c>
    </row>
    <row r="730" spans="1:6" x14ac:dyDescent="0.25">
      <c r="A730" s="110" t="s">
        <v>1006</v>
      </c>
      <c r="B730" s="112">
        <v>900</v>
      </c>
      <c r="C730" s="110">
        <v>2000</v>
      </c>
      <c r="D730" s="110">
        <v>6600</v>
      </c>
      <c r="E730" s="111">
        <f>SUMIFS('Accounting data'!$G$2:$G$37000,'Accounting data'!$H$2:$H$37000,"11*",'Accounting data'!$I$2:$I$37000,"9*",'Accounting data'!$J$2:$J$37000,"2*",'Accounting data'!$K$2:$K$37000,"66*")+SUMIFS('Accounting data'!$G$2:$G$37000,'Accounting data'!$H$2:$H$37000,"12*",'Accounting data'!$I$2:$I$37000,"9*",'Accounting data'!$J$2:$J$37000,"2*",'Accounting data'!$K$2:$K$37000,"66*")+SUMIFS('Accounting data'!$G$2:$G$37000,'Accounting data'!$H$2:$H$37000,"13*",'Accounting data'!$I$2:$I$37000,"9*",'Accounting data'!$J$2:$J$37000,"2*",'Accounting data'!$K$2:$K$37000,"66*")</f>
        <v>0</v>
      </c>
    </row>
    <row r="731" spans="1:6" x14ac:dyDescent="0.25">
      <c r="A731" s="110" t="s">
        <v>1006</v>
      </c>
      <c r="B731" s="112">
        <v>700</v>
      </c>
      <c r="C731" s="110">
        <v>3000</v>
      </c>
      <c r="D731" s="110">
        <v>6600</v>
      </c>
      <c r="E731" s="111">
        <f>SUMIFS('Accounting data'!$G$2:$G$37000,'Accounting data'!$H$2:$H$37000,"11*",'Accounting data'!$I$2:$I$37000,"7*",'Accounting data'!$J$2:$J$37000,"3*",'Accounting data'!$K$2:$K$37000,"66*")+SUMIFS('Accounting data'!$G$2:$G$37000,'Accounting data'!$H$2:$H$37000,"12*",'Accounting data'!$I$2:$I$37000,"7*",'Accounting data'!$J$2:$J$37000,"3*",'Accounting data'!$K$2:$K$37000,"66*")+SUMIFS('Accounting data'!$G$2:$G$37000,'Accounting data'!$H$2:$H$37000,"13*",'Accounting data'!$I$2:$I$37000,"7*",'Accounting data'!$J$2:$J$37000,"3*",'Accounting data'!$K$2:$K$37000,"66*")</f>
        <v>0</v>
      </c>
    </row>
    <row r="732" spans="1:6" x14ac:dyDescent="0.25">
      <c r="A732" s="110" t="s">
        <v>1006</v>
      </c>
      <c r="B732" s="112">
        <v>800</v>
      </c>
      <c r="C732" s="110">
        <v>3000</v>
      </c>
      <c r="D732" s="110">
        <v>6600</v>
      </c>
      <c r="E732" s="111">
        <f>SUMIFS('Accounting data'!$G$2:$G$37000,'Accounting data'!$H$2:$H$37000,"11*",'Accounting data'!$I$2:$I$37000,"8*",'Accounting data'!$J$2:$J$37000,"3*",'Accounting data'!$K$2:$K$37000,"66*")+SUMIFS('Accounting data'!$G$2:$G$37000,'Accounting data'!$H$2:$H$37000,"12*",'Accounting data'!$I$2:$I$37000,"8*",'Accounting data'!$J$2:$J$37000,"3*",'Accounting data'!$K$2:$K$37000,"66*")+SUMIFS('Accounting data'!$G$2:$G$37000,'Accounting data'!$H$2:$H$37000,"13*",'Accounting data'!$I$2:$I$37000,"8*",'Accounting data'!$J$2:$J$37000,"3*",'Accounting data'!$K$2:$K$37000,"66*")</f>
        <v>0</v>
      </c>
    </row>
    <row r="733" spans="1:6" x14ac:dyDescent="0.25">
      <c r="A733" s="110" t="s">
        <v>1006</v>
      </c>
      <c r="B733" s="112">
        <v>900</v>
      </c>
      <c r="C733" s="110">
        <v>3000</v>
      </c>
      <c r="D733" s="110">
        <v>6600</v>
      </c>
      <c r="E733" s="111">
        <f>SUMIFS('Accounting data'!$G$2:$G$37000,'Accounting data'!$H$2:$H$37000,"11*",'Accounting data'!$I$2:$I$37000,"9*",'Accounting data'!$J$2:$J$37000,"3*",'Accounting data'!$K$2:$K$37000,"66*")+SUMIFS('Accounting data'!$G$2:$G$37000,'Accounting data'!$H$2:$H$37000,"12*",'Accounting data'!$I$2:$I$37000,"9*",'Accounting data'!$J$2:$J$37000,"3*",'Accounting data'!$K$2:$K$37000,"66*")+SUMIFS('Accounting data'!$G$2:$G$37000,'Accounting data'!$H$2:$H$37000,"13*",'Accounting data'!$I$2:$I$37000,"9*",'Accounting data'!$J$2:$J$37000,"3*",'Accounting data'!$K$2:$K$37000,"66*")</f>
        <v>0</v>
      </c>
    </row>
    <row r="734" spans="1:6" x14ac:dyDescent="0.25">
      <c r="A734" s="113" t="s">
        <v>1053</v>
      </c>
      <c r="B734" s="113"/>
      <c r="C734" s="113"/>
      <c r="D734" s="113"/>
      <c r="E734" s="115">
        <f>(E722+E723+E724)-(E725+E726+E727+E728+E729+E730+E731+E732+E733)</f>
        <v>11412</v>
      </c>
    </row>
    <row r="735" spans="1:6" x14ac:dyDescent="0.25">
      <c r="A735" s="110" t="s">
        <v>990</v>
      </c>
      <c r="B735" s="112">
        <v>200</v>
      </c>
      <c r="C735" s="110">
        <v>1000</v>
      </c>
      <c r="D735" s="119" t="s">
        <v>1054</v>
      </c>
      <c r="E735" s="111" cm="1">
        <f t="array" ref="E735">SUM(SUMIFS('Accounting data'!$G$2:$G$37000,'Accounting data'!$I$2:$I$37000,"2*",'Accounting data'!$J$2:$J$37000,"1*",'Accounting data'!$K$2:$K$37000,{"61*","62*","63*","64*","65*","66*","681*","682*","689*"}))</f>
        <v>172626</v>
      </c>
      <c r="F735" s="123"/>
    </row>
    <row r="736" spans="1:6" x14ac:dyDescent="0.25">
      <c r="A736" s="110" t="s">
        <v>990</v>
      </c>
      <c r="B736" s="112">
        <v>200</v>
      </c>
      <c r="C736" s="110">
        <v>1000</v>
      </c>
      <c r="D736" s="119" t="s">
        <v>1055</v>
      </c>
      <c r="E736" s="111" cm="1">
        <f t="array" ref="E736">SUM(SUMIFS('Accounting data'!$G$2:$G$37000,'Accounting data'!$I$2:$I$37000,"2*",'Accounting data'!$J$2:$J$37000,"1*",'Accounting data'!$K$2:$K$37000,{"6511*","6512*","6591*","6592*"}))</f>
        <v>0</v>
      </c>
    </row>
    <row r="737" spans="1:5" x14ac:dyDescent="0.25">
      <c r="A737" s="110" t="s">
        <v>990</v>
      </c>
      <c r="B737" s="112">
        <v>200</v>
      </c>
      <c r="C737" s="110">
        <v>2000</v>
      </c>
      <c r="D737" s="119" t="s">
        <v>1054</v>
      </c>
      <c r="E737" s="111" cm="1">
        <f t="array" ref="E737">SUM(SUMIFS('Accounting data'!$G$2:$G$37000,'Accounting data'!$I$2:$I$37000,"2*",'Accounting data'!$J$2:$J$37000,"2*",'Accounting data'!$K$2:$K$37000,{"61*","62*","63*","64*","65*","66*","681*","682*","689*"}))</f>
        <v>50473</v>
      </c>
    </row>
    <row r="738" spans="1:5" x14ac:dyDescent="0.25">
      <c r="A738" s="110" t="s">
        <v>990</v>
      </c>
      <c r="B738" s="112">
        <v>200</v>
      </c>
      <c r="C738" s="110">
        <v>2000</v>
      </c>
      <c r="D738" s="119" t="s">
        <v>1055</v>
      </c>
      <c r="E738" s="111" cm="1">
        <f t="array" ref="E738">SUM(SUMIFS('Accounting data'!$G$2:$G$37000,'Accounting data'!$I$2:$I$37000,"2*",'Accounting data'!$J$2:$J$37000,"2*",'Accounting data'!$K$2:$K$37000,{"6511*","6512*","6591*","6592*"}))</f>
        <v>0</v>
      </c>
    </row>
    <row r="739" spans="1:5" x14ac:dyDescent="0.25">
      <c r="A739" s="110" t="s">
        <v>990</v>
      </c>
      <c r="B739" s="112">
        <v>200</v>
      </c>
      <c r="C739" s="119">
        <v>3100</v>
      </c>
      <c r="D739" s="119" t="s">
        <v>1054</v>
      </c>
      <c r="E739" s="111" cm="1">
        <f t="array" ref="E739">SUM(SUMIFS('Accounting data'!$G$2:$G$37000,'Accounting data'!$I$2:$I$37000,"2*",'Accounting data'!$J$2:$J$37000,"31*",'Accounting data'!$K$2:$K$37000,{"61*","62*","63*","64*","65*","66*","681*","682*","689*"}))</f>
        <v>0</v>
      </c>
    </row>
    <row r="740" spans="1:5" x14ac:dyDescent="0.25">
      <c r="A740" s="110" t="s">
        <v>990</v>
      </c>
      <c r="B740" s="112">
        <v>200</v>
      </c>
      <c r="C740" s="119">
        <v>3100</v>
      </c>
      <c r="D740" s="119" t="s">
        <v>1055</v>
      </c>
      <c r="E740" s="111" cm="1">
        <f t="array" ref="E740">SUM(SUMIFS('Accounting data'!$G$2:$G$37000,'Accounting data'!$I$2:$I$37000,"2*",'Accounting data'!$J$2:$J$37000,"31*",'Accounting data'!$K$2:$K$37000,{"6511*","6512*","6591*","6592*"}))</f>
        <v>0</v>
      </c>
    </row>
    <row r="741" spans="1:5" x14ac:dyDescent="0.25">
      <c r="A741" s="113" t="s">
        <v>1056</v>
      </c>
      <c r="B741" s="113"/>
      <c r="C741" s="113"/>
      <c r="D741" s="113"/>
      <c r="E741" s="115">
        <f>(E735+E737+E739)-(E736+E738+E740)</f>
        <v>223099</v>
      </c>
    </row>
    <row r="742" spans="1:5" x14ac:dyDescent="0.25">
      <c r="A742" s="110" t="s">
        <v>990</v>
      </c>
      <c r="B742" s="112">
        <v>200</v>
      </c>
      <c r="C742" s="110">
        <v>1000</v>
      </c>
      <c r="D742" s="119" t="s">
        <v>1057</v>
      </c>
      <c r="E742" s="111" cm="1">
        <f t="array" ref="E742">SUM(SUMIFS('Accounting data'!$G$2:$G$37000,'Accounting data'!$I$2:$I$37000,"2*",'Accounting data'!$J$2:$J$37000,"1*",'Accounting data'!$K$2:$K$37000,{"61*","62*","63*","64*","65*","66*","681*","689*"}))</f>
        <v>172626</v>
      </c>
    </row>
    <row r="743" spans="1:5" x14ac:dyDescent="0.25">
      <c r="A743" s="110" t="s">
        <v>990</v>
      </c>
      <c r="B743" s="112">
        <v>200</v>
      </c>
      <c r="C743" s="110">
        <v>1000</v>
      </c>
      <c r="D743" s="119" t="s">
        <v>1058</v>
      </c>
      <c r="E743" s="111" cm="1">
        <f t="array" ref="E743">SUM(SUMIFS('Accounting data'!$G$2:$G$37000,'Accounting data'!$I$2:$I$37000,"2*",'Accounting data'!$J$2:$J$37000,"1*",'Accounting data'!$K$2:$K$37000,{"6591*","6592*"}))</f>
        <v>0</v>
      </c>
    </row>
    <row r="744" spans="1:5" x14ac:dyDescent="0.25">
      <c r="A744" s="113" t="s">
        <v>1059</v>
      </c>
      <c r="B744" s="113"/>
      <c r="C744" s="113"/>
      <c r="D744" s="113"/>
      <c r="E744" s="115">
        <f>E742-E743</f>
        <v>172626</v>
      </c>
    </row>
    <row r="745" spans="1:5" x14ac:dyDescent="0.25">
      <c r="A745" s="110" t="s">
        <v>990</v>
      </c>
      <c r="B745" s="112">
        <v>200</v>
      </c>
      <c r="C745" s="110">
        <v>2100</v>
      </c>
      <c r="D745" s="119" t="s">
        <v>1057</v>
      </c>
      <c r="E745" s="111" cm="1">
        <f t="array" ref="E745">SUM(SUMIFS('Accounting data'!$G$2:$G$37000,'Accounting data'!$I$2:$I$37000,"2*",'Accounting data'!$J$2:$J$37000,"21*",'Accounting data'!$K$2:$K$37000,{"61*","62*","63*","64*","65*","66*","681*","689*"}))</f>
        <v>35876</v>
      </c>
    </row>
    <row r="746" spans="1:5" x14ac:dyDescent="0.25">
      <c r="A746" s="110" t="s">
        <v>990</v>
      </c>
      <c r="B746" s="112">
        <v>200</v>
      </c>
      <c r="C746" s="110">
        <v>2100</v>
      </c>
      <c r="D746" s="119" t="s">
        <v>1058</v>
      </c>
      <c r="E746" s="111" cm="1">
        <f t="array" ref="E746">SUM(SUMIFS('Accounting data'!$G$2:$G$37000,'Accounting data'!$I$2:$I$37000,"2*",'Accounting data'!$J$2:$J$37000,"21*",'Accounting data'!$K$2:$K$37000,{"6591*","6592*"}))</f>
        <v>0</v>
      </c>
    </row>
    <row r="747" spans="1:5" x14ac:dyDescent="0.25">
      <c r="A747" s="113" t="s">
        <v>1060</v>
      </c>
      <c r="B747" s="113"/>
      <c r="C747" s="113"/>
      <c r="D747" s="113"/>
      <c r="E747" s="115">
        <f>E745-E746</f>
        <v>35876</v>
      </c>
    </row>
    <row r="748" spans="1:5" x14ac:dyDescent="0.25">
      <c r="A748" s="110" t="s">
        <v>990</v>
      </c>
      <c r="B748" s="112">
        <v>200</v>
      </c>
      <c r="C748" s="110">
        <v>2200</v>
      </c>
      <c r="D748" s="119" t="s">
        <v>1057</v>
      </c>
      <c r="E748" s="111" cm="1">
        <f t="array" ref="E748">SUM(SUMIFS('Accounting data'!$G$2:$G$37000,'Accounting data'!$I$2:$I$37000,"2*",'Accounting data'!$J$2:$J$37000,"22*",'Accounting data'!$K$2:$K$37000,{"61*","62*","63*","64*","65*","66*","681*","689*"}))</f>
        <v>14596</v>
      </c>
    </row>
    <row r="749" spans="1:5" x14ac:dyDescent="0.25">
      <c r="A749" s="110" t="s">
        <v>990</v>
      </c>
      <c r="B749" s="112">
        <v>200</v>
      </c>
      <c r="C749" s="110">
        <v>2200</v>
      </c>
      <c r="D749" s="119" t="s">
        <v>1058</v>
      </c>
      <c r="E749" s="111" cm="1">
        <f t="array" ref="E749">SUM(SUMIFS('Accounting data'!$G$2:$G$37000,'Accounting data'!$I$2:$I$37000,"2*",'Accounting data'!$J$2:$J$37000,"22*",'Accounting data'!$K$2:$K$37000,{"6591*","6592*"}))</f>
        <v>0</v>
      </c>
    </row>
    <row r="750" spans="1:5" x14ac:dyDescent="0.25">
      <c r="A750" s="113" t="s">
        <v>1061</v>
      </c>
      <c r="B750" s="113"/>
      <c r="C750" s="113"/>
      <c r="D750" s="113"/>
      <c r="E750" s="115">
        <f>E748-E749</f>
        <v>14596</v>
      </c>
    </row>
    <row r="938" spans="1:5" x14ac:dyDescent="0.25">
      <c r="A938" s="110" t="s">
        <v>990</v>
      </c>
      <c r="B938" s="110" t="s">
        <v>990</v>
      </c>
      <c r="C938" s="110">
        <v>1000</v>
      </c>
      <c r="D938" s="119">
        <v>6810</v>
      </c>
      <c r="E938" s="111">
        <f>SUMIFS('Accounting data'!$G$2:$G$37000,'Accounting data'!$J$2:$J$37000,"1*",'Accounting data'!$K$2:$K$37000,"681*")</f>
        <v>205</v>
      </c>
    </row>
    <row r="939" spans="1:5" x14ac:dyDescent="0.25">
      <c r="A939" s="110" t="s">
        <v>991</v>
      </c>
      <c r="B939" s="110" t="s">
        <v>990</v>
      </c>
      <c r="C939" s="110">
        <v>1000</v>
      </c>
      <c r="D939" s="119">
        <v>6810</v>
      </c>
      <c r="E939" s="111">
        <f>SUMIFS('Accounting data'!$G$2:$G$37000,'Accounting data'!$H$2:$H$37000,"9999*",'Accounting data'!$J$2:$J$37000,"1*",'Accounting data'!$K$2:$K$37000,"681*")</f>
        <v>0</v>
      </c>
    </row>
    <row r="940" spans="1:5" x14ac:dyDescent="0.25">
      <c r="A940" s="110" t="s">
        <v>990</v>
      </c>
      <c r="B940" s="110" t="s">
        <v>992</v>
      </c>
      <c r="C940" s="110">
        <v>1000</v>
      </c>
      <c r="D940" s="119">
        <v>6810</v>
      </c>
      <c r="E940" s="111">
        <f>SUMIFS('Accounting data'!$G$2:$G$37000,'Accounting data'!$I$2:$I$37000,"7*",'Accounting data'!$J$2:$J$37000,"1*",'Accounting data'!$K$2:$K$37000,"681*")+SUMIFS('Accounting data'!$G$2:$G$37000,'Accounting data'!$I$2:$I$37000,"8*",'Accounting data'!$J$2:$J$37000,"1*",'Accounting data'!$K$2:$K$37000,"681*")+SUMIFS('Accounting data'!$G$2:$G$37000,'Accounting data'!$I$2:$I$37000,"9*",'Accounting data'!$J$2:$J$37000,"1*",'Accounting data'!$K$2:$K$37000,"681*")</f>
        <v>0</v>
      </c>
    </row>
    <row r="941" spans="1:5" x14ac:dyDescent="0.25">
      <c r="A941" s="112" t="s">
        <v>991</v>
      </c>
      <c r="B941" s="110" t="s">
        <v>992</v>
      </c>
      <c r="C941" s="110">
        <v>1000</v>
      </c>
      <c r="D941" s="119">
        <v>6810</v>
      </c>
      <c r="E941" s="111">
        <f>SUMIFS('Accounting data'!$G$2:$G$37000,'Accounting data'!$H$2:$H$37000,"9999*",'Accounting data'!$I$2:$I$37000,"7*",'Accounting data'!$J$2:$J$37000,"1*",'Accounting data'!$K$2:$K$37000,"681*")+SUMIFS('Accounting data'!$G$2:$G$37000,'Accounting data'!$H$2:$H$37000,"9999*",'Accounting data'!$I$2:$I$37000,"8*",'Accounting data'!$J$2:$J$37000,"1*",'Accounting data'!$K$2:$K$37000,"681*")+SUMIFS('Accounting data'!$G$2:$G$37000,'Accounting data'!$H$2:$H$37000,"9999*",'Accounting data'!$I$2:$I$37000,"9*",'Accounting data'!$J$2:$J$37000,"1*",'Accounting data'!$K$2:$K$37000,"681*")</f>
        <v>0</v>
      </c>
    </row>
    <row r="942" spans="1:5" x14ac:dyDescent="0.25">
      <c r="A942" s="110"/>
      <c r="B942" s="110"/>
      <c r="C942" s="110"/>
      <c r="D942" s="119"/>
      <c r="E942" s="111"/>
    </row>
    <row r="943" spans="1:5" x14ac:dyDescent="0.25">
      <c r="A943" s="110"/>
      <c r="B943" s="110"/>
      <c r="C943" s="110"/>
      <c r="D943" s="119"/>
      <c r="E943" s="111"/>
    </row>
    <row r="944" spans="1:5" x14ac:dyDescent="0.25">
      <c r="A944" s="113" t="s">
        <v>1062</v>
      </c>
      <c r="B944" s="113"/>
      <c r="C944" s="113"/>
      <c r="D944" s="113"/>
      <c r="E944" s="115">
        <f>((E938-E939-E940)+(E941+E942+E943))</f>
        <v>205</v>
      </c>
    </row>
    <row r="945" spans="1:5" x14ac:dyDescent="0.25">
      <c r="A945" s="110" t="s">
        <v>990</v>
      </c>
      <c r="B945" s="110" t="s">
        <v>990</v>
      </c>
      <c r="C945" s="110">
        <v>2100</v>
      </c>
      <c r="D945" s="119">
        <v>6810</v>
      </c>
      <c r="E945" s="111">
        <f>SUMIFS('Accounting data'!$G$2:$G$37000,'Accounting data'!$J$2:$J$37000,"21*",'Accounting data'!$K$2:$K$37000,"681*")</f>
        <v>62</v>
      </c>
    </row>
    <row r="946" spans="1:5" x14ac:dyDescent="0.25">
      <c r="A946" s="110" t="s">
        <v>991</v>
      </c>
      <c r="B946" s="110" t="s">
        <v>990</v>
      </c>
      <c r="C946" s="110">
        <v>2100</v>
      </c>
      <c r="D946" s="119">
        <v>6810</v>
      </c>
      <c r="E946" s="111">
        <f>SUMIFS('Accounting data'!$G$2:$G$37000,'Accounting data'!$H$2:$H$37000,"9999*",'Accounting data'!$J$2:$J$37000,"21*",'Accounting data'!$K$2:$K$37000,"681*")</f>
        <v>0</v>
      </c>
    </row>
    <row r="947" spans="1:5" x14ac:dyDescent="0.25">
      <c r="A947" s="110" t="s">
        <v>990</v>
      </c>
      <c r="B947" s="110" t="s">
        <v>992</v>
      </c>
      <c r="C947" s="110">
        <v>2100</v>
      </c>
      <c r="D947" s="119">
        <v>6810</v>
      </c>
      <c r="E947" s="111">
        <f>SUMIFS('Accounting data'!$G$2:$G$37000,'Accounting data'!$I$2:$I$37000,"7*",'Accounting data'!$J$2:$J$37000,"21*",'Accounting data'!$K$2:$K$37000,"681*")+SUMIFS('Accounting data'!$G$2:$G$37000,'Accounting data'!$I$2:$I$37000,"8*",'Accounting data'!$J$2:$J$37000,"21*",'Accounting data'!$K$2:$K$37000,"681*")+SUMIFS('Accounting data'!$G$2:$G$37000,'Accounting data'!$I$2:$I$37000,"9*",'Accounting data'!$J$2:$J$37000,"21*",'Accounting data'!$K$2:$K$37000,"681*")</f>
        <v>0</v>
      </c>
    </row>
    <row r="948" spans="1:5" x14ac:dyDescent="0.25">
      <c r="A948" s="112" t="s">
        <v>991</v>
      </c>
      <c r="B948" s="110" t="s">
        <v>992</v>
      </c>
      <c r="C948" s="110">
        <v>2100</v>
      </c>
      <c r="D948" s="119">
        <v>6810</v>
      </c>
      <c r="E948" s="111">
        <f>SUMIFS('Accounting data'!$G$2:$G$37000,'Accounting data'!$H$2:$H$37000,"9999*",'Accounting data'!$I$2:$I$37000,"7*",'Accounting data'!$J$2:$J$37000,"21*",'Accounting data'!$K$2:$K$37000,"681*")+SUMIFS('Accounting data'!$G$2:$G$37000,'Accounting data'!$H$2:$H$37000,"9999*",'Accounting data'!$I$2:$I$37000,"8*",'Accounting data'!$J$2:$J$37000,"21*",'Accounting data'!$K$2:$K$37000,"681*")+SUMIFS('Accounting data'!$G$2:$G$37000,'Accounting data'!$H$2:$H$37000,"9999*",'Accounting data'!$I$2:$I$37000,"9*",'Accounting data'!$J$2:$J$37000,"21*",'Accounting data'!$K$2:$K$37000,"681*")</f>
        <v>0</v>
      </c>
    </row>
    <row r="949" spans="1:5" x14ac:dyDescent="0.25">
      <c r="A949" s="110"/>
      <c r="B949" s="110"/>
      <c r="C949" s="110"/>
      <c r="D949" s="119"/>
      <c r="E949" s="111"/>
    </row>
    <row r="950" spans="1:5" x14ac:dyDescent="0.25">
      <c r="A950" s="110"/>
      <c r="B950" s="110"/>
      <c r="C950" s="110"/>
      <c r="D950" s="119"/>
      <c r="E950" s="111"/>
    </row>
    <row r="951" spans="1:5" x14ac:dyDescent="0.25">
      <c r="A951" s="113" t="s">
        <v>1063</v>
      </c>
      <c r="B951" s="113"/>
      <c r="C951" s="113"/>
      <c r="D951" s="113"/>
      <c r="E951" s="115">
        <f>(E945-E946-E947)+(E948+E949+E950)</f>
        <v>62</v>
      </c>
    </row>
    <row r="952" spans="1:5" x14ac:dyDescent="0.25">
      <c r="A952" s="110" t="s">
        <v>990</v>
      </c>
      <c r="B952" s="110" t="s">
        <v>990</v>
      </c>
      <c r="C952" s="110">
        <v>2200</v>
      </c>
      <c r="D952" s="119">
        <v>6810</v>
      </c>
      <c r="E952" s="111">
        <f>SUMIFS('Accounting data'!$G$2:$G$37000,'Accounting data'!$J$2:$J$37000,"22*",'Accounting data'!$K$2:$K$37000,"681*")</f>
        <v>0</v>
      </c>
    </row>
    <row r="953" spans="1:5" x14ac:dyDescent="0.25">
      <c r="A953" s="110" t="s">
        <v>991</v>
      </c>
      <c r="B953" s="110" t="s">
        <v>990</v>
      </c>
      <c r="C953" s="110">
        <v>2200</v>
      </c>
      <c r="D953" s="119">
        <v>6810</v>
      </c>
      <c r="E953" s="111">
        <f>SUMIFS('Accounting data'!$G$2:$G$37000,'Accounting data'!$H$2:$H$37000,"9999*",'Accounting data'!$J$2:$J$37000,"22*",'Accounting data'!$K$2:$K$37000,"681*")</f>
        <v>0</v>
      </c>
    </row>
    <row r="954" spans="1:5" x14ac:dyDescent="0.25">
      <c r="A954" s="110" t="s">
        <v>990</v>
      </c>
      <c r="B954" s="110" t="s">
        <v>992</v>
      </c>
      <c r="C954" s="110">
        <v>2200</v>
      </c>
      <c r="D954" s="119">
        <v>6810</v>
      </c>
      <c r="E954" s="111">
        <f>SUMIFS('Accounting data'!$G$2:$G$37000,'Accounting data'!$I$2:$I$37000,"7*",'Accounting data'!$J$2:$J$37000,"22*",'Accounting data'!$K$2:$K$37000,"681*")+SUMIFS('Accounting data'!$G$2:$G$37000,'Accounting data'!$I$2:$I$37000,"8*",'Accounting data'!$J$2:$J$37000,"22*",'Accounting data'!$K$2:$K$37000,"681*")+SUMIFS('Accounting data'!$G$2:$G$37000,'Accounting data'!$I$2:$I$37000,"9*",'Accounting data'!$J$2:$J$37000,"22*",'Accounting data'!$K$2:$K$37000,"681*")</f>
        <v>0</v>
      </c>
    </row>
    <row r="955" spans="1:5" x14ac:dyDescent="0.25">
      <c r="A955" s="112" t="s">
        <v>991</v>
      </c>
      <c r="B955" s="110" t="s">
        <v>992</v>
      </c>
      <c r="C955" s="110">
        <v>2200</v>
      </c>
      <c r="D955" s="119">
        <v>6810</v>
      </c>
      <c r="E955" s="111">
        <f>SUMIFS('Accounting data'!$G$2:$G$37000,'Accounting data'!$H$2:$H$37000,"9999*",'Accounting data'!$I$2:$I$37000,"7*",'Accounting data'!$J$2:$J$37000,"22*",'Accounting data'!$K$2:$K$37000,"681*")+SUMIFS('Accounting data'!$G$2:$G$37000,'Accounting data'!$H$2:$H$37000,"9999*",'Accounting data'!$I$2:$I$37000,"8*",'Accounting data'!$J$2:$J$37000,"22*",'Accounting data'!$K$2:$K$37000,"681*")+SUMIFS('Accounting data'!$G$2:$G$37000,'Accounting data'!$H$2:$H$37000,"9999*",'Accounting data'!$I$2:$I$37000,"9*",'Accounting data'!$J$2:$J$37000,"22*",'Accounting data'!$K$2:$K$37000,"681*")</f>
        <v>0</v>
      </c>
    </row>
    <row r="956" spans="1:5" x14ac:dyDescent="0.25">
      <c r="A956" s="110"/>
      <c r="B956" s="110"/>
      <c r="C956" s="110"/>
      <c r="D956" s="119"/>
      <c r="E956" s="111"/>
    </row>
    <row r="957" spans="1:5" x14ac:dyDescent="0.25">
      <c r="A957" s="110"/>
      <c r="B957" s="110"/>
      <c r="C957" s="110"/>
      <c r="D957" s="119"/>
      <c r="E957" s="111"/>
    </row>
    <row r="958" spans="1:5" x14ac:dyDescent="0.25">
      <c r="A958" s="113" t="s">
        <v>1064</v>
      </c>
      <c r="B958" s="113"/>
      <c r="C958" s="113"/>
      <c r="D958" s="113"/>
      <c r="E958" s="115">
        <f>(E952-E953-E954)+(E955+E956+E957)</f>
        <v>0</v>
      </c>
    </row>
    <row r="959" spans="1:5" x14ac:dyDescent="0.25">
      <c r="A959" s="110" t="s">
        <v>990</v>
      </c>
      <c r="B959" s="110" t="s">
        <v>990</v>
      </c>
      <c r="C959" s="110">
        <v>2300</v>
      </c>
      <c r="D959" s="119">
        <v>6810</v>
      </c>
      <c r="E959" s="111">
        <f>SUMIFS('Accounting data'!$G$2:$G$37000,'Accounting data'!$J$2:$J$37000,"23*",'Accounting data'!$K$2:$K$37000,"681*")</f>
        <v>1640</v>
      </c>
    </row>
    <row r="960" spans="1:5" x14ac:dyDescent="0.25">
      <c r="A960" s="110" t="s">
        <v>991</v>
      </c>
      <c r="B960" s="110" t="s">
        <v>990</v>
      </c>
      <c r="C960" s="110">
        <v>2300</v>
      </c>
      <c r="D960" s="119">
        <v>6810</v>
      </c>
      <c r="E960" s="111">
        <f>SUMIFS('Accounting data'!$G$2:$G$37000,'Accounting data'!$H$2:$H$37000,"9999*",'Accounting data'!$J$2:$J$37000,"23*",'Accounting data'!$K$2:$K$37000,"681*")</f>
        <v>0</v>
      </c>
    </row>
    <row r="961" spans="1:5" x14ac:dyDescent="0.25">
      <c r="A961" s="110" t="s">
        <v>990</v>
      </c>
      <c r="B961" s="110" t="s">
        <v>992</v>
      </c>
      <c r="C961" s="110">
        <v>2300</v>
      </c>
      <c r="D961" s="119">
        <v>6810</v>
      </c>
      <c r="E961" s="111">
        <f>SUMIFS('Accounting data'!$G$2:$G$37000,'Accounting data'!$I$2:$I$37000,"7*",'Accounting data'!$J$2:$J$37000,"23*",'Accounting data'!$K$2:$K$37000,"681*")+SUMIFS('Accounting data'!$G$2:$G$37000,'Accounting data'!$I$2:$I$37000,"8*",'Accounting data'!$J$2:$J$37000,"23*",'Accounting data'!$K$2:$K$37000,"681*")+SUMIFS('Accounting data'!$G$2:$G$37000,'Accounting data'!$I$2:$I$37000,"9*",'Accounting data'!$J$2:$J$37000,"23*",'Accounting data'!$K$2:$K$37000,"681*")</f>
        <v>0</v>
      </c>
    </row>
    <row r="962" spans="1:5" x14ac:dyDescent="0.25">
      <c r="A962" s="112" t="s">
        <v>991</v>
      </c>
      <c r="B962" s="110" t="s">
        <v>992</v>
      </c>
      <c r="C962" s="110">
        <v>2300</v>
      </c>
      <c r="D962" s="119">
        <v>6810</v>
      </c>
      <c r="E962" s="111">
        <f>SUMIFS('Accounting data'!$G$2:$G$37000,'Accounting data'!$H$2:$H$37000,"9999*",'Accounting data'!$I$2:$I$37000,"7*",'Accounting data'!$J$2:$J$37000,"23*",'Accounting data'!$K$2:$K$37000,"681*")+SUMIFS('Accounting data'!$G$2:$G$37000,'Accounting data'!$H$2:$H$37000,"9999*",'Accounting data'!$I$2:$I$37000,"8*",'Accounting data'!$J$2:$J$37000,"23*",'Accounting data'!$K$2:$K$37000,"681*")+SUMIFS('Accounting data'!$G$2:$G$37000,'Accounting data'!$H$2:$H$37000,"9999*",'Accounting data'!$I$2:$I$37000,"9*",'Accounting data'!$J$2:$J$37000,"23*",'Accounting data'!$K$2:$K$37000,"681*")</f>
        <v>0</v>
      </c>
    </row>
    <row r="963" spans="1:5" x14ac:dyDescent="0.25">
      <c r="A963" s="110"/>
      <c r="B963" s="110"/>
      <c r="C963" s="110"/>
      <c r="D963" s="119"/>
      <c r="E963" s="111"/>
    </row>
    <row r="964" spans="1:5" x14ac:dyDescent="0.25">
      <c r="A964" s="110"/>
      <c r="B964" s="110"/>
      <c r="C964" s="110"/>
      <c r="D964" s="119"/>
      <c r="E964" s="111"/>
    </row>
    <row r="965" spans="1:5" x14ac:dyDescent="0.25">
      <c r="A965" s="113" t="s">
        <v>1065</v>
      </c>
      <c r="B965" s="113"/>
      <c r="C965" s="113"/>
      <c r="D965" s="113"/>
      <c r="E965" s="115">
        <f>(E959-E960-E961)+(E962+E963+E964)</f>
        <v>1640</v>
      </c>
    </row>
    <row r="966" spans="1:5" x14ac:dyDescent="0.25">
      <c r="A966" s="110" t="s">
        <v>990</v>
      </c>
      <c r="B966" s="110" t="s">
        <v>990</v>
      </c>
      <c r="C966" s="110">
        <v>2400</v>
      </c>
      <c r="D966" s="119">
        <v>6810</v>
      </c>
      <c r="E966" s="111">
        <f>SUMIFS('Accounting data'!$G$2:$G$37000,'Accounting data'!$J$2:$J$37000,"24*",'Accounting data'!$K$2:$K$37000,"681*")</f>
        <v>11182</v>
      </c>
    </row>
    <row r="967" spans="1:5" x14ac:dyDescent="0.25">
      <c r="A967" s="110" t="s">
        <v>991</v>
      </c>
      <c r="B967" s="110" t="s">
        <v>990</v>
      </c>
      <c r="C967" s="110">
        <v>2400</v>
      </c>
      <c r="D967" s="119">
        <v>6810</v>
      </c>
      <c r="E967" s="111">
        <f>SUMIFS('Accounting data'!$G$2:$G$37000,'Accounting data'!$H$2:$H$37000,"9999*",'Accounting data'!$J$2:$J$37000,"24*",'Accounting data'!$K$2:$K$37000,"681*")</f>
        <v>0</v>
      </c>
    </row>
    <row r="968" spans="1:5" x14ac:dyDescent="0.25">
      <c r="A968" s="110" t="s">
        <v>990</v>
      </c>
      <c r="B968" s="110" t="s">
        <v>992</v>
      </c>
      <c r="C968" s="110">
        <v>2400</v>
      </c>
      <c r="D968" s="119">
        <v>6810</v>
      </c>
      <c r="E968" s="111">
        <f>SUMIFS('Accounting data'!$G$2:$G$37000,'Accounting data'!$I$2:$I$37000,"7*",'Accounting data'!$J$2:$J$37000,"24*",'Accounting data'!$K$2:$K$37000,"681*")+SUMIFS('Accounting data'!$G$2:$G$37000,'Accounting data'!$I$2:$I$37000,"8*",'Accounting data'!$J$2:$J$37000,"24*",'Accounting data'!$K$2:$K$37000,"681*")+SUMIFS('Accounting data'!$G$2:$G$37000,'Accounting data'!$I$2:$I$37000,"9*",'Accounting data'!$J$2:$J$37000,"24*",'Accounting data'!$K$2:$K$37000,"681*")</f>
        <v>0</v>
      </c>
    </row>
    <row r="969" spans="1:5" x14ac:dyDescent="0.25">
      <c r="A969" s="112" t="s">
        <v>991</v>
      </c>
      <c r="B969" s="110" t="s">
        <v>992</v>
      </c>
      <c r="C969" s="110">
        <v>2400</v>
      </c>
      <c r="D969" s="119">
        <v>6810</v>
      </c>
      <c r="E969" s="111">
        <f>SUMIFS('Accounting data'!$G$2:$G$37000,'Accounting data'!$H$2:$H$37000,"9999*",'Accounting data'!$I$2:$I$37000,"7*",'Accounting data'!$J$2:$J$37000,"24*",'Accounting data'!$K$2:$K$37000,"681*")+SUMIFS('Accounting data'!$G$2:$G$37000,'Accounting data'!$H$2:$H$37000,"9999*",'Accounting data'!$I$2:$I$37000,"8*",'Accounting data'!$J$2:$J$37000,"24*",'Accounting data'!$K$2:$K$37000,"681*")+SUMIFS('Accounting data'!$G$2:$G$37000,'Accounting data'!$H$2:$H$37000,"9999*",'Accounting data'!$I$2:$I$37000,"9*",'Accounting data'!$J$2:$J$37000,"24*",'Accounting data'!$K$2:$K$37000,"681*")</f>
        <v>0</v>
      </c>
    </row>
    <row r="972" spans="1:5" x14ac:dyDescent="0.25">
      <c r="A972" s="113" t="s">
        <v>1066</v>
      </c>
      <c r="B972" s="113"/>
      <c r="C972" s="113"/>
      <c r="D972" s="113"/>
      <c r="E972" s="115">
        <f>(E966-E967-E968)+(E969+E970+E971)</f>
        <v>11182</v>
      </c>
    </row>
    <row r="973" spans="1:5" x14ac:dyDescent="0.25">
      <c r="A973" s="110" t="s">
        <v>990</v>
      </c>
      <c r="B973" s="110" t="s">
        <v>990</v>
      </c>
      <c r="C973" s="110">
        <v>2500</v>
      </c>
      <c r="D973" s="119">
        <v>6810</v>
      </c>
      <c r="E973" s="111">
        <f>SUMIFS('Accounting data'!$G$2:$G$37000,'Accounting data'!$J$2:$J$37000,"25*",'Accounting data'!$K$2:$K$37000,"681*")</f>
        <v>20396</v>
      </c>
    </row>
    <row r="974" spans="1:5" x14ac:dyDescent="0.25">
      <c r="A974" s="110" t="s">
        <v>991</v>
      </c>
      <c r="B974" s="110" t="s">
        <v>990</v>
      </c>
      <c r="C974" s="110">
        <v>2500</v>
      </c>
      <c r="D974" s="119">
        <v>6810</v>
      </c>
      <c r="E974" s="111">
        <f>SUMIFS('Accounting data'!$G$2:$G$37000,'Accounting data'!$H$2:$H$37000,"9999*",'Accounting data'!$J$2:$J$37000,"25*",'Accounting data'!$K$2:$K$37000,"681*")</f>
        <v>0</v>
      </c>
    </row>
    <row r="975" spans="1:5" x14ac:dyDescent="0.25">
      <c r="A975" s="110" t="s">
        <v>990</v>
      </c>
      <c r="B975" s="110" t="s">
        <v>992</v>
      </c>
      <c r="C975" s="110">
        <v>2500</v>
      </c>
      <c r="D975" s="119">
        <v>6810</v>
      </c>
      <c r="E975" s="111">
        <f>SUMIFS('Accounting data'!$G$2:$G$37000,'Accounting data'!$I$2:$I$37000,"7*",'Accounting data'!$J$2:$J$37000,"25*",'Accounting data'!$K$2:$K$37000,"681*")+SUMIFS('Accounting data'!$G$2:$G$37000,'Accounting data'!$I$2:$I$37000,"8*",'Accounting data'!$J$2:$J$37000,"25*",'Accounting data'!$K$2:$K$37000,"681*")+SUMIFS('Accounting data'!$G$2:$G$37000,'Accounting data'!$I$2:$I$37000,"9*",'Accounting data'!$J$2:$J$37000,"25*",'Accounting data'!$K$2:$K$37000,"681*")</f>
        <v>0</v>
      </c>
    </row>
    <row r="976" spans="1:5" x14ac:dyDescent="0.25">
      <c r="A976" s="112" t="s">
        <v>991</v>
      </c>
      <c r="B976" s="110" t="s">
        <v>992</v>
      </c>
      <c r="C976" s="110">
        <v>2500</v>
      </c>
      <c r="D976" s="119">
        <v>6810</v>
      </c>
      <c r="E976" s="111">
        <f>SUMIFS('Accounting data'!$G$2:$G$37000,'Accounting data'!$H$2:$H$37000,"9999*",'Accounting data'!$I$2:$I$37000,"7*",'Accounting data'!$J$2:$J$37000,"25*",'Accounting data'!$K$2:$K$37000,"681*")+SUMIFS('Accounting data'!$G$2:$G$37000,'Accounting data'!$H$2:$H$37000,"9999*",'Accounting data'!$I$2:$I$37000,"8*",'Accounting data'!$J$2:$J$37000,"25*",'Accounting data'!$K$2:$K$37000,"681*")+SUMIFS('Accounting data'!$G$2:$G$37000,'Accounting data'!$H$2:$H$37000,"9999*",'Accounting data'!$I$2:$I$37000,"9*",'Accounting data'!$J$2:$J$37000,"25*",'Accounting data'!$K$2:$K$37000,"681*")</f>
        <v>0</v>
      </c>
    </row>
    <row r="977" spans="1:5" x14ac:dyDescent="0.25">
      <c r="A977" s="110"/>
      <c r="B977" s="110"/>
      <c r="C977" s="110"/>
      <c r="D977" s="119"/>
      <c r="E977" s="111"/>
    </row>
    <row r="978" spans="1:5" x14ac:dyDescent="0.25">
      <c r="A978" s="110"/>
      <c r="B978" s="110"/>
      <c r="C978" s="110"/>
      <c r="D978" s="119"/>
      <c r="E978" s="111"/>
    </row>
    <row r="979" spans="1:5" x14ac:dyDescent="0.25">
      <c r="A979" s="113" t="s">
        <v>1067</v>
      </c>
      <c r="B979" s="113"/>
      <c r="C979" s="113"/>
      <c r="D979" s="113"/>
      <c r="E979" s="115">
        <f>(E973-E974-E975)+(E976+E977+E978)</f>
        <v>20396</v>
      </c>
    </row>
    <row r="980" spans="1:5" x14ac:dyDescent="0.25">
      <c r="A980" s="110" t="s">
        <v>990</v>
      </c>
      <c r="B980" s="110" t="s">
        <v>990</v>
      </c>
      <c r="C980" s="110">
        <v>2900</v>
      </c>
      <c r="D980" s="119">
        <v>6810</v>
      </c>
      <c r="E980" s="111">
        <f>SUMIFS('Accounting data'!$G$2:$G$37000,'Accounting data'!$J$2:$J$37000,"29*",'Accounting data'!$K$2:$K$37000,"681*")</f>
        <v>0</v>
      </c>
    </row>
    <row r="981" spans="1:5" x14ac:dyDescent="0.25">
      <c r="A981" s="110" t="s">
        <v>991</v>
      </c>
      <c r="B981" s="110" t="s">
        <v>990</v>
      </c>
      <c r="C981" s="110">
        <v>2900</v>
      </c>
      <c r="D981" s="119">
        <v>6810</v>
      </c>
      <c r="E981" s="111">
        <f>SUMIFS('Accounting data'!$G$2:$G$37000,'Accounting data'!$H$2:$H$37000,"9999*",'Accounting data'!$J$2:$J$37000,"29*",'Accounting data'!$K$2:$K$37000,"681*")</f>
        <v>0</v>
      </c>
    </row>
    <row r="982" spans="1:5" x14ac:dyDescent="0.25">
      <c r="A982" s="110" t="s">
        <v>990</v>
      </c>
      <c r="B982" s="110" t="s">
        <v>992</v>
      </c>
      <c r="C982" s="110">
        <v>2900</v>
      </c>
      <c r="D982" s="119">
        <v>6810</v>
      </c>
      <c r="E982" s="111">
        <f>SUMIFS('Accounting data'!$G$2:$G$37000,'Accounting data'!$I$2:$I$37000,"7*",'Accounting data'!$J$2:$J$37000,"29*",'Accounting data'!$K$2:$K$37000,"681*")+SUMIFS('Accounting data'!$G$2:$G$37000,'Accounting data'!$I$2:$I$37000,"8*",'Accounting data'!$J$2:$J$37000,"29*",'Accounting data'!$K$2:$K$37000,"681*")+SUMIFS('Accounting data'!$G$2:$G$37000,'Accounting data'!$I$2:$I$37000,"9*",'Accounting data'!$J$2:$J$37000,"29*",'Accounting data'!$K$2:$K$37000,"681*")</f>
        <v>0</v>
      </c>
    </row>
    <row r="983" spans="1:5" x14ac:dyDescent="0.25">
      <c r="A983" s="112" t="s">
        <v>991</v>
      </c>
      <c r="B983" s="110" t="s">
        <v>992</v>
      </c>
      <c r="C983" s="110">
        <v>2900</v>
      </c>
      <c r="D983" s="119">
        <v>6810</v>
      </c>
      <c r="E983" s="111">
        <f>SUMIFS('Accounting data'!$G$2:$G$37000,'Accounting data'!$H$2:$H$37000,"9999*",'Accounting data'!$I$2:$I$37000,"7*",'Accounting data'!$J$2:$J$37000,"29*",'Accounting data'!$K$2:$K$37000,"681*")+SUMIFS('Accounting data'!$G$2:$G$37000,'Accounting data'!$H$2:$H$37000,"9999*",'Accounting data'!$I$2:$I$37000,"8*",'Accounting data'!$J$2:$J$37000,"29*",'Accounting data'!$K$2:$K$37000,"681*")+SUMIFS('Accounting data'!$G$2:$G$37000,'Accounting data'!$H$2:$H$37000,"9999*",'Accounting data'!$I$2:$I$37000,"9*",'Accounting data'!$J$2:$J$37000,"29*",'Accounting data'!$K$2:$K$37000,"681*")</f>
        <v>0</v>
      </c>
    </row>
    <row r="986" spans="1:5" x14ac:dyDescent="0.25">
      <c r="A986" s="113" t="s">
        <v>1068</v>
      </c>
      <c r="B986" s="113"/>
      <c r="C986" s="113"/>
      <c r="D986" s="113"/>
      <c r="E986" s="115">
        <f>(E980-E981-E982)+(E983+E984+E985)</f>
        <v>0</v>
      </c>
    </row>
    <row r="987" spans="1:5" x14ac:dyDescent="0.25">
      <c r="A987" s="110" t="s">
        <v>990</v>
      </c>
      <c r="B987" s="110" t="s">
        <v>990</v>
      </c>
      <c r="C987" s="110">
        <v>2600</v>
      </c>
      <c r="D987" s="119">
        <v>6810</v>
      </c>
      <c r="E987" s="111">
        <f>SUMIFS('Accounting data'!$G$2:$G$37000,'Accounting data'!$J$2:$J$37000,"26*",'Accounting data'!$K$2:$K$37000,"681*")</f>
        <v>620</v>
      </c>
    </row>
    <row r="988" spans="1:5" x14ac:dyDescent="0.25">
      <c r="A988" s="110" t="s">
        <v>991</v>
      </c>
      <c r="B988" s="110" t="s">
        <v>990</v>
      </c>
      <c r="C988" s="110">
        <v>2600</v>
      </c>
      <c r="D988" s="119">
        <v>6810</v>
      </c>
      <c r="E988" s="111">
        <f>SUMIFS('Accounting data'!$G$2:$G$37000,'Accounting data'!$H$2:$H$37000,"9999*",'Accounting data'!$J$2:$J$37000,"26*",'Accounting data'!$K$2:$K$37000,"681*")</f>
        <v>0</v>
      </c>
    </row>
    <row r="989" spans="1:5" x14ac:dyDescent="0.25">
      <c r="A989" s="110" t="s">
        <v>990</v>
      </c>
      <c r="B989" s="110" t="s">
        <v>992</v>
      </c>
      <c r="C989" s="110">
        <v>2600</v>
      </c>
      <c r="D989" s="119">
        <v>6810</v>
      </c>
      <c r="E989" s="111">
        <f>SUMIFS('Accounting data'!$G$2:$G$37000,'Accounting data'!$I$2:$I$37000,"7*",'Accounting data'!$J$2:$J$37000,"26*",'Accounting data'!$K$2:$K$37000,"681*")+SUMIFS('Accounting data'!$G$2:$G$37000,'Accounting data'!$I$2:$I$37000,"8*",'Accounting data'!$J$2:$J$37000,"26*",'Accounting data'!$K$2:$K$37000,"681*")+SUMIFS('Accounting data'!$G$2:$G$37000,'Accounting data'!$I$2:$I$37000,"9*",'Accounting data'!$J$2:$J$37000,"26*",'Accounting data'!$K$2:$K$37000,"681*")</f>
        <v>0</v>
      </c>
    </row>
    <row r="990" spans="1:5" x14ac:dyDescent="0.25">
      <c r="A990" s="112" t="s">
        <v>991</v>
      </c>
      <c r="B990" s="110" t="s">
        <v>992</v>
      </c>
      <c r="C990" s="110">
        <v>2600</v>
      </c>
      <c r="D990" s="119">
        <v>6810</v>
      </c>
      <c r="E990" s="111">
        <f>SUMIFS('Accounting data'!$G$2:$G$37000,'Accounting data'!$H$2:$H$37000,"9999*",'Accounting data'!$I$2:$I$37000,"7*",'Accounting data'!$J$2:$J$37000,"26*",'Accounting data'!$K$2:$K$37000,"681*")+SUMIFS('Accounting data'!$G$2:$G$37000,'Accounting data'!$H$2:$H$37000,"9999*",'Accounting data'!$I$2:$I$37000,"8*",'Accounting data'!$J$2:$J$37000,"26*",'Accounting data'!$K$2:$K$37000,"681*")+SUMIFS('Accounting data'!$G$2:$G$37000,'Accounting data'!$H$2:$H$37000,"9999*",'Accounting data'!$I$2:$I$37000,"9*",'Accounting data'!$J$2:$J$37000,"26*",'Accounting data'!$K$2:$K$37000,"681*")</f>
        <v>0</v>
      </c>
    </row>
    <row r="991" spans="1:5" x14ac:dyDescent="0.25">
      <c r="A991" s="110"/>
      <c r="B991" s="110"/>
      <c r="C991" s="110"/>
      <c r="D991" s="119"/>
      <c r="E991" s="111"/>
    </row>
    <row r="992" spans="1:5" x14ac:dyDescent="0.25">
      <c r="A992" s="110"/>
      <c r="B992" s="110"/>
      <c r="C992" s="110"/>
      <c r="D992" s="119"/>
      <c r="E992" s="111"/>
    </row>
    <row r="993" spans="1:5" x14ac:dyDescent="0.25">
      <c r="A993" s="113" t="s">
        <v>1069</v>
      </c>
      <c r="B993" s="113"/>
      <c r="C993" s="113"/>
      <c r="D993" s="113"/>
      <c r="E993" s="115">
        <f>(E987-E988-E989)+(E990+E991+E992)</f>
        <v>620</v>
      </c>
    </row>
    <row r="994" spans="1:5" x14ac:dyDescent="0.25">
      <c r="A994" s="110" t="s">
        <v>990</v>
      </c>
      <c r="B994" s="110" t="s">
        <v>990</v>
      </c>
      <c r="C994" s="110">
        <v>2700</v>
      </c>
      <c r="D994" s="119">
        <v>6810</v>
      </c>
      <c r="E994" s="111">
        <f>SUMIFS('Accounting data'!$G$2:$G$37000,'Accounting data'!$J$2:$J$37000,"27*",'Accounting data'!$K$2:$K$37000,"681*")</f>
        <v>0</v>
      </c>
    </row>
    <row r="995" spans="1:5" x14ac:dyDescent="0.25">
      <c r="A995" s="110" t="s">
        <v>991</v>
      </c>
      <c r="B995" s="110" t="s">
        <v>990</v>
      </c>
      <c r="C995" s="110">
        <v>2700</v>
      </c>
      <c r="D995" s="119">
        <v>6810</v>
      </c>
      <c r="E995" s="111">
        <f>SUMIFS('Accounting data'!$G$2:$G$37000,'Accounting data'!$H$2:$H$37000,"9999*",'Accounting data'!$J$2:$J$37000,"27*",'Accounting data'!$K$2:$K$37000,"681*")</f>
        <v>0</v>
      </c>
    </row>
    <row r="996" spans="1:5" x14ac:dyDescent="0.25">
      <c r="A996" s="110" t="s">
        <v>990</v>
      </c>
      <c r="B996" s="110" t="s">
        <v>992</v>
      </c>
      <c r="C996" s="110">
        <v>2700</v>
      </c>
      <c r="D996" s="119">
        <v>6810</v>
      </c>
      <c r="E996" s="111">
        <f>SUMIFS('Accounting data'!$G$2:$G$37000,'Accounting data'!$I$2:$I$37000,"7*",'Accounting data'!$J$2:$J$37000,"27*",'Accounting data'!$K$2:$K$37000,"681*")+SUMIFS('Accounting data'!$G$2:$G$37000,'Accounting data'!$I$2:$I$37000,"8*",'Accounting data'!$J$2:$J$37000,"27*",'Accounting data'!$K$2:$K$37000,"681*")+SUMIFS('Accounting data'!$G$2:$G$37000,'Accounting data'!$I$2:$I$37000,"9*",'Accounting data'!$J$2:$J$37000,"27*",'Accounting data'!$K$2:$K$37000,"681*")</f>
        <v>0</v>
      </c>
    </row>
    <row r="997" spans="1:5" x14ac:dyDescent="0.25">
      <c r="A997" s="112" t="s">
        <v>991</v>
      </c>
      <c r="B997" s="110" t="s">
        <v>992</v>
      </c>
      <c r="C997" s="110">
        <v>2700</v>
      </c>
      <c r="D997" s="119">
        <v>6810</v>
      </c>
      <c r="E997" s="111">
        <f>SUMIFS('Accounting data'!$G$2:$G$37000,'Accounting data'!$H$2:$H$37000,"9999*",'Accounting data'!$I$2:$I$37000,"7*",'Accounting data'!$J$2:$J$37000,"27*",'Accounting data'!$K$2:$K$37000,"681*")+SUMIFS('Accounting data'!$G$2:$G$37000,'Accounting data'!$H$2:$H$37000,"9999*",'Accounting data'!$I$2:$I$37000,"8*",'Accounting data'!$J$2:$J$37000,"27*",'Accounting data'!$K$2:$K$37000,"681*")+SUMIFS('Accounting data'!$G$2:$G$37000,'Accounting data'!$H$2:$H$37000,"9999*",'Accounting data'!$I$2:$I$37000,"9*",'Accounting data'!$J$2:$J$37000,"27*",'Accounting data'!$K$2:$K$37000,"681*")</f>
        <v>0</v>
      </c>
    </row>
    <row r="998" spans="1:5" x14ac:dyDescent="0.25">
      <c r="A998" s="110"/>
      <c r="B998" s="110"/>
      <c r="C998" s="110"/>
      <c r="D998" s="119"/>
      <c r="E998" s="111"/>
    </row>
    <row r="999" spans="1:5" x14ac:dyDescent="0.25">
      <c r="A999" s="110"/>
      <c r="B999" s="110"/>
      <c r="C999" s="110"/>
      <c r="D999" s="119"/>
      <c r="E999" s="111"/>
    </row>
    <row r="1000" spans="1:5" x14ac:dyDescent="0.25">
      <c r="A1000" s="113" t="s">
        <v>1070</v>
      </c>
      <c r="B1000" s="113"/>
      <c r="C1000" s="113"/>
      <c r="D1000" s="113"/>
      <c r="E1000" s="115">
        <f>(E994-E995-E996)+(E997+E998+E999)</f>
        <v>0</v>
      </c>
    </row>
    <row r="1001" spans="1:5" x14ac:dyDescent="0.25">
      <c r="A1001" s="110" t="s">
        <v>990</v>
      </c>
      <c r="B1001" s="110" t="s">
        <v>990</v>
      </c>
      <c r="C1001" s="110">
        <v>3100</v>
      </c>
      <c r="D1001" s="119">
        <v>6810</v>
      </c>
      <c r="E1001" s="111">
        <f>SUMIFS('Accounting data'!$G$2:$G$37000,'Accounting data'!$J$2:$J$37000,"31*",'Accounting data'!$K$2:$K$37000,"681*")</f>
        <v>0</v>
      </c>
    </row>
    <row r="1002" spans="1:5" x14ac:dyDescent="0.25">
      <c r="A1002" s="110" t="s">
        <v>991</v>
      </c>
      <c r="B1002" s="110" t="s">
        <v>990</v>
      </c>
      <c r="C1002" s="110">
        <v>3100</v>
      </c>
      <c r="D1002" s="119">
        <v>6810</v>
      </c>
      <c r="E1002" s="111">
        <f>SUMIFS('Accounting data'!$G$2:$G$37000,'Accounting data'!$H$2:$H$37000,"9999*",'Accounting data'!$J$2:$J$37000,"31*",'Accounting data'!$K$2:$K$37000,"681*")</f>
        <v>0</v>
      </c>
    </row>
    <row r="1003" spans="1:5" x14ac:dyDescent="0.25">
      <c r="A1003" s="110" t="s">
        <v>990</v>
      </c>
      <c r="B1003" s="110" t="s">
        <v>992</v>
      </c>
      <c r="C1003" s="110">
        <v>3100</v>
      </c>
      <c r="D1003" s="119">
        <v>6810</v>
      </c>
      <c r="E1003" s="111">
        <f>SUMIFS('Accounting data'!$G$2:$G$37000,'Accounting data'!$I$2:$I$37000,"7*",'Accounting data'!$J$2:$J$37000,"31*",'Accounting data'!$K$2:$K$37000,"681*")+SUMIFS('Accounting data'!$G$2:$G$37000,'Accounting data'!$I$2:$I$37000,"8*",'Accounting data'!$J$2:$J$37000,"31*",'Accounting data'!$K$2:$K$37000,"681*")+SUMIFS('Accounting data'!$G$2:$G$37000,'Accounting data'!$I$2:$I$37000,"9*",'Accounting data'!$J$2:$J$37000,"31*",'Accounting data'!$K$2:$K$37000,"681*")</f>
        <v>0</v>
      </c>
    </row>
    <row r="1004" spans="1:5" x14ac:dyDescent="0.25">
      <c r="A1004" s="112" t="s">
        <v>991</v>
      </c>
      <c r="B1004" s="110" t="s">
        <v>992</v>
      </c>
      <c r="C1004" s="110">
        <v>3100</v>
      </c>
      <c r="D1004" s="119">
        <v>6810</v>
      </c>
      <c r="E1004" s="111">
        <f>SUMIFS('Accounting data'!$G$2:$G$37000,'Accounting data'!$H$2:$H$37000,"9999*",'Accounting data'!$I$2:$I$37000,"7*",'Accounting data'!$J$2:$J$37000,"31*",'Accounting data'!$K$2:$K$37000,"681*")+SUMIFS('Accounting data'!$G$2:$G$37000,'Accounting data'!$H$2:$H$37000,"9999*",'Accounting data'!$I$2:$I$37000,"8*",'Accounting data'!$J$2:$J$37000,"31*",'Accounting data'!$K$2:$K$37000,"681*")+SUMIFS('Accounting data'!$G$2:$G$37000,'Accounting data'!$H$2:$H$37000,"9999*",'Accounting data'!$I$2:$I$37000,"9*",'Accounting data'!$J$2:$J$37000,"31*",'Accounting data'!$K$2:$K$37000,"681*")</f>
        <v>0</v>
      </c>
    </row>
    <row r="1005" spans="1:5" x14ac:dyDescent="0.25">
      <c r="A1005" s="110"/>
      <c r="B1005" s="110"/>
      <c r="C1005" s="110"/>
      <c r="D1005" s="119"/>
      <c r="E1005" s="111"/>
    </row>
    <row r="1006" spans="1:5" x14ac:dyDescent="0.25">
      <c r="A1006" s="110"/>
      <c r="B1006" s="110"/>
      <c r="C1006" s="110"/>
      <c r="D1006" s="119"/>
      <c r="E1006" s="111"/>
    </row>
    <row r="1007" spans="1:5" x14ac:dyDescent="0.25">
      <c r="A1007" s="113" t="s">
        <v>1071</v>
      </c>
      <c r="B1007" s="113"/>
      <c r="C1007" s="113"/>
      <c r="D1007" s="113"/>
      <c r="E1007" s="115">
        <f>(E1001-E1002-E1003)+(E1004+E1005+E1006)</f>
        <v>0</v>
      </c>
    </row>
    <row r="1008" spans="1:5" x14ac:dyDescent="0.25">
      <c r="A1008" s="110"/>
      <c r="B1008" s="110"/>
      <c r="C1008" s="110"/>
      <c r="D1008" s="119"/>
      <c r="E1008" s="111"/>
    </row>
    <row r="1009" spans="1:5" x14ac:dyDescent="0.25">
      <c r="A1009" s="110"/>
      <c r="B1009" s="110"/>
      <c r="C1009" s="110"/>
      <c r="D1009" s="119"/>
      <c r="E1009" s="111"/>
    </row>
    <row r="1010" spans="1:5" x14ac:dyDescent="0.25">
      <c r="A1010" s="110"/>
      <c r="B1010" s="110"/>
      <c r="C1010" s="110"/>
      <c r="D1010" s="119"/>
      <c r="E1010" s="111"/>
    </row>
    <row r="1011" spans="1:5" x14ac:dyDescent="0.25">
      <c r="A1011" s="112"/>
      <c r="B1011" s="110"/>
      <c r="C1011" s="110"/>
      <c r="D1011" s="119"/>
      <c r="E1011" s="111"/>
    </row>
    <row r="1012" spans="1:5" x14ac:dyDescent="0.25">
      <c r="A1012" s="110"/>
      <c r="B1012" s="110"/>
      <c r="C1012" s="110"/>
      <c r="D1012" s="119"/>
      <c r="E1012" s="111"/>
    </row>
    <row r="1013" spans="1:5" x14ac:dyDescent="0.25">
      <c r="A1013" s="110"/>
      <c r="B1013" s="110"/>
      <c r="C1013" s="110"/>
      <c r="D1013" s="119"/>
      <c r="E1013" s="111"/>
    </row>
    <row r="1014" spans="1:5" x14ac:dyDescent="0.25">
      <c r="A1014" s="113"/>
      <c r="B1014" s="113"/>
      <c r="C1014" s="113"/>
      <c r="D1014" s="113"/>
      <c r="E1014" s="115"/>
    </row>
    <row r="1015" spans="1:5" x14ac:dyDescent="0.25">
      <c r="A1015" s="110" t="s">
        <v>990</v>
      </c>
      <c r="B1015" s="110" t="s">
        <v>990</v>
      </c>
      <c r="C1015" s="110">
        <v>3400</v>
      </c>
      <c r="D1015" s="119">
        <v>6810</v>
      </c>
      <c r="E1015" s="111">
        <f>SUMIFS('Accounting data'!$G$2:$G$37000,'Accounting data'!$J$2:$J$37000,"34*",'Accounting data'!$K$2:$K$37000,"681*")</f>
        <v>0</v>
      </c>
    </row>
    <row r="1016" spans="1:5" x14ac:dyDescent="0.25">
      <c r="A1016" s="110" t="s">
        <v>991</v>
      </c>
      <c r="B1016" s="110" t="s">
        <v>990</v>
      </c>
      <c r="C1016" s="110">
        <v>3400</v>
      </c>
      <c r="D1016" s="119">
        <v>6810</v>
      </c>
      <c r="E1016" s="111">
        <f>SUMIFS('Accounting data'!$G$2:$G$37000,'Accounting data'!$H$2:$H$37000,"9999*",'Accounting data'!$J$2:$J$37000,"34*",'Accounting data'!$K$2:$K$37000,"681*")</f>
        <v>0</v>
      </c>
    </row>
    <row r="1017" spans="1:5" x14ac:dyDescent="0.25">
      <c r="A1017" s="110" t="s">
        <v>990</v>
      </c>
      <c r="B1017" s="110" t="s">
        <v>992</v>
      </c>
      <c r="C1017" s="110">
        <v>3400</v>
      </c>
      <c r="D1017" s="119">
        <v>6810</v>
      </c>
      <c r="E1017" s="111">
        <f>SUMIFS('Accounting data'!$G$2:$G$37000,'Accounting data'!$I$2:$I$37000,"7*",'Accounting data'!$J$2:$J$37000,"34*",'Accounting data'!$K$2:$K$37000,"681*")+SUMIFS('Accounting data'!$G$2:$G$37000,'Accounting data'!$I$2:$I$37000,"8*",'Accounting data'!$J$2:$J$37000,"34*",'Accounting data'!$K$2:$K$37000,"681*")+SUMIFS('Accounting data'!$G$2:$G$37000,'Accounting data'!$I$2:$I$37000,"9*",'Accounting data'!$J$2:$J$37000,"34*",'Accounting data'!$K$2:$K$37000,"681*")</f>
        <v>0</v>
      </c>
    </row>
    <row r="1018" spans="1:5" x14ac:dyDescent="0.25">
      <c r="A1018" s="112" t="s">
        <v>991</v>
      </c>
      <c r="B1018" s="110" t="s">
        <v>992</v>
      </c>
      <c r="C1018" s="110">
        <v>3400</v>
      </c>
      <c r="D1018" s="119">
        <v>6810</v>
      </c>
      <c r="E1018" s="111">
        <f>SUMIFS('Accounting data'!$G$2:$G$37000,'Accounting data'!$H$2:$H$37000,"9999*",'Accounting data'!$I$2:$I$37000,"7*",'Accounting data'!$J$2:$J$37000,"34*",'Accounting data'!$K$2:$K$37000,"681*")+SUMIFS('Accounting data'!$G$2:$G$37000,'Accounting data'!$H$2:$H$37000,"9999*",'Accounting data'!$I$2:$I$37000,"8*",'Accounting data'!$J$2:$J$37000,"34*",'Accounting data'!$K$2:$K$37000,"681*")+SUMIFS('Accounting data'!$G$2:$G$37000,'Accounting data'!$H$2:$H$37000,"9999*",'Accounting data'!$I$2:$I$37000,"9*",'Accounting data'!$J$2:$J$37000,"34*",'Accounting data'!$K$2:$K$37000,"681*")</f>
        <v>0</v>
      </c>
    </row>
    <row r="1019" spans="1:5" x14ac:dyDescent="0.25">
      <c r="A1019" s="110"/>
      <c r="B1019" s="110"/>
      <c r="C1019" s="110"/>
      <c r="D1019" s="119"/>
      <c r="E1019" s="111"/>
    </row>
    <row r="1020" spans="1:5" x14ac:dyDescent="0.25">
      <c r="A1020" s="110"/>
      <c r="B1020" s="110"/>
      <c r="C1020" s="110"/>
      <c r="D1020" s="119"/>
      <c r="E1020" s="111"/>
    </row>
    <row r="1021" spans="1:5" x14ac:dyDescent="0.25">
      <c r="A1021" s="113" t="s">
        <v>1072</v>
      </c>
      <c r="B1021" s="113"/>
      <c r="C1021" s="113"/>
      <c r="D1021" s="113"/>
      <c r="E1021" s="115">
        <f>(E1015-E1016-E1017)+(E1018+E1019+E1020)</f>
        <v>0</v>
      </c>
    </row>
    <row r="1022" spans="1:5" x14ac:dyDescent="0.25">
      <c r="A1022" s="110" t="s">
        <v>990</v>
      </c>
      <c r="B1022" s="110" t="s">
        <v>990</v>
      </c>
      <c r="C1022" s="110">
        <v>4000</v>
      </c>
      <c r="D1022" s="119">
        <v>6810</v>
      </c>
      <c r="E1022" s="111">
        <f>SUMIFS('Accounting data'!$G$2:$G$37000,'Accounting data'!$J$2:$J$37000,"4*",'Accounting data'!$K$2:$K$37000,"681*")</f>
        <v>0</v>
      </c>
    </row>
    <row r="1023" spans="1:5" x14ac:dyDescent="0.25">
      <c r="A1023" s="110" t="s">
        <v>991</v>
      </c>
      <c r="B1023" s="110" t="s">
        <v>990</v>
      </c>
      <c r="C1023" s="110">
        <v>4000</v>
      </c>
      <c r="D1023" s="119">
        <v>6810</v>
      </c>
      <c r="E1023" s="111">
        <f>SUMIFS('Accounting data'!$G$2:$G$37000,'Accounting data'!$H$2:$H$37000,"9999*",'Accounting data'!$J$2:$J$37000,"4*",'Accounting data'!$K$2:$K$37000,"681*")</f>
        <v>0</v>
      </c>
    </row>
    <row r="1024" spans="1:5" x14ac:dyDescent="0.25">
      <c r="A1024" s="110" t="s">
        <v>990</v>
      </c>
      <c r="B1024" s="110" t="s">
        <v>992</v>
      </c>
      <c r="C1024" s="110">
        <v>4000</v>
      </c>
      <c r="D1024" s="119">
        <v>6810</v>
      </c>
      <c r="E1024" s="111">
        <f>SUMIFS('Accounting data'!$G$2:$G$37000,'Accounting data'!$I$2:$I$37000,"7*",'Accounting data'!$J$2:$J$37000,"4*",'Accounting data'!$K$2:$K$37000,"681*")+SUMIFS('Accounting data'!$G$2:$G$37000,'Accounting data'!$I$2:$I$37000,"8*",'Accounting data'!$J$2:$J$37000,"4*",'Accounting data'!$K$2:$K$37000,"681*")+SUMIFS('Accounting data'!$G$2:$G$37000,'Accounting data'!$I$2:$I$37000,"9*",'Accounting data'!$J$2:$J$37000,"4*",'Accounting data'!$K$2:$K$37000,"681*")</f>
        <v>0</v>
      </c>
    </row>
    <row r="1025" spans="1:5" x14ac:dyDescent="0.25">
      <c r="A1025" s="112" t="s">
        <v>991</v>
      </c>
      <c r="B1025" s="110" t="s">
        <v>992</v>
      </c>
      <c r="C1025" s="110">
        <v>4000</v>
      </c>
      <c r="D1025" s="119">
        <v>6810</v>
      </c>
      <c r="E1025" s="111">
        <f>SUMIFS('Accounting data'!$G$2:$G$37000,'Accounting data'!$H$2:$H$37000,"9999*",'Accounting data'!$I$2:$I$37000,"7*",'Accounting data'!$J$2:$J$37000,"4*",'Accounting data'!$K$2:$K$37000,"681*")+SUMIFS('Accounting data'!$G$2:$G$37000,'Accounting data'!$H$2:$H$37000,"9999*",'Accounting data'!$I$2:$I$37000,"8*",'Accounting data'!$J$2:$J$37000,"4*",'Accounting data'!$K$2:$K$37000,"681*")+SUMIFS('Accounting data'!$G$2:$G$37000,'Accounting data'!$H$2:$H$37000,"9999*",'Accounting data'!$I$2:$I$37000,"9*",'Accounting data'!$J$2:$J$37000,"4*",'Accounting data'!$K$2:$K$37000,"681*")</f>
        <v>0</v>
      </c>
    </row>
    <row r="1026" spans="1:5" x14ac:dyDescent="0.25">
      <c r="A1026" s="110"/>
      <c r="B1026" s="110"/>
      <c r="C1026" s="110"/>
      <c r="D1026" s="119"/>
      <c r="E1026" s="111"/>
    </row>
    <row r="1027" spans="1:5" x14ac:dyDescent="0.25">
      <c r="A1027" s="110"/>
      <c r="B1027" s="110"/>
      <c r="C1027" s="110"/>
      <c r="D1027" s="119"/>
      <c r="E1027" s="111"/>
    </row>
    <row r="1028" spans="1:5" x14ac:dyDescent="0.25">
      <c r="A1028" s="113" t="s">
        <v>1073</v>
      </c>
      <c r="B1028" s="113"/>
      <c r="C1028" s="113"/>
      <c r="D1028" s="113"/>
      <c r="E1028" s="115">
        <f>(E1022-E1023-E1024)+(E1025+E1026+E1027)</f>
        <v>0</v>
      </c>
    </row>
    <row r="1029" spans="1:5" x14ac:dyDescent="0.25">
      <c r="A1029" s="116" t="s">
        <v>1074</v>
      </c>
      <c r="B1029" s="116"/>
      <c r="C1029" s="116"/>
      <c r="D1029" s="116"/>
      <c r="E1029" s="120">
        <f>E944+E951+E958+E965+E972+E979+E986+E993+E1000+E1007+E1014+E1021</f>
        <v>34105</v>
      </c>
    </row>
    <row r="1030" spans="1:5" x14ac:dyDescent="0.25">
      <c r="A1030" s="110" t="s">
        <v>1006</v>
      </c>
      <c r="B1030" s="110" t="s">
        <v>990</v>
      </c>
      <c r="C1030" s="110">
        <v>1000</v>
      </c>
      <c r="D1030" s="110">
        <v>6810</v>
      </c>
      <c r="E1030" s="111">
        <f>SUMIFS('Accounting data'!$G$2:$G$37000,'Accounting data'!$H$2:$H$37000,"11*",'Accounting data'!$J$2:$J$37000,"1*",'Accounting data'!$K$2:$K$37000,"681*")+SUMIFS('Accounting data'!$G$2:$G$37000,'Accounting data'!$H$2:$H$37000,"12*",'Accounting data'!$J$2:$J$37000,"1*",'Accounting data'!$K$2:$K$37000,"681*")+SUMIFS('Accounting data'!$G$2:$G$37000,'Accounting data'!$H$2:$H$37000,"13*",'Accounting data'!$J$2:$J$37000,"1*",'Accounting data'!$K$2:$K$37000,"681*")</f>
        <v>0</v>
      </c>
    </row>
    <row r="1031" spans="1:5" x14ac:dyDescent="0.25">
      <c r="A1031" s="110" t="s">
        <v>1006</v>
      </c>
      <c r="B1031" s="110" t="s">
        <v>990</v>
      </c>
      <c r="C1031" s="110">
        <v>2000</v>
      </c>
      <c r="D1031" s="110">
        <v>6810</v>
      </c>
      <c r="E1031" s="111">
        <f>SUMIFS('Accounting data'!$G$2:$G$37000,'Accounting data'!$H$2:$H$37000,"11*",'Accounting data'!$J$2:$J$37000,"2*",'Accounting data'!$K$2:$K$37000,"681*")+SUMIFS('Accounting data'!$G$2:$G$37000,'Accounting data'!$H$2:$H$37000,"12*",'Accounting data'!$J$2:$J$37000,"2*",'Accounting data'!$K$2:$K$37000,"681*")+SUMIFS('Accounting data'!$G$2:$G$37000,'Accounting data'!$H$2:$H$37000,"13*",'Accounting data'!$J$2:$J$37000,"2*",'Accounting data'!$K$2:$K$37000,"681*")</f>
        <v>0</v>
      </c>
    </row>
    <row r="1032" spans="1:5" x14ac:dyDescent="0.25">
      <c r="A1032" s="110" t="s">
        <v>1006</v>
      </c>
      <c r="B1032" s="110" t="s">
        <v>990</v>
      </c>
      <c r="C1032" s="110">
        <v>3000</v>
      </c>
      <c r="D1032" s="110">
        <v>6810</v>
      </c>
      <c r="E1032" s="111">
        <f>SUMIFS('Accounting data'!$G$2:$G$37000,'Accounting data'!$H$2:$H$37000,"11*",'Accounting data'!$J$2:$J$37000,"3*",'Accounting data'!$K$2:$K$37000,"681*")+SUMIFS('Accounting data'!$G$2:$G$37000,'Accounting data'!$H$2:$H$37000,"12*",'Accounting data'!$J$2:$J$37000,"3*",'Accounting data'!$K$2:$K$37000,"681*")+SUMIFS('Accounting data'!$G$2:$G$37000,'Accounting data'!$H$2:$H$37000,"13*",'Accounting data'!$J$2:$J$37000,"3*",'Accounting data'!$K$2:$K$37000,"681*")</f>
        <v>0</v>
      </c>
    </row>
    <row r="1033" spans="1:5" x14ac:dyDescent="0.25">
      <c r="A1033" s="110" t="s">
        <v>1006</v>
      </c>
      <c r="B1033" s="112">
        <v>700</v>
      </c>
      <c r="C1033" s="110">
        <v>1000</v>
      </c>
      <c r="D1033" s="110">
        <v>6810</v>
      </c>
      <c r="E1033" s="111">
        <f>SUMIFS('Accounting data'!$G$2:$G$37000,'Accounting data'!$H$2:$H$37000,"11*",'Accounting data'!$I$2:$I$37000,"7*",'Accounting data'!$J$2:$J$37000,"1*",'Accounting data'!$K$2:$K$37000,"681*")+SUMIFS('Accounting data'!$G$2:$G$37000,'Accounting data'!$H$2:$H$37000,"12*",'Accounting data'!$I$2:$I$37000,"7*",'Accounting data'!$J$2:$J$37000,"1*",'Accounting data'!$K$2:$K$37000,"681*")+SUMIFS('Accounting data'!$G$2:$G$37000,'Accounting data'!$H$2:$H$37000,"13*",'Accounting data'!$I$2:$I$37000,"7*",'Accounting data'!$J$2:$J$37000,"1*",'Accounting data'!$K$2:$K$37000,"681*")</f>
        <v>0</v>
      </c>
    </row>
    <row r="1034" spans="1:5" x14ac:dyDescent="0.25">
      <c r="A1034" s="110" t="s">
        <v>1006</v>
      </c>
      <c r="B1034" s="112">
        <v>800</v>
      </c>
      <c r="C1034" s="110">
        <v>1000</v>
      </c>
      <c r="D1034" s="110">
        <v>6810</v>
      </c>
      <c r="E1034" s="111">
        <f>SUMIFS('Accounting data'!$G$2:$G$37000,'Accounting data'!$H$2:$H$37000,"11*",'Accounting data'!$I$2:$I$37000,"8*",'Accounting data'!$J$2:$J$37000,"1*",'Accounting data'!$K$2:$K$37000,"681*")+SUMIFS('Accounting data'!$G$2:$G$37000,'Accounting data'!$H$2:$H$37000,"12*",'Accounting data'!$I$2:$I$37000,"8*",'Accounting data'!$J$2:$J$37000,"1*",'Accounting data'!$K$2:$K$37000,"681*")+SUMIFS('Accounting data'!$G$2:$G$37000,'Accounting data'!$H$2:$H$37000,"13*",'Accounting data'!$I$2:$I$37000,"8*",'Accounting data'!$J$2:$J$37000,"1*",'Accounting data'!$K$2:$K$37000,"681*")</f>
        <v>0</v>
      </c>
    </row>
    <row r="1035" spans="1:5" x14ac:dyDescent="0.25">
      <c r="A1035" s="110" t="s">
        <v>1006</v>
      </c>
      <c r="B1035" s="112">
        <v>900</v>
      </c>
      <c r="C1035" s="110">
        <v>1000</v>
      </c>
      <c r="D1035" s="110">
        <v>6810</v>
      </c>
      <c r="E1035" s="111">
        <f>SUMIFS('Accounting data'!$G$2:$G$37000,'Accounting data'!$H$2:$H$37000,"11*",'Accounting data'!$I$2:$I$37000,"9*",'Accounting data'!$J$2:$J$37000,"1*",'Accounting data'!$K$2:$K$37000,"681*")+SUMIFS('Accounting data'!$G$2:$G$37000,'Accounting data'!$H$2:$H$37000,"12*",'Accounting data'!$I$2:$I$37000,"9*",'Accounting data'!$J$2:$J$37000,"1*",'Accounting data'!$K$2:$K$37000,"681*")+SUMIFS('Accounting data'!$G$2:$G$37000,'Accounting data'!$H$2:$H$37000,"13*",'Accounting data'!$I$2:$I$37000,"9*",'Accounting data'!$J$2:$J$37000,"1*",'Accounting data'!$K$2:$K$37000,"681*")</f>
        <v>0</v>
      </c>
    </row>
    <row r="1036" spans="1:5" x14ac:dyDescent="0.25">
      <c r="A1036" s="110" t="s">
        <v>1006</v>
      </c>
      <c r="B1036" s="112">
        <v>700</v>
      </c>
      <c r="C1036" s="110">
        <v>2000</v>
      </c>
      <c r="D1036" s="110">
        <v>6810</v>
      </c>
      <c r="E1036" s="111">
        <f>SUMIFS('Accounting data'!$G$2:$G$37000,'Accounting data'!$H$2:$H$37000,"11*",'Accounting data'!$I$2:$I$37000,"7*",'Accounting data'!$J$2:$J$37000,"2*",'Accounting data'!$K$2:$K$37000,"681*")+SUMIFS('Accounting data'!$G$2:$G$37000,'Accounting data'!$H$2:$H$37000,"12*",'Accounting data'!$I$2:$I$37000,"7*",'Accounting data'!$J$2:$J$37000,"2*",'Accounting data'!$K$2:$K$37000,"681*")+SUMIFS('Accounting data'!$G$2:$G$37000,'Accounting data'!$H$2:$H$37000,"13*",'Accounting data'!$I$2:$I$37000,"7*",'Accounting data'!$J$2:$J$37000,"2*",'Accounting data'!$K$2:$K$37000,"681*")</f>
        <v>0</v>
      </c>
    </row>
    <row r="1037" spans="1:5" x14ac:dyDescent="0.25">
      <c r="A1037" s="110" t="s">
        <v>1006</v>
      </c>
      <c r="B1037" s="112">
        <v>800</v>
      </c>
      <c r="C1037" s="110">
        <v>2000</v>
      </c>
      <c r="D1037" s="110">
        <v>6810</v>
      </c>
      <c r="E1037" s="111">
        <f>SUMIFS('Accounting data'!$G$2:$G$37000,'Accounting data'!$H$2:$H$37000,"11*",'Accounting data'!$I$2:$I$37000,"8*",'Accounting data'!$J$2:$J$37000,"2*",'Accounting data'!$K$2:$K$37000,"681*")+SUMIFS('Accounting data'!$G$2:$G$37000,'Accounting data'!$H$2:$H$37000,"12*",'Accounting data'!$I$2:$I$37000,"8*",'Accounting data'!$J$2:$J$37000,"2*",'Accounting data'!$K$2:$K$37000,"681*")+SUMIFS('Accounting data'!$G$2:$G$37000,'Accounting data'!$H$2:$H$37000,"13*",'Accounting data'!$I$2:$I$37000,"8*",'Accounting data'!$J$2:$J$37000,"2*",'Accounting data'!$K$2:$K$37000,"681*")</f>
        <v>0</v>
      </c>
    </row>
    <row r="1038" spans="1:5" x14ac:dyDescent="0.25">
      <c r="A1038" s="110" t="s">
        <v>1006</v>
      </c>
      <c r="B1038" s="112">
        <v>900</v>
      </c>
      <c r="C1038" s="110">
        <v>2000</v>
      </c>
      <c r="D1038" s="110">
        <v>6810</v>
      </c>
      <c r="E1038" s="111">
        <f>SUMIFS('Accounting data'!$G$2:$G$37000,'Accounting data'!$H$2:$H$37000,"11*",'Accounting data'!$I$2:$I$37000,"9*",'Accounting data'!$J$2:$J$37000,"2*",'Accounting data'!$K$2:$K$37000,"681*")+SUMIFS('Accounting data'!$G$2:$G$37000,'Accounting data'!$H$2:$H$37000,"12*",'Accounting data'!$I$2:$I$37000,"9*",'Accounting data'!$J$2:$J$37000,"2*",'Accounting data'!$K$2:$K$37000,"681*")+SUMIFS('Accounting data'!$G$2:$G$37000,'Accounting data'!$H$2:$H$37000,"13*",'Accounting data'!$I$2:$I$37000,"9*",'Accounting data'!$J$2:$J$37000,"2*",'Accounting data'!$K$2:$K$37000,"681*")</f>
        <v>0</v>
      </c>
    </row>
    <row r="1039" spans="1:5" x14ac:dyDescent="0.25">
      <c r="A1039" s="110" t="s">
        <v>1006</v>
      </c>
      <c r="B1039" s="112">
        <v>700</v>
      </c>
      <c r="C1039" s="110">
        <v>3000</v>
      </c>
      <c r="D1039" s="110">
        <v>6810</v>
      </c>
      <c r="E1039" s="111">
        <f>SUMIFS('Accounting data'!$G$2:$G$37000,'Accounting data'!$H$2:$H$37000,"11*",'Accounting data'!$I$2:$I$37000,"7*",'Accounting data'!$J$2:$J$37000,"3*",'Accounting data'!$K$2:$K$37000,"681*")+SUMIFS('Accounting data'!$G$2:$G$37000,'Accounting data'!$H$2:$H$37000,"12*",'Accounting data'!$I$2:$I$37000,"7*",'Accounting data'!$J$2:$J$37000,"3*",'Accounting data'!$K$2:$K$37000,"681*")+SUMIFS('Accounting data'!$G$2:$G$37000,'Accounting data'!$H$2:$H$37000,"13*",'Accounting data'!$I$2:$I$37000,"7*",'Accounting data'!$J$2:$J$37000,"3*",'Accounting data'!$K$2:$K$37000,"681*")</f>
        <v>0</v>
      </c>
    </row>
    <row r="1040" spans="1:5" x14ac:dyDescent="0.25">
      <c r="A1040" s="110" t="s">
        <v>1006</v>
      </c>
      <c r="B1040" s="112">
        <v>800</v>
      </c>
      <c r="C1040" s="110">
        <v>3000</v>
      </c>
      <c r="D1040" s="110">
        <v>6810</v>
      </c>
      <c r="E1040" s="111">
        <f>SUMIFS('Accounting data'!$G$2:$G$37000,'Accounting data'!$H$2:$H$37000,"11*",'Accounting data'!$I$2:$I$37000,"8*",'Accounting data'!$J$2:$J$37000,"3*",'Accounting data'!$K$2:$K$37000,"681*")+SUMIFS('Accounting data'!$G$2:$G$37000,'Accounting data'!$H$2:$H$37000,"12*",'Accounting data'!$I$2:$I$37000,"8*",'Accounting data'!$J$2:$J$37000,"3*",'Accounting data'!$K$2:$K$37000,"681*")+SUMIFS('Accounting data'!$G$2:$G$37000,'Accounting data'!$H$2:$H$37000,"13*",'Accounting data'!$I$2:$I$37000,"8*",'Accounting data'!$J$2:$J$37000,"3*",'Accounting data'!$K$2:$K$37000,"681*")</f>
        <v>0</v>
      </c>
    </row>
    <row r="1041" spans="1:5" x14ac:dyDescent="0.25">
      <c r="A1041" s="110" t="s">
        <v>1006</v>
      </c>
      <c r="B1041" s="112">
        <v>900</v>
      </c>
      <c r="C1041" s="110">
        <v>3000</v>
      </c>
      <c r="D1041" s="110">
        <v>6810</v>
      </c>
      <c r="E1041" s="111">
        <f>SUMIFS('Accounting data'!$G$2:$G$37000,'Accounting data'!$H$2:$H$37000,"11*",'Accounting data'!$I$2:$I$37000,"9*",'Accounting data'!$J$2:$J$37000,"3*",'Accounting data'!$K$2:$K$37000,"681*")+SUMIFS('Accounting data'!$G$2:$G$37000,'Accounting data'!$H$2:$H$37000,"12*",'Accounting data'!$I$2:$I$37000,"9*",'Accounting data'!$J$2:$J$37000,"3*",'Accounting data'!$K$2:$K$37000,"681*")+SUMIFS('Accounting data'!$G$2:$G$37000,'Accounting data'!$H$2:$H$37000,"13*",'Accounting data'!$I$2:$I$37000,"9*",'Accounting data'!$J$2:$J$37000,"3*",'Accounting data'!$K$2:$K$37000,"681*")</f>
        <v>0</v>
      </c>
    </row>
    <row r="1042" spans="1:5" x14ac:dyDescent="0.25">
      <c r="A1042" s="113" t="s">
        <v>1075</v>
      </c>
      <c r="B1042" s="113"/>
      <c r="C1042" s="113"/>
      <c r="D1042" s="113"/>
      <c r="E1042" s="115">
        <f>(E1030+E1031+E1032)-(E1033+E1034+E1035+E1036+E1037+E1038+E1039+E1040+E1041)</f>
        <v>0</v>
      </c>
    </row>
    <row r="1043" spans="1:5" x14ac:dyDescent="0.25">
      <c r="A1043" s="110" t="s">
        <v>990</v>
      </c>
      <c r="B1043" s="110" t="s">
        <v>990</v>
      </c>
      <c r="C1043" s="110">
        <v>2300</v>
      </c>
      <c r="D1043" s="119">
        <v>6820</v>
      </c>
      <c r="E1043" s="111">
        <f>SUMIFS('Accounting data'!$G$2:$G$37000,'Accounting data'!$J$2:$J$37000,"23*",'Accounting data'!$K$2:$K$37000,"682*")</f>
        <v>0</v>
      </c>
    </row>
    <row r="1044" spans="1:5" x14ac:dyDescent="0.25">
      <c r="A1044" s="110" t="s">
        <v>991</v>
      </c>
      <c r="B1044" s="110" t="s">
        <v>990</v>
      </c>
      <c r="C1044" s="110">
        <v>2300</v>
      </c>
      <c r="D1044" s="119">
        <v>6820</v>
      </c>
      <c r="E1044" s="111">
        <f>SUMIFS('Accounting data'!$G$2:$G$37000,'Accounting data'!$H$2:$H$37000,"9999*",'Accounting data'!$J$2:$J$37000,"23*",'Accounting data'!$K$2:$K$37000,"682*")</f>
        <v>0</v>
      </c>
    </row>
    <row r="1045" spans="1:5" x14ac:dyDescent="0.25">
      <c r="A1045" s="110" t="s">
        <v>990</v>
      </c>
      <c r="B1045" s="110" t="s">
        <v>992</v>
      </c>
      <c r="C1045" s="110">
        <v>2300</v>
      </c>
      <c r="D1045" s="119">
        <v>6820</v>
      </c>
      <c r="E1045" s="111">
        <f>SUMIFS('Accounting data'!$G$2:$G$37000,'Accounting data'!$I$2:$I$37000,"7*",'Accounting data'!$J$2:$J$37000,"23*",'Accounting data'!$K$2:$K$37000,"682*")+SUMIFS('Accounting data'!$G$2:$G$37000,'Accounting data'!$I$2:$I$37000,"8*",'Accounting data'!$J$2:$J$37000,"23*",'Accounting data'!$K$2:$K$37000,"682*")+SUMIFS('Accounting data'!$G$2:$G$37000,'Accounting data'!$I$2:$I$37000,"9*",'Accounting data'!$J$2:$J$37000,"23*",'Accounting data'!$K$2:$K$37000,"682*")</f>
        <v>0</v>
      </c>
    </row>
    <row r="1046" spans="1:5" x14ac:dyDescent="0.25">
      <c r="A1046" s="112" t="s">
        <v>991</v>
      </c>
      <c r="B1046" s="110" t="s">
        <v>992</v>
      </c>
      <c r="C1046" s="110">
        <v>2300</v>
      </c>
      <c r="D1046" s="119">
        <v>6820</v>
      </c>
      <c r="E1046" s="111">
        <f>SUMIFS('Accounting data'!$G$2:$G$37000,'Accounting data'!$H$2:$H$37000,"9999*",'Accounting data'!$I$2:$I$37000,"7*",'Accounting data'!$J$2:$J$37000,"23*",'Accounting data'!$K$2:$K$37000,"682*")+SUMIFS('Accounting data'!$G$2:$G$37000,'Accounting data'!$H$2:$H$37000,"9999*",'Accounting data'!$I$2:$I$37000,"8*",'Accounting data'!$J$2:$J$37000,"23*",'Accounting data'!$K$2:$K$37000,"682*")+SUMIFS('Accounting data'!$G$2:$G$37000,'Accounting data'!$H$2:$H$37000,"9999*",'Accounting data'!$I$2:$I$37000,"9*",'Accounting data'!$J$2:$J$37000,"23*",'Accounting data'!$K$2:$K$37000,"682*")</f>
        <v>0</v>
      </c>
    </row>
    <row r="1047" spans="1:5" x14ac:dyDescent="0.25">
      <c r="A1047" s="110"/>
      <c r="B1047" s="110"/>
      <c r="C1047" s="110"/>
      <c r="D1047" s="119"/>
      <c r="E1047" s="111"/>
    </row>
    <row r="1048" spans="1:5" x14ac:dyDescent="0.25">
      <c r="A1048" s="110"/>
      <c r="B1048" s="110"/>
      <c r="C1048" s="110"/>
      <c r="D1048" s="119"/>
      <c r="E1048" s="111"/>
    </row>
    <row r="1049" spans="1:5" x14ac:dyDescent="0.25">
      <c r="A1049" s="113" t="s">
        <v>1076</v>
      </c>
      <c r="B1049" s="113"/>
      <c r="C1049" s="119"/>
      <c r="D1049" s="113"/>
      <c r="E1049" s="115">
        <f>(E1043-E1044-E1045)+(E1046+E1047+E1048)</f>
        <v>0</v>
      </c>
    </row>
    <row r="1050" spans="1:5" x14ac:dyDescent="0.25">
      <c r="A1050" s="110" t="s">
        <v>1006</v>
      </c>
      <c r="B1050" s="110" t="s">
        <v>990</v>
      </c>
      <c r="C1050" s="110">
        <v>2300</v>
      </c>
      <c r="D1050" s="110">
        <v>6820</v>
      </c>
      <c r="E1050" s="111">
        <f>SUMIFS('Accounting data'!$G$2:$G$37000,'Accounting data'!$H$2:$H$37000,"11*",'Accounting data'!$J$2:$J$37000,"23*",'Accounting data'!$K$2:$K$37000,"682*")+SUMIFS('Accounting data'!$G$2:$G$37000,'Accounting data'!$H$2:$H$37000,"12*",'Accounting data'!$J$2:$J$37000,"23*",'Accounting data'!$K$2:$K$37000,"682*")+SUMIFS('Accounting data'!$G$2:$G$37000,'Accounting data'!$H$2:$H$37000,"13*",'Accounting data'!$J$2:$J$37000,"23*",'Accounting data'!$K$2:$K$37000,"682*")+SUMIFS('Accounting data'!$G$2:$G$37000,'Accounting data'!$H$2:$H$37000,"639",'Accounting data'!$J$2:$J$37000,"23*",'Accounting data'!$K$2:$K$37000,"682*")+SUMIFS('Accounting data'!$G$2:$G$37000,'Accounting data'!$H$2:$H$37000,"699",'Accounting data'!$J$2:$J$37000,"23*",'Accounting data'!$K$2:$K$37000,"682*")+SUMIFS('Accounting data'!$G$2:$G$37000,'Accounting data'!$H$2:$H$37000,"72?",'Accounting data'!$J$2:$J$37000,"23*",'Accounting data'!$K$2:$K$37000,"682*")</f>
        <v>0</v>
      </c>
    </row>
    <row r="1051" spans="1:5" x14ac:dyDescent="0.25">
      <c r="A1051" s="110" t="s">
        <v>1006</v>
      </c>
      <c r="B1051" s="112">
        <v>700</v>
      </c>
      <c r="C1051" s="110">
        <v>2300</v>
      </c>
      <c r="D1051" s="110">
        <v>6820</v>
      </c>
      <c r="E1051" s="111">
        <f>SUMIFS('Accounting data'!$G$2:$G$37000,'Accounting data'!$H$2:$H$37000,"11*",'Accounting data'!$I$2:$I$37000,"7*",'Accounting data'!$J$2:$J$37000,"23*",'Accounting data'!$K$2:$K$37000,"682*")+SUMIFS('Accounting data'!$G$2:$G$37000,'Accounting data'!$H$2:$H$37000,"12*",'Accounting data'!$I$2:$I$37000,"7*",'Accounting data'!$J$2:$J$37000,"23*",'Accounting data'!$K$2:$K$37000,"682*")+SUMIFS('Accounting data'!$G$2:$G$37000,'Accounting data'!$H$2:$H$37000,"13*",'Accounting data'!$I$2:$I$37000,"7*",'Accounting data'!$J$2:$J$37000,"23*",'Accounting data'!$K$2:$K$37000,"682*")+SUMIFS('Accounting data'!$G$2:$G$37000,'Accounting data'!$H$2:$H$37000,"639",'Accounting data'!$I$2:$I$37000,"7*",'Accounting data'!$J$2:$J$37000,"23*",'Accounting data'!$K$2:$K$37000,"682*")+SUMIFS('Accounting data'!$G$2:$G$37000,'Accounting data'!$H$2:$H$37000,"699",'Accounting data'!$I$2:$I$37000,"7*",'Accounting data'!$J$2:$J$37000,"23*",'Accounting data'!$K$2:$K$37000,"682*")+SUMIFS('Accounting data'!$G$2:$G$37000,'Accounting data'!$H$2:$H$37000,"72?",'Accounting data'!$I$2:$I$37000,"7*",'Accounting data'!$J$2:$J$37000,"23*",'Accounting data'!$K$2:$K$37000,"682*")</f>
        <v>0</v>
      </c>
    </row>
    <row r="1052" spans="1:5" x14ac:dyDescent="0.25">
      <c r="A1052" s="110" t="s">
        <v>1006</v>
      </c>
      <c r="B1052" s="112">
        <v>800</v>
      </c>
      <c r="C1052" s="110">
        <v>2300</v>
      </c>
      <c r="D1052" s="110">
        <v>6820</v>
      </c>
      <c r="E1052" s="111">
        <f>SUMIFS('Accounting data'!$G$2:$G$37000,'Accounting data'!$H$2:$H$37000,"11*",'Accounting data'!$I$2:$I$37000,"8*",'Accounting data'!$J$2:$J$37000,"23*",'Accounting data'!$K$2:$K$37000,"682*")+SUMIFS('Accounting data'!$G$2:$G$37000,'Accounting data'!$H$2:$H$37000,"12*",'Accounting data'!$I$2:$I$37000,"8*",'Accounting data'!$J$2:$J$37000,"23*",'Accounting data'!$K$2:$K$37000,"682*")+SUMIFS('Accounting data'!$G$2:$G$37000,'Accounting data'!$H$2:$H$37000,"13*",'Accounting data'!$I$2:$I$37000,"8*",'Accounting data'!$J$2:$J$37000,"23*",'Accounting data'!$K$2:$K$37000,"682*")+SUMIFS('Accounting data'!$G$2:$G$37000,'Accounting data'!$H$2:$H$37000,"639",'Accounting data'!$I$2:$I$37000,"8*",'Accounting data'!$J$2:$J$37000,"23*",'Accounting data'!$K$2:$K$37000,"682*")+SUMIFS('Accounting data'!$G$2:$G$37000,'Accounting data'!$H$2:$H$37000,"699",'Accounting data'!$I$2:$I$37000,"8*",'Accounting data'!$J$2:$J$37000,"23*",'Accounting data'!$K$2:$K$37000,"682*")+SUMIFS('Accounting data'!$G$2:$G$37000,'Accounting data'!$H$2:$H$37000,"72?",'Accounting data'!$I$2:$I$37000,"8*",'Accounting data'!$J$2:$J$37000,"23*",'Accounting data'!$K$2:$K$37000,"682*")</f>
        <v>0</v>
      </c>
    </row>
    <row r="1053" spans="1:5" x14ac:dyDescent="0.25">
      <c r="A1053" s="110" t="s">
        <v>1006</v>
      </c>
      <c r="B1053" s="112">
        <v>900</v>
      </c>
      <c r="C1053" s="110">
        <v>2300</v>
      </c>
      <c r="D1053" s="110">
        <v>6820</v>
      </c>
      <c r="E1053" s="111">
        <f>SUMIFS('Accounting data'!$G$2:$G$37000,'Accounting data'!$H$2:$H$37000,"11*",'Accounting data'!$I$2:$I$37000,"9*",'Accounting data'!$J$2:$J$37000,"23*",'Accounting data'!$K$2:$K$37000,"682*")+SUMIFS('Accounting data'!$G$2:$G$37000,'Accounting data'!$H$2:$H$37000,"12*",'Accounting data'!$I$2:$I$37000,"9*",'Accounting data'!$J$2:$J$37000,"23*",'Accounting data'!$K$2:$K$37000,"682*")+SUMIFS('Accounting data'!$G$2:$G$37000,'Accounting data'!$H$2:$H$37000,"13*",'Accounting data'!$I$2:$I$37000,"9*",'Accounting data'!$J$2:$J$37000,"23*",'Accounting data'!$K$2:$K$37000,"682*")+SUMIFS('Accounting data'!$G$2:$G$37000,'Accounting data'!$H$2:$H$37000,"639",'Accounting data'!$I$2:$I$37000,"9*",'Accounting data'!$J$2:$J$37000,"23*",'Accounting data'!$K$2:$K$37000,"682*")+SUMIFS('Accounting data'!$G$2:$G$37000,'Accounting data'!$H$2:$H$37000,"699",'Accounting data'!$I$2:$I$37000,"9*",'Accounting data'!$J$2:$J$37000,"23*",'Accounting data'!$K$2:$K$37000,"682*")+SUMIFS('Accounting data'!$G$2:$G$37000,'Accounting data'!$H$2:$H$37000,"72?",'Accounting data'!$I$2:$I$37000,"9*",'Accounting data'!$J$2:$J$37000,"23*",'Accounting data'!$K$2:$K$37000,"682*")</f>
        <v>0</v>
      </c>
    </row>
    <row r="1054" spans="1:5" x14ac:dyDescent="0.25">
      <c r="A1054" s="113" t="s">
        <v>1077</v>
      </c>
      <c r="B1054" s="113"/>
      <c r="C1054" s="113"/>
      <c r="D1054" s="113"/>
      <c r="E1054" s="115">
        <f>E1050-E1051-E1052-E1053</f>
        <v>0</v>
      </c>
    </row>
    <row r="1069" spans="1:5" x14ac:dyDescent="0.25">
      <c r="A1069" s="110" t="s">
        <v>990</v>
      </c>
      <c r="B1069" s="110" t="s">
        <v>990</v>
      </c>
      <c r="C1069" s="110">
        <v>2500</v>
      </c>
      <c r="D1069" s="119">
        <v>6850</v>
      </c>
      <c r="E1069" s="111">
        <f>SUMIFS('Accounting data'!$G$2:$G$37000,'Accounting data'!$J$2:$J$37000,"25*",'Accounting data'!$K$2:$K$37000,"685*")</f>
        <v>0</v>
      </c>
    </row>
    <row r="1070" spans="1:5" x14ac:dyDescent="0.25">
      <c r="A1070" s="110" t="s">
        <v>991</v>
      </c>
      <c r="B1070" s="110" t="s">
        <v>990</v>
      </c>
      <c r="C1070" s="110">
        <v>2500</v>
      </c>
      <c r="D1070" s="119">
        <v>6850</v>
      </c>
      <c r="E1070" s="111">
        <f>SUMIFS('Accounting data'!$G$2:$G$37000,'Accounting data'!$H$2:$H$37000,"9999*",'Accounting data'!$J$2:$J$37000,"25*",'Accounting data'!$K$2:$K$37000,"685*")</f>
        <v>0</v>
      </c>
    </row>
    <row r="1071" spans="1:5" x14ac:dyDescent="0.25">
      <c r="A1071" s="110" t="s">
        <v>990</v>
      </c>
      <c r="B1071" s="110" t="s">
        <v>992</v>
      </c>
      <c r="C1071" s="110">
        <v>2500</v>
      </c>
      <c r="D1071" s="119">
        <v>6850</v>
      </c>
      <c r="E1071" s="111">
        <f>SUMIFS('Accounting data'!$G$2:$G$37000,'Accounting data'!$I$2:$I$37000,"7*",'Accounting data'!$J$2:$J$37000,"25*",'Accounting data'!$K$2:$K$37000,"685*")+SUMIFS('Accounting data'!$G$2:$G$37000,'Accounting data'!$I$2:$I$37000,"8*",'Accounting data'!$J$2:$J$37000,"25*",'Accounting data'!$K$2:$K$37000,"685*")+SUMIFS('Accounting data'!$G$2:$G$37000,'Accounting data'!$I$2:$I$37000,"9*",'Accounting data'!$J$2:$J$37000,"25*",'Accounting data'!$K$2:$K$37000,"685*")</f>
        <v>0</v>
      </c>
    </row>
    <row r="1072" spans="1:5" x14ac:dyDescent="0.25">
      <c r="A1072" s="112" t="s">
        <v>991</v>
      </c>
      <c r="B1072" s="110" t="s">
        <v>992</v>
      </c>
      <c r="C1072" s="110">
        <v>2500</v>
      </c>
      <c r="D1072" s="119">
        <v>6850</v>
      </c>
      <c r="E1072" s="111">
        <f>SUMIFS('Accounting data'!$G$2:$G$37000,'Accounting data'!$H$2:$H$37000,"9999*",'Accounting data'!$I$2:$I$37000,"7*",'Accounting data'!$J$2:$J$37000,"25*",'Accounting data'!$K$2:$K$37000,"685*")+SUMIFS('Accounting data'!$G$2:$G$37000,'Accounting data'!$H$2:$H$37000,"9999*",'Accounting data'!$I$2:$I$37000,"8*",'Accounting data'!$J$2:$J$37000,"25*",'Accounting data'!$K$2:$K$37000,"685*")+SUMIFS('Accounting data'!$G$2:$G$37000,'Accounting data'!$H$2:$H$37000,"9999*",'Accounting data'!$I$2:$I$37000,"9*",'Accounting data'!$J$2:$J$37000,"25*",'Accounting data'!$K$2:$K$37000,"685*")</f>
        <v>0</v>
      </c>
    </row>
    <row r="1073" spans="1:5" x14ac:dyDescent="0.25">
      <c r="A1073" s="110"/>
      <c r="B1073" s="110"/>
      <c r="C1073" s="110"/>
      <c r="D1073" s="119"/>
      <c r="E1073" s="111"/>
    </row>
    <row r="1074" spans="1:5" x14ac:dyDescent="0.25">
      <c r="A1074" s="110"/>
      <c r="B1074" s="110"/>
      <c r="C1074" s="110"/>
      <c r="D1074" s="119"/>
      <c r="E1074" s="111"/>
    </row>
    <row r="1075" spans="1:5" x14ac:dyDescent="0.25">
      <c r="A1075" s="113" t="s">
        <v>1078</v>
      </c>
      <c r="B1075" s="113"/>
      <c r="C1075" s="113"/>
      <c r="D1075" s="113"/>
      <c r="E1075" s="115">
        <f>(E1069-E1070-E1071)+(E1072+E1073+E1074)</f>
        <v>0</v>
      </c>
    </row>
    <row r="1098" spans="1:5" x14ac:dyDescent="0.25">
      <c r="A1098" s="110" t="s">
        <v>1006</v>
      </c>
      <c r="B1098" s="110" t="s">
        <v>990</v>
      </c>
      <c r="C1098" s="119">
        <v>2500</v>
      </c>
      <c r="D1098" s="110">
        <v>6850</v>
      </c>
      <c r="E1098" s="111">
        <f>SUMIFS('Accounting data'!$G$2:$G$37000,'Accounting data'!$H$2:$H$37000,"11*",'Accounting data'!$J$2:$J$37000,"25*",'Accounting data'!$K$2:$K$37000,"685*")+SUMIFS('Accounting data'!$G$2:$G$37000,'Accounting data'!$H$2:$H$37000,"12*",'Accounting data'!$J$2:$J$37000,"25*",'Accounting data'!$K$2:$K$37000,"685*")+SUMIFS('Accounting data'!$G$2:$G$37000,'Accounting data'!$H$2:$H$37000,"13*",'Accounting data'!$J$2:$J$37000,"25*",'Accounting data'!$K$2:$K$37000,"685*")</f>
        <v>0</v>
      </c>
    </row>
    <row r="1099" spans="1:5" x14ac:dyDescent="0.25">
      <c r="A1099" s="110" t="s">
        <v>1006</v>
      </c>
      <c r="B1099" s="112">
        <v>700</v>
      </c>
      <c r="C1099" s="110">
        <v>2500</v>
      </c>
      <c r="D1099" s="110">
        <v>6850</v>
      </c>
      <c r="E1099" s="111">
        <f>SUMIFS('Accounting data'!$G$2:$G$37000,'Accounting data'!$H$2:$H$37000,"11*",'Accounting data'!$I$2:$I$37000,"7*",'Accounting data'!$J$2:$J$37000,"25*",'Accounting data'!$K$2:$K$37000,"685*")+SUMIFS('Accounting data'!$G$2:$G$37000,'Accounting data'!$H$2:$H$37000,"12*",'Accounting data'!$I$2:$I$37000,"7*",'Accounting data'!$J$2:$J$37000,"25*",'Accounting data'!$K$2:$K$37000,"685*")+SUMIFS('Accounting data'!$G$2:$G$37000,'Accounting data'!$H$2:$H$37000,"13*",'Accounting data'!$I$2:$I$37000,"7*",'Accounting data'!$J$2:$J$37000,"25*",'Accounting data'!$K$2:$K$37000,"685*")</f>
        <v>0</v>
      </c>
    </row>
    <row r="1100" spans="1:5" x14ac:dyDescent="0.25">
      <c r="A1100" s="110" t="s">
        <v>1006</v>
      </c>
      <c r="B1100" s="112">
        <v>800</v>
      </c>
      <c r="C1100" s="110">
        <v>2500</v>
      </c>
      <c r="D1100" s="110">
        <v>6850</v>
      </c>
      <c r="E1100" s="111">
        <f>SUMIFS('Accounting data'!$G$2:$G$37000,'Accounting data'!$H$2:$H$37000,"11*",'Accounting data'!$I$2:$I$37000,"8*",'Accounting data'!$J$2:$J$37000,"25*",'Accounting data'!$K$2:$K$37000,"685*")+SUMIFS('Accounting data'!$G$2:$G$37000,'Accounting data'!$H$2:$H$37000,"12*",'Accounting data'!$I$2:$I$37000,"8*",'Accounting data'!$J$2:$J$37000,"25*",'Accounting data'!$K$2:$K$37000,"685*")+SUMIFS('Accounting data'!$G$2:$G$37000,'Accounting data'!$H$2:$H$37000,"13*",'Accounting data'!$I$2:$I$37000,"8*",'Accounting data'!$J$2:$J$37000,"25*",'Accounting data'!$K$2:$K$37000,"685*")</f>
        <v>0</v>
      </c>
    </row>
    <row r="1101" spans="1:5" x14ac:dyDescent="0.25">
      <c r="A1101" s="110" t="s">
        <v>1006</v>
      </c>
      <c r="B1101" s="112">
        <v>900</v>
      </c>
      <c r="C1101" s="110">
        <v>2500</v>
      </c>
      <c r="D1101" s="110">
        <v>6850</v>
      </c>
      <c r="E1101" s="111">
        <f>SUMIFS('Accounting data'!$G$2:$G$37000,'Accounting data'!$H$2:$H$37000,"11*",'Accounting data'!$I$2:$I$37000,"9*",'Accounting data'!$J$2:$J$37000,"25*",'Accounting data'!$K$2:$K$37000,"685*")+SUMIFS('Accounting data'!$G$2:$G$37000,'Accounting data'!$H$2:$H$37000,"12*",'Accounting data'!$I$2:$I$37000,"9*",'Accounting data'!$J$2:$J$37000,"25*",'Accounting data'!$K$2:$K$37000,"685*")+SUMIFS('Accounting data'!$G$2:$G$37000,'Accounting data'!$H$2:$H$37000,"13*",'Accounting data'!$I$2:$I$37000,"9*",'Accounting data'!$J$2:$J$37000,"25*",'Accounting data'!$K$2:$K$37000,"685*")</f>
        <v>0</v>
      </c>
    </row>
    <row r="1102" spans="1:5" x14ac:dyDescent="0.25">
      <c r="A1102" s="113" t="s">
        <v>1079</v>
      </c>
      <c r="B1102" s="113"/>
      <c r="C1102" s="113"/>
      <c r="D1102" s="113"/>
      <c r="E1102" s="115">
        <f>E1098-(E1099+E1100+E1101)</f>
        <v>0</v>
      </c>
    </row>
    <row r="1103" spans="1:5" x14ac:dyDescent="0.25">
      <c r="A1103" s="110" t="s">
        <v>990</v>
      </c>
      <c r="B1103" s="110" t="s">
        <v>990</v>
      </c>
      <c r="C1103" s="110">
        <v>1000</v>
      </c>
      <c r="D1103" s="119">
        <v>6890</v>
      </c>
      <c r="E1103" s="111">
        <f>SUMIFS('Accounting data'!$G$2:$G$37000,'Accounting data'!$J$2:$J$37000,"1*",'Accounting data'!$K$2:$K$37000,"689*")</f>
        <v>0</v>
      </c>
    </row>
    <row r="1104" spans="1:5" x14ac:dyDescent="0.25">
      <c r="A1104" s="110" t="s">
        <v>991</v>
      </c>
      <c r="B1104" s="110" t="s">
        <v>990</v>
      </c>
      <c r="C1104" s="110">
        <v>1000</v>
      </c>
      <c r="D1104" s="119">
        <v>6890</v>
      </c>
      <c r="E1104" s="111">
        <f>SUMIFS('Accounting data'!$G$2:$G$37000,'Accounting data'!$H$2:$H$37000,"9999*",'Accounting data'!$J$2:$J$37000,"1*",'Accounting data'!$K$2:$K$37000,"689*")</f>
        <v>0</v>
      </c>
    </row>
    <row r="1105" spans="1:5" x14ac:dyDescent="0.25">
      <c r="A1105" s="110" t="s">
        <v>990</v>
      </c>
      <c r="B1105" s="110" t="s">
        <v>992</v>
      </c>
      <c r="C1105" s="110">
        <v>1000</v>
      </c>
      <c r="D1105" s="119">
        <v>6890</v>
      </c>
      <c r="E1105" s="111">
        <f>SUMIFS('Accounting data'!$G$2:$G$37000,'Accounting data'!$I$2:$I$37000,"7*",'Accounting data'!$J$2:$J$37000,"1*",'Accounting data'!$K$2:$K$37000,"689*")+SUMIFS('Accounting data'!$G$2:$G$37000,'Accounting data'!$I$2:$I$37000,"8*",'Accounting data'!$J$2:$J$37000,"1*",'Accounting data'!$K$2:$K$37000,"689*")+SUMIFS('Accounting data'!$G$2:$G$37000,'Accounting data'!$I$2:$I$37000,"9*",'Accounting data'!$J$2:$J$37000,"1*",'Accounting data'!$K$2:$K$37000,"689*")</f>
        <v>0</v>
      </c>
    </row>
    <row r="1106" spans="1:5" x14ac:dyDescent="0.25">
      <c r="A1106" s="112" t="s">
        <v>991</v>
      </c>
      <c r="B1106" s="110" t="s">
        <v>992</v>
      </c>
      <c r="C1106" s="110">
        <v>1000</v>
      </c>
      <c r="D1106" s="119">
        <v>6890</v>
      </c>
      <c r="E1106" s="111">
        <f>SUMIFS('Accounting data'!$G$2:$G$37000,'Accounting data'!$H$2:$H$37000,"9999*",'Accounting data'!$I$2:$I$37000,"7*",'Accounting data'!$J$2:$J$37000,"1*",'Accounting data'!$K$2:$K$37000,"689*")+SUMIFS('Accounting data'!$G$2:$G$37000,'Accounting data'!$H$2:$H$37000,"9999*",'Accounting data'!$I$2:$I$37000,"8*",'Accounting data'!$J$2:$J$37000,"1*",'Accounting data'!$K$2:$K$37000,"689*")+SUMIFS('Accounting data'!$G$2:$G$37000,'Accounting data'!$H$2:$H$37000,"9999*",'Accounting data'!$I$2:$I$37000,"9*",'Accounting data'!$J$2:$J$37000,"1*",'Accounting data'!$K$2:$K$37000,"689*")</f>
        <v>0</v>
      </c>
    </row>
    <row r="1107" spans="1:5" x14ac:dyDescent="0.25">
      <c r="A1107" s="110"/>
      <c r="B1107" s="110"/>
      <c r="C1107" s="110"/>
      <c r="D1107" s="119"/>
      <c r="E1107" s="111"/>
    </row>
    <row r="1108" spans="1:5" x14ac:dyDescent="0.25">
      <c r="A1108" s="110"/>
      <c r="B1108" s="110"/>
      <c r="C1108" s="110"/>
      <c r="D1108" s="119"/>
      <c r="E1108" s="111"/>
    </row>
    <row r="1109" spans="1:5" x14ac:dyDescent="0.25">
      <c r="A1109" s="113" t="s">
        <v>1080</v>
      </c>
      <c r="B1109" s="113"/>
      <c r="C1109" s="113"/>
      <c r="D1109" s="113"/>
      <c r="E1109" s="115">
        <f>(E1103-E1104-E1105)+(E1106+E1107+E1108)</f>
        <v>0</v>
      </c>
    </row>
    <row r="1110" spans="1:5" x14ac:dyDescent="0.25">
      <c r="A1110" s="110" t="s">
        <v>990</v>
      </c>
      <c r="B1110" s="110" t="s">
        <v>990</v>
      </c>
      <c r="C1110" s="110">
        <v>2100</v>
      </c>
      <c r="D1110" s="119">
        <v>6890</v>
      </c>
      <c r="E1110" s="111">
        <f>SUMIFS('Accounting data'!$G$2:$G$37000,'Accounting data'!$J$2:$J$37000,"21*",'Accounting data'!$K$2:$K$37000,"689*")</f>
        <v>0</v>
      </c>
    </row>
    <row r="1111" spans="1:5" x14ac:dyDescent="0.25">
      <c r="A1111" s="110" t="s">
        <v>991</v>
      </c>
      <c r="B1111" s="110" t="s">
        <v>990</v>
      </c>
      <c r="C1111" s="110">
        <v>2100</v>
      </c>
      <c r="D1111" s="119">
        <v>6890</v>
      </c>
      <c r="E1111" s="111">
        <f>SUMIFS('Accounting data'!$G$2:$G$37000,'Accounting data'!$H$2:$H$37000,"9999*",'Accounting data'!$J$2:$J$37000,"21*",'Accounting data'!$K$2:$K$37000,"689*")</f>
        <v>0</v>
      </c>
    </row>
    <row r="1112" spans="1:5" x14ac:dyDescent="0.25">
      <c r="A1112" s="110" t="s">
        <v>990</v>
      </c>
      <c r="B1112" s="110" t="s">
        <v>992</v>
      </c>
      <c r="C1112" s="110">
        <v>2100</v>
      </c>
      <c r="D1112" s="119">
        <v>6890</v>
      </c>
      <c r="E1112" s="111">
        <f>SUMIFS('Accounting data'!$G$2:$G$37000,'Accounting data'!$H$2:$H$37000,"9999*",'Accounting data'!$J$2:$J$37000,"21*",'Accounting data'!$K$2:$K$37000,"689*")+SUMIFS('Accounting data'!$G$2:$G$37000,'Accounting data'!$H$2:$H$37000,"8*",'Accounting data'!$J$2:$J$37000,"21*",'Accounting data'!$K$2:$K$37000,"689*")+SUMIFS('Accounting data'!$G$2:$G$37000,'Accounting data'!$H$2:$H$37000,"9*",'Accounting data'!$J$2:$J$37000,"21*",'Accounting data'!$K$2:$K$37000,"689*")</f>
        <v>0</v>
      </c>
    </row>
    <row r="1113" spans="1:5" x14ac:dyDescent="0.25">
      <c r="A1113" s="112" t="s">
        <v>991</v>
      </c>
      <c r="B1113" s="110" t="s">
        <v>992</v>
      </c>
      <c r="C1113" s="110">
        <v>2100</v>
      </c>
      <c r="D1113" s="119">
        <v>6890</v>
      </c>
      <c r="E1113" s="111">
        <f>SUMIFS('Accounting data'!$G$2:$G$37000,'Accounting data'!$H$2:$H$37000,"9999*",'Accounting data'!$J$2:$J$37000,"21*",'Accounting data'!$K$2:$K$37000,"689*")+SUMIFS('Accounting data'!$G$2:$G$37000,'Accounting data'!$H$2:$H$37000,"8*",'Accounting data'!$J$2:$J$37000,"21*",'Accounting data'!$K$2:$K$37000,"689*")+SUMIFS('Accounting data'!$G$2:$G$37000,'Accounting data'!$H$2:$H$37000,"9*",'Accounting data'!$J$2:$J$37000,"21*",'Accounting data'!$K$2:$K$37000,"689*")</f>
        <v>0</v>
      </c>
    </row>
    <row r="1116" spans="1:5" x14ac:dyDescent="0.25">
      <c r="A1116" s="113" t="s">
        <v>1081</v>
      </c>
      <c r="B1116" s="113"/>
      <c r="C1116" s="113"/>
      <c r="D1116" s="113"/>
      <c r="E1116" s="115">
        <f>(E1110-E1111-E1112)+(E1113+E1114+E1115)</f>
        <v>0</v>
      </c>
    </row>
    <row r="1117" spans="1:5" x14ac:dyDescent="0.25">
      <c r="A1117" s="110" t="s">
        <v>990</v>
      </c>
      <c r="B1117" s="110" t="s">
        <v>990</v>
      </c>
      <c r="C1117" s="110">
        <v>2200</v>
      </c>
      <c r="D1117" s="119">
        <v>6890</v>
      </c>
      <c r="E1117" s="111">
        <f>SUMIFS('Accounting data'!$G$2:$G$37000,'Accounting data'!$J$2:$J$37000,"22*",'Accounting data'!$K$2:$K$37000,"689*")</f>
        <v>0</v>
      </c>
    </row>
    <row r="1118" spans="1:5" x14ac:dyDescent="0.25">
      <c r="A1118" s="110" t="s">
        <v>991</v>
      </c>
      <c r="B1118" s="110" t="s">
        <v>990</v>
      </c>
      <c r="C1118" s="110">
        <v>2200</v>
      </c>
      <c r="D1118" s="119">
        <v>6890</v>
      </c>
      <c r="E1118" s="111">
        <f>SUMIFS('Accounting data'!$G$2:$G$37000,'Accounting data'!$H$2:$H$37000,"9999*",'Accounting data'!$J$2:$J$37000,"22*",'Accounting data'!$K$2:$K$37000,"689*")</f>
        <v>0</v>
      </c>
    </row>
    <row r="1119" spans="1:5" x14ac:dyDescent="0.25">
      <c r="A1119" s="110" t="s">
        <v>990</v>
      </c>
      <c r="B1119" s="110" t="s">
        <v>992</v>
      </c>
      <c r="C1119" s="110">
        <v>2200</v>
      </c>
      <c r="D1119" s="119">
        <v>6890</v>
      </c>
      <c r="E1119" s="111">
        <f>SUMIFS('Accounting data'!$G$2:$G$37000,'Accounting data'!$I$2:$I$37000,"7*",'Accounting data'!$J$2:$J$37000,"22*",'Accounting data'!$K$2:$K$37000,"689*")+SUMIFS('Accounting data'!$G$2:$G$37000,'Accounting data'!$I$2:$I$37000,"8*",'Accounting data'!$J$2:$J$37000,"22*",'Accounting data'!$K$2:$K$37000,"689*")+SUMIFS('Accounting data'!$G$2:$G$37000,'Accounting data'!$I$2:$I$37000,"9*",'Accounting data'!$J$2:$J$37000,"22*",'Accounting data'!$K$2:$K$37000,"689*")</f>
        <v>0</v>
      </c>
    </row>
    <row r="1120" spans="1:5" x14ac:dyDescent="0.25">
      <c r="A1120" s="112" t="s">
        <v>991</v>
      </c>
      <c r="B1120" s="110" t="s">
        <v>992</v>
      </c>
      <c r="C1120" s="110">
        <v>2200</v>
      </c>
      <c r="D1120" s="119">
        <v>6890</v>
      </c>
      <c r="E1120" s="111">
        <f>SUMIFS('Accounting data'!$G$2:$G$37000,'Accounting data'!$H$2:$H$37000,"9999*",'Accounting data'!$I$2:$I$37000,"7*",'Accounting data'!$J$2:$J$37000,"22*",'Accounting data'!$K$2:$K$37000,"689*")+SUMIFS('Accounting data'!$G$2:$G$37000,'Accounting data'!$H$2:$H$37000,"9999*",'Accounting data'!$I$2:$I$37000,"8*",'Accounting data'!$J$2:$J$37000,"22*",'Accounting data'!$K$2:$K$37000,"689*")+SUMIFS('Accounting data'!$G$2:$G$37000,'Accounting data'!$H$2:$H$37000,"9999*",'Accounting data'!$I$2:$I$37000,"9*",'Accounting data'!$J$2:$J$37000,"22*",'Accounting data'!$K$2:$K$37000,"689*")</f>
        <v>0</v>
      </c>
    </row>
    <row r="1121" spans="1:5" x14ac:dyDescent="0.25">
      <c r="A1121" s="110"/>
      <c r="B1121" s="110"/>
      <c r="C1121" s="110"/>
      <c r="D1121" s="119"/>
      <c r="E1121" s="111"/>
    </row>
    <row r="1122" spans="1:5" x14ac:dyDescent="0.25">
      <c r="A1122" s="110"/>
      <c r="B1122" s="110"/>
      <c r="C1122" s="110"/>
      <c r="D1122" s="119"/>
      <c r="E1122" s="111"/>
    </row>
    <row r="1123" spans="1:5" x14ac:dyDescent="0.25">
      <c r="A1123" s="113" t="s">
        <v>1082</v>
      </c>
      <c r="B1123" s="113"/>
      <c r="C1123" s="113"/>
      <c r="D1123" s="113"/>
      <c r="E1123" s="115">
        <f>(E1117-E1118-E1119)+(E1120+E1121+E1122)</f>
        <v>0</v>
      </c>
    </row>
    <row r="1124" spans="1:5" x14ac:dyDescent="0.25">
      <c r="A1124" s="110" t="s">
        <v>990</v>
      </c>
      <c r="B1124" s="110" t="s">
        <v>990</v>
      </c>
      <c r="C1124" s="110">
        <v>2300</v>
      </c>
      <c r="D1124" s="119">
        <v>6890</v>
      </c>
      <c r="E1124" s="111">
        <f>SUMIFS('Accounting data'!$G$2:$G$37000,'Accounting data'!$J$2:$J$37000,"23*",'Accounting data'!$K$2:$K$37000,"689*")</f>
        <v>0</v>
      </c>
    </row>
    <row r="1125" spans="1:5" x14ac:dyDescent="0.25">
      <c r="A1125" s="110" t="s">
        <v>991</v>
      </c>
      <c r="B1125" s="110" t="s">
        <v>990</v>
      </c>
      <c r="C1125" s="110">
        <v>2300</v>
      </c>
      <c r="D1125" s="119">
        <v>6890</v>
      </c>
      <c r="E1125" s="111">
        <f>SUMIFS('Accounting data'!$G$2:$G$37000,'Accounting data'!$H$2:$H$37000,"9999*",'Accounting data'!$J$2:$J$37000,"23*",'Accounting data'!$K$2:$K$37000,"689*")</f>
        <v>0</v>
      </c>
    </row>
    <row r="1126" spans="1:5" x14ac:dyDescent="0.25">
      <c r="A1126" s="110" t="s">
        <v>990</v>
      </c>
      <c r="B1126" s="110" t="s">
        <v>992</v>
      </c>
      <c r="C1126" s="110">
        <v>2300</v>
      </c>
      <c r="D1126" s="119">
        <v>6890</v>
      </c>
      <c r="E1126" s="111">
        <f>SUMIFS('Accounting data'!$G$2:$G$37000,'Accounting data'!$I$2:$I$37000,"7*",'Accounting data'!$J$2:$J$37000,"23*",'Accounting data'!$K$2:$K$37000,"689*")+SUMIFS('Accounting data'!$G$2:$G$37000,'Accounting data'!$I$2:$I$37000,"8*",'Accounting data'!$J$2:$J$37000,"23*",'Accounting data'!$K$2:$K$37000,"689*")+SUMIFS('Accounting data'!$G$2:$G$37000,'Accounting data'!$I$2:$I$37000,"9*",'Accounting data'!$J$2:$J$37000,"23*",'Accounting data'!$K$2:$K$37000,"689*")</f>
        <v>0</v>
      </c>
    </row>
    <row r="1127" spans="1:5" x14ac:dyDescent="0.25">
      <c r="A1127" s="112" t="s">
        <v>991</v>
      </c>
      <c r="B1127" s="110" t="s">
        <v>992</v>
      </c>
      <c r="C1127" s="110">
        <v>2300</v>
      </c>
      <c r="D1127" s="119">
        <v>6890</v>
      </c>
      <c r="E1127" s="111">
        <f>SUMIFS('Accounting data'!$G$2:$G$37000,'Accounting data'!$H$2:$H$37000,"9999*",'Accounting data'!$I$2:$I$37000,"7*",'Accounting data'!$J$2:$J$37000,"23*",'Accounting data'!$K$2:$K$37000,"689*")+SUMIFS('Accounting data'!$G$2:$G$37000,'Accounting data'!$H$2:$H$37000,"9999*",'Accounting data'!$I$2:$I$37000,"8*",'Accounting data'!$J$2:$J$37000,"23*",'Accounting data'!$K$2:$K$37000,"689*")+SUMIFS('Accounting data'!$G$2:$G$37000,'Accounting data'!$H$2:$H$37000,"9999*",'Accounting data'!$I$2:$I$37000,"9*",'Accounting data'!$J$2:$J$37000,"23*",'Accounting data'!$K$2:$K$37000,"689*")</f>
        <v>0</v>
      </c>
    </row>
    <row r="1130" spans="1:5" x14ac:dyDescent="0.25">
      <c r="A1130" s="113" t="s">
        <v>1083</v>
      </c>
      <c r="B1130" s="113"/>
      <c r="C1130" s="113"/>
      <c r="D1130" s="113"/>
      <c r="E1130" s="115">
        <f>(E1124-E1125-E1126)+(E1127+E1128+E1129)</f>
        <v>0</v>
      </c>
    </row>
    <row r="1131" spans="1:5" x14ac:dyDescent="0.25">
      <c r="A1131" s="110" t="s">
        <v>990</v>
      </c>
      <c r="B1131" s="110" t="s">
        <v>990</v>
      </c>
      <c r="C1131" s="110">
        <v>2400</v>
      </c>
      <c r="D1131" s="119">
        <v>6890</v>
      </c>
      <c r="E1131" s="111">
        <f>SUMIFS('Accounting data'!$G$2:$G$37000,'Accounting data'!$J$2:$J$37000,"24*",'Accounting data'!$K$2:$K$37000,"689*")</f>
        <v>0</v>
      </c>
    </row>
    <row r="1132" spans="1:5" x14ac:dyDescent="0.25">
      <c r="A1132" s="110" t="s">
        <v>991</v>
      </c>
      <c r="B1132" s="110" t="s">
        <v>990</v>
      </c>
      <c r="C1132" s="110">
        <v>2400</v>
      </c>
      <c r="D1132" s="119">
        <v>6890</v>
      </c>
      <c r="E1132" s="111">
        <f>SUMIFS('Accounting data'!$G$2:$G$37000,'Accounting data'!$H$2:$H$37000,"9999*",'Accounting data'!$J$2:$J$37000,"24*",'Accounting data'!$K$2:$K$37000,"689*")</f>
        <v>0</v>
      </c>
    </row>
    <row r="1133" spans="1:5" x14ac:dyDescent="0.25">
      <c r="A1133" s="110" t="s">
        <v>990</v>
      </c>
      <c r="B1133" s="110" t="s">
        <v>992</v>
      </c>
      <c r="C1133" s="110">
        <v>2400</v>
      </c>
      <c r="D1133" s="119">
        <v>6890</v>
      </c>
      <c r="E1133" s="111">
        <f>SUMIFS('Accounting data'!$G$2:$G$37000,'Accounting data'!$I$2:$I$37000,"7*",'Accounting data'!$J$2:$J$37000,"24*",'Accounting data'!$K$2:$K$37000,"689*")+SUMIFS('Accounting data'!$G$2:$G$37000,'Accounting data'!$I$2:$I$37000,"8*",'Accounting data'!$J$2:$J$37000,"24*",'Accounting data'!$K$2:$K$37000,"689*")+SUMIFS('Accounting data'!$G$2:$G$37000,'Accounting data'!$I$2:$I$37000,"9*",'Accounting data'!$J$2:$J$37000,"24*",'Accounting data'!$K$2:$K$37000,"689*")</f>
        <v>0</v>
      </c>
    </row>
    <row r="1134" spans="1:5" x14ac:dyDescent="0.25">
      <c r="A1134" s="112" t="s">
        <v>991</v>
      </c>
      <c r="B1134" s="110" t="s">
        <v>992</v>
      </c>
      <c r="C1134" s="110">
        <v>2400</v>
      </c>
      <c r="D1134" s="119">
        <v>6890</v>
      </c>
      <c r="E1134" s="111">
        <f>SUMIFS('Accounting data'!$G$2:$G$37000,'Accounting data'!$H$2:$H$37000,"9999*",'Accounting data'!$I$2:$I$37000,"7*",'Accounting data'!$J$2:$J$37000,"24*",'Accounting data'!$K$2:$K$37000,"689*")+SUMIFS('Accounting data'!$G$2:$G$37000,'Accounting data'!$H$2:$H$37000,"9999*",'Accounting data'!$I$2:$I$37000,"8*",'Accounting data'!$J$2:$J$37000,"24*",'Accounting data'!$K$2:$K$37000,"689*")+SUMIFS('Accounting data'!$G$2:$G$37000,'Accounting data'!$H$2:$H$37000,"9999*",'Accounting data'!$I$2:$I$37000,"9*",'Accounting data'!$J$2:$J$37000,"24*",'Accounting data'!$K$2:$K$37000,"689*")</f>
        <v>0</v>
      </c>
    </row>
    <row r="1135" spans="1:5" x14ac:dyDescent="0.25">
      <c r="A1135" s="110"/>
      <c r="B1135" s="110"/>
      <c r="C1135" s="110"/>
      <c r="D1135" s="119"/>
      <c r="E1135" s="111"/>
    </row>
    <row r="1136" spans="1:5" x14ac:dyDescent="0.25">
      <c r="A1136" s="110"/>
      <c r="B1136" s="110"/>
      <c r="C1136" s="110"/>
      <c r="D1136" s="119"/>
      <c r="E1136" s="111"/>
    </row>
    <row r="1137" spans="1:5" x14ac:dyDescent="0.25">
      <c r="A1137" s="113" t="s">
        <v>1084</v>
      </c>
      <c r="B1137" s="113"/>
      <c r="C1137" s="113"/>
      <c r="D1137" s="113"/>
      <c r="E1137" s="115">
        <f>(E1131-E1132-E1133)+(E1134+E1135+E1136)</f>
        <v>0</v>
      </c>
    </row>
    <row r="1138" spans="1:5" x14ac:dyDescent="0.25">
      <c r="A1138" s="110" t="s">
        <v>990</v>
      </c>
      <c r="B1138" s="110" t="s">
        <v>990</v>
      </c>
      <c r="C1138" s="110">
        <v>2500</v>
      </c>
      <c r="D1138" s="119">
        <v>6890</v>
      </c>
      <c r="E1138" s="111">
        <f>SUMIFS('Accounting data'!$G$2:$G$37000,'Accounting data'!$J$2:$J$37000,"25*",'Accounting data'!$K$2:$K$37000,"689*")</f>
        <v>0</v>
      </c>
    </row>
    <row r="1139" spans="1:5" x14ac:dyDescent="0.25">
      <c r="A1139" s="110" t="s">
        <v>991</v>
      </c>
      <c r="B1139" s="110" t="s">
        <v>990</v>
      </c>
      <c r="C1139" s="110">
        <v>2500</v>
      </c>
      <c r="D1139" s="119">
        <v>6890</v>
      </c>
      <c r="E1139" s="111">
        <f>SUMIFS('Accounting data'!$G$2:$G$37000,'Accounting data'!$H$2:$H$37000,"9999*",'Accounting data'!$J$2:$J$37000,"25*",'Accounting data'!$K$2:$K$37000,"689*")</f>
        <v>0</v>
      </c>
    </row>
    <row r="1140" spans="1:5" x14ac:dyDescent="0.25">
      <c r="A1140" s="110" t="s">
        <v>990</v>
      </c>
      <c r="B1140" s="110" t="s">
        <v>992</v>
      </c>
      <c r="C1140" s="110">
        <v>2500</v>
      </c>
      <c r="D1140" s="119">
        <v>6890</v>
      </c>
      <c r="E1140" s="111">
        <f>SUMIFS('Accounting data'!$G$2:$G$37000,'Accounting data'!$I$2:$I$37000,"7*",'Accounting data'!$J$2:$J$37000,"25*",'Accounting data'!$K$2:$K$37000,"689*")+SUMIFS('Accounting data'!$G$2:$G$37000,'Accounting data'!$I$2:$I$37000,"8*",'Accounting data'!$J$2:$J$37000,"25*",'Accounting data'!$K$2:$K$37000,"689*")+SUMIFS('Accounting data'!$G$2:$G$37000,'Accounting data'!$I$2:$I$37000,"9*",'Accounting data'!$J$2:$J$37000,"25*",'Accounting data'!$K$2:$K$37000,"689*")</f>
        <v>0</v>
      </c>
    </row>
    <row r="1141" spans="1:5" x14ac:dyDescent="0.25">
      <c r="A1141" s="112" t="s">
        <v>991</v>
      </c>
      <c r="B1141" s="110" t="s">
        <v>992</v>
      </c>
      <c r="C1141" s="110">
        <v>2500</v>
      </c>
      <c r="D1141" s="119">
        <v>6890</v>
      </c>
      <c r="E1141" s="111">
        <f>SUMIFS('Accounting data'!$G$2:$G$37000,'Accounting data'!$H$2:$H$37000,"9999*",'Accounting data'!$I$2:$I$37000,"7*",'Accounting data'!$J$2:$J$37000,"25*",'Accounting data'!$K$2:$K$37000,"689*")+SUMIFS('Accounting data'!$G$2:$G$37000,'Accounting data'!$H$2:$H$37000,"9999*",'Accounting data'!$I$2:$I$37000,"8*",'Accounting data'!$J$2:$J$37000,"25*",'Accounting data'!$K$2:$K$37000,"689*")+SUMIFS('Accounting data'!$G$2:$G$37000,'Accounting data'!$H$2:$H$37000,"9999*",'Accounting data'!$I$2:$I$37000,"9*",'Accounting data'!$J$2:$J$37000,"25*",'Accounting data'!$K$2:$K$37000,"689*")</f>
        <v>0</v>
      </c>
    </row>
    <row r="1142" spans="1:5" x14ac:dyDescent="0.25">
      <c r="A1142" s="110"/>
      <c r="B1142" s="110"/>
      <c r="C1142" s="110"/>
      <c r="D1142" s="119"/>
      <c r="E1142" s="111"/>
    </row>
    <row r="1143" spans="1:5" x14ac:dyDescent="0.25">
      <c r="A1143" s="110"/>
      <c r="B1143" s="110"/>
      <c r="C1143" s="110"/>
      <c r="D1143" s="119"/>
      <c r="E1143" s="111"/>
    </row>
    <row r="1144" spans="1:5" x14ac:dyDescent="0.25">
      <c r="A1144" s="113" t="s">
        <v>1085</v>
      </c>
      <c r="B1144" s="113"/>
      <c r="C1144" s="113"/>
      <c r="D1144" s="113"/>
      <c r="E1144" s="115">
        <f>(E1138-E1139-E1140)+(E1141+E1142+E1143)</f>
        <v>0</v>
      </c>
    </row>
    <row r="1145" spans="1:5" x14ac:dyDescent="0.25">
      <c r="A1145" s="110" t="s">
        <v>990</v>
      </c>
      <c r="B1145" s="110" t="s">
        <v>990</v>
      </c>
      <c r="C1145" s="110">
        <v>2900</v>
      </c>
      <c r="D1145" s="119">
        <v>6890</v>
      </c>
      <c r="E1145" s="111">
        <f>SUMIFS('Accounting data'!$G$2:$G$37000,'Accounting data'!$J$2:$J$37000,"29*",'Accounting data'!$K$2:$K$37000,"689*")</f>
        <v>0</v>
      </c>
    </row>
    <row r="1146" spans="1:5" x14ac:dyDescent="0.25">
      <c r="A1146" s="110" t="s">
        <v>991</v>
      </c>
      <c r="B1146" s="110" t="s">
        <v>990</v>
      </c>
      <c r="C1146" s="110">
        <v>2900</v>
      </c>
      <c r="D1146" s="119">
        <v>6890</v>
      </c>
      <c r="E1146" s="111">
        <f>SUMIFS('Accounting data'!$G$2:$G$37000,'Accounting data'!$H$2:$H$37000,"9999*",'Accounting data'!$J$2:$J$37000,"29*",'Accounting data'!$K$2:$K$37000,"689*")</f>
        <v>0</v>
      </c>
    </row>
    <row r="1147" spans="1:5" x14ac:dyDescent="0.25">
      <c r="A1147" s="110" t="s">
        <v>990</v>
      </c>
      <c r="B1147" s="110" t="s">
        <v>992</v>
      </c>
      <c r="C1147" s="110">
        <v>2900</v>
      </c>
      <c r="D1147" s="119">
        <v>6890</v>
      </c>
      <c r="E1147" s="111">
        <f>SUMIFS('Accounting data'!$G$2:$G$37000,'Accounting data'!$I$2:$I$37000,"7*",'Accounting data'!$J$2:$J$37000,"29*",'Accounting data'!$K$2:$K$37000,"689*")+SUMIFS('Accounting data'!$G$2:$G$37000,'Accounting data'!$I$2:$I$37000,"8*",'Accounting data'!$J$2:$J$37000,"29*",'Accounting data'!$K$2:$K$37000,"689*")+SUMIFS('Accounting data'!$G$2:$G$37000,'Accounting data'!$I$2:$I$37000,"9*",'Accounting data'!$J$2:$J$37000,"29*",'Accounting data'!$K$2:$K$37000,"689*")</f>
        <v>0</v>
      </c>
    </row>
    <row r="1148" spans="1:5" x14ac:dyDescent="0.25">
      <c r="A1148" s="112" t="s">
        <v>991</v>
      </c>
      <c r="B1148" s="110" t="s">
        <v>992</v>
      </c>
      <c r="C1148" s="110">
        <v>2900</v>
      </c>
      <c r="D1148" s="119">
        <v>6890</v>
      </c>
      <c r="E1148" s="111">
        <f>SUMIFS('Accounting data'!$G$2:$G$37000,'Accounting data'!$H$2:$H$37000,"9999*",'Accounting data'!$I$2:$I$37000,"7*",'Accounting data'!$J$2:$J$37000,"29*",'Accounting data'!$K$2:$K$37000,"689*")+SUMIFS('Accounting data'!$G$2:$G$37000,'Accounting data'!$H$2:$H$37000,"9999*",'Accounting data'!$I$2:$I$37000,"8*",'Accounting data'!$J$2:$J$37000,"29*",'Accounting data'!$K$2:$K$37000,"689*")+SUMIFS('Accounting data'!$G$2:$G$37000,'Accounting data'!$H$2:$H$37000,"9999*",'Accounting data'!$I$2:$I$37000,"9*",'Accounting data'!$J$2:$J$37000,"29*",'Accounting data'!$K$2:$K$37000,"689*")</f>
        <v>0</v>
      </c>
    </row>
    <row r="1149" spans="1:5" x14ac:dyDescent="0.25">
      <c r="A1149" s="110"/>
      <c r="B1149" s="110"/>
      <c r="C1149" s="110"/>
      <c r="D1149" s="119"/>
      <c r="E1149" s="111"/>
    </row>
    <row r="1150" spans="1:5" x14ac:dyDescent="0.25">
      <c r="A1150" s="110"/>
      <c r="B1150" s="110"/>
      <c r="C1150" s="110"/>
      <c r="D1150" s="119"/>
      <c r="E1150" s="111"/>
    </row>
    <row r="1151" spans="1:5" x14ac:dyDescent="0.25">
      <c r="A1151" s="113" t="s">
        <v>1086</v>
      </c>
      <c r="B1151" s="113"/>
      <c r="C1151" s="113"/>
      <c r="D1151" s="113"/>
      <c r="E1151" s="115">
        <f>(E1145-E1146-E1147)+(E1148+E1149+E1150)</f>
        <v>0</v>
      </c>
    </row>
    <row r="1152" spans="1:5" x14ac:dyDescent="0.25">
      <c r="A1152" s="110" t="s">
        <v>990</v>
      </c>
      <c r="B1152" s="110" t="s">
        <v>990</v>
      </c>
      <c r="C1152" s="110">
        <v>2600</v>
      </c>
      <c r="D1152" s="119">
        <v>6890</v>
      </c>
      <c r="E1152" s="111">
        <f>SUMIFS('Accounting data'!$G$2:$G$37000,'Accounting data'!$J$2:$J$37000,"26*",'Accounting data'!$K$2:$K$37000,"689*")</f>
        <v>0</v>
      </c>
    </row>
    <row r="1153" spans="1:5" x14ac:dyDescent="0.25">
      <c r="A1153" s="110" t="s">
        <v>991</v>
      </c>
      <c r="B1153" s="110" t="s">
        <v>990</v>
      </c>
      <c r="C1153" s="110">
        <v>2600</v>
      </c>
      <c r="D1153" s="119">
        <v>6890</v>
      </c>
      <c r="E1153" s="111">
        <f>SUMIFS('Accounting data'!$G$2:$G$37000,'Accounting data'!$H$2:$H$37000,"9999*",'Accounting data'!$J$2:$J$37000,"26*",'Accounting data'!$K$2:$K$37000,"689*")</f>
        <v>0</v>
      </c>
    </row>
    <row r="1154" spans="1:5" x14ac:dyDescent="0.25">
      <c r="A1154" s="110" t="s">
        <v>990</v>
      </c>
      <c r="B1154" s="110" t="s">
        <v>992</v>
      </c>
      <c r="C1154" s="110">
        <v>2600</v>
      </c>
      <c r="D1154" s="119">
        <v>6890</v>
      </c>
      <c r="E1154" s="111">
        <f>SUMIFS('Accounting data'!$G$2:$G$37000,'Accounting data'!$I$2:$I$37000,"7*",'Accounting data'!$J$2:$J$37000,"26*",'Accounting data'!$K$2:$K$37000,"689*")+SUMIFS('Accounting data'!$G$2:$G$37000,'Accounting data'!$I$2:$I$37000,"8*",'Accounting data'!$J$2:$J$37000,"26*",'Accounting data'!$K$2:$K$37000,"689*")+SUMIFS('Accounting data'!$G$2:$G$37000,'Accounting data'!$I$2:$I$37000,"9*",'Accounting data'!$J$2:$J$37000,"26*",'Accounting data'!$K$2:$K$37000,"689*")</f>
        <v>0</v>
      </c>
    </row>
    <row r="1155" spans="1:5" x14ac:dyDescent="0.25">
      <c r="A1155" s="112" t="s">
        <v>991</v>
      </c>
      <c r="B1155" s="110" t="s">
        <v>992</v>
      </c>
      <c r="C1155" s="110">
        <v>2600</v>
      </c>
      <c r="D1155" s="119">
        <v>6890</v>
      </c>
      <c r="E1155" s="111">
        <f>SUMIFS('Accounting data'!$G$2:$G$37000,'Accounting data'!$H$2:$H$37000,"9999*",'Accounting data'!$I$2:$I$37000,"7*",'Accounting data'!$J$2:$J$37000,"26*",'Accounting data'!$K$2:$K$37000,"689*")+SUMIFS('Accounting data'!$G$2:$G$37000,'Accounting data'!$H$2:$H$37000,"9999*",'Accounting data'!$I$2:$I$37000,"8*",'Accounting data'!$J$2:$J$37000,"26*",'Accounting data'!$K$2:$K$37000,"689*")+SUMIFS('Accounting data'!$G$2:$G$37000,'Accounting data'!$H$2:$H$37000,"9999*",'Accounting data'!$I$2:$I$37000,"9*",'Accounting data'!$J$2:$J$37000,"26*",'Accounting data'!$K$2:$K$37000,"689*")</f>
        <v>0</v>
      </c>
    </row>
    <row r="1156" spans="1:5" x14ac:dyDescent="0.25">
      <c r="A1156" s="110"/>
      <c r="B1156" s="110"/>
      <c r="C1156" s="110"/>
      <c r="D1156" s="119"/>
      <c r="E1156" s="111"/>
    </row>
    <row r="1157" spans="1:5" x14ac:dyDescent="0.25">
      <c r="A1157" s="110"/>
      <c r="B1157" s="110"/>
      <c r="C1157" s="110"/>
      <c r="D1157" s="119"/>
      <c r="E1157" s="111"/>
    </row>
    <row r="1158" spans="1:5" x14ac:dyDescent="0.25">
      <c r="A1158" s="113" t="s">
        <v>1087</v>
      </c>
      <c r="B1158" s="113"/>
      <c r="C1158" s="113"/>
      <c r="D1158" s="113"/>
      <c r="E1158" s="115">
        <f>(E1152-E1153-E1154)+(E1155+E1156+E1157)</f>
        <v>0</v>
      </c>
    </row>
    <row r="1159" spans="1:5" x14ac:dyDescent="0.25">
      <c r="A1159" s="110" t="s">
        <v>990</v>
      </c>
      <c r="B1159" s="110" t="s">
        <v>990</v>
      </c>
      <c r="C1159" s="110">
        <v>2700</v>
      </c>
      <c r="D1159" s="119">
        <v>6890</v>
      </c>
      <c r="E1159" s="111">
        <f>SUMIFS('Accounting data'!$G$2:$G$37000,'Accounting data'!$J$2:$J$37000,"27*",'Accounting data'!$K$2:$K$37000,"689*")</f>
        <v>0</v>
      </c>
    </row>
    <row r="1160" spans="1:5" x14ac:dyDescent="0.25">
      <c r="A1160" s="110" t="s">
        <v>991</v>
      </c>
      <c r="B1160" s="110" t="s">
        <v>990</v>
      </c>
      <c r="C1160" s="110">
        <v>2700</v>
      </c>
      <c r="D1160" s="119">
        <v>6890</v>
      </c>
      <c r="E1160" s="111">
        <f>SUMIFS('Accounting data'!$G$2:$G$37000,'Accounting data'!$H$2:$H$37000,"9999*",'Accounting data'!$J$2:$J$37000,"27*",'Accounting data'!$K$2:$K$37000,"689*")</f>
        <v>0</v>
      </c>
    </row>
    <row r="1161" spans="1:5" x14ac:dyDescent="0.25">
      <c r="A1161" s="110" t="s">
        <v>990</v>
      </c>
      <c r="B1161" s="110" t="s">
        <v>992</v>
      </c>
      <c r="C1161" s="110">
        <v>2700</v>
      </c>
      <c r="D1161" s="119">
        <v>6890</v>
      </c>
      <c r="E1161" s="111">
        <f>SUMIFS('Accounting data'!$G$2:$G$37000,'Accounting data'!$I$2:$I$37000,"7*",'Accounting data'!$J$2:$J$37000,"27*",'Accounting data'!$K$2:$K$37000,"689*")+SUMIFS('Accounting data'!$G$2:$G$37000,'Accounting data'!$I$2:$I$37000,"8*",'Accounting data'!$J$2:$J$37000,"27*",'Accounting data'!$K$2:$K$37000,"689*")+SUMIFS('Accounting data'!$G$2:$G$37000,'Accounting data'!$I$2:$I$37000,"9*",'Accounting data'!$J$2:$J$37000,"27*",'Accounting data'!$K$2:$K$37000,"689*")</f>
        <v>0</v>
      </c>
    </row>
    <row r="1162" spans="1:5" x14ac:dyDescent="0.25">
      <c r="A1162" s="112" t="s">
        <v>991</v>
      </c>
      <c r="B1162" s="110" t="s">
        <v>992</v>
      </c>
      <c r="C1162" s="110">
        <v>2700</v>
      </c>
      <c r="D1162" s="119">
        <v>6890</v>
      </c>
      <c r="E1162" s="111">
        <f>SUMIFS('Accounting data'!$G$2:$G$37000,'Accounting data'!$H$2:$H$37000,"9999*",'Accounting data'!$I$2:$I$37000,"7*",'Accounting data'!$J$2:$J$37000,"27*",'Accounting data'!$K$2:$K$37000,"689*")+SUMIFS('Accounting data'!$G$2:$G$37000,'Accounting data'!$H$2:$H$37000,"9999*",'Accounting data'!$I$2:$I$37000,"8*",'Accounting data'!$J$2:$J$37000,"27*",'Accounting data'!$K$2:$K$37000,"689*")+SUMIFS('Accounting data'!$G$2:$G$37000,'Accounting data'!$H$2:$H$37000,"9999*",'Accounting data'!$I$2:$I$37000,"9*",'Accounting data'!$J$2:$J$37000,"27*",'Accounting data'!$K$2:$K$37000,"689*")</f>
        <v>0</v>
      </c>
    </row>
    <row r="1163" spans="1:5" x14ac:dyDescent="0.25">
      <c r="A1163" s="110"/>
      <c r="B1163" s="110"/>
      <c r="C1163" s="110"/>
      <c r="D1163" s="119"/>
      <c r="E1163" s="111"/>
    </row>
    <row r="1164" spans="1:5" x14ac:dyDescent="0.25">
      <c r="A1164" s="110"/>
      <c r="B1164" s="110"/>
      <c r="C1164" s="110"/>
      <c r="D1164" s="119"/>
      <c r="E1164" s="111"/>
    </row>
    <row r="1165" spans="1:5" x14ac:dyDescent="0.25">
      <c r="A1165" s="113" t="s">
        <v>1088</v>
      </c>
      <c r="B1165" s="113"/>
      <c r="C1165" s="113"/>
      <c r="D1165" s="113"/>
      <c r="E1165" s="115">
        <f>(E1159-E1160-E1161)+(E1162+E1163+E1164)</f>
        <v>0</v>
      </c>
    </row>
    <row r="1166" spans="1:5" x14ac:dyDescent="0.25">
      <c r="A1166" s="110" t="s">
        <v>990</v>
      </c>
      <c r="B1166" s="110" t="s">
        <v>990</v>
      </c>
      <c r="C1166" s="110">
        <v>3100</v>
      </c>
      <c r="D1166" s="119">
        <v>6890</v>
      </c>
      <c r="E1166" s="111">
        <f>SUMIFS('Accounting data'!$G$2:$G$37000,'Accounting data'!$J$2:$J$37000,"31*",'Accounting data'!$K$2:$K$37000,"689*")</f>
        <v>0</v>
      </c>
    </row>
    <row r="1167" spans="1:5" x14ac:dyDescent="0.25">
      <c r="A1167" s="110" t="s">
        <v>991</v>
      </c>
      <c r="B1167" s="110" t="s">
        <v>990</v>
      </c>
      <c r="C1167" s="110">
        <v>3100</v>
      </c>
      <c r="D1167" s="119">
        <v>6890</v>
      </c>
      <c r="E1167" s="111">
        <f>SUMIFS('Accounting data'!$G$2:$G$37000,'Accounting data'!$H$2:$H$37000,"9999*",'Accounting data'!$J$2:$J$37000,"31*",'Accounting data'!$K$2:$K$37000,"689*")</f>
        <v>0</v>
      </c>
    </row>
    <row r="1168" spans="1:5" x14ac:dyDescent="0.25">
      <c r="A1168" s="110" t="s">
        <v>990</v>
      </c>
      <c r="B1168" s="110" t="s">
        <v>992</v>
      </c>
      <c r="C1168" s="110">
        <v>3100</v>
      </c>
      <c r="D1168" s="119">
        <v>6890</v>
      </c>
      <c r="E1168" s="111">
        <f>SUMIFS('Accounting data'!$G$2:$G$37000,'Accounting data'!$I$2:$I$37000,"7*",'Accounting data'!$J$2:$J$37000,"31*",'Accounting data'!$K$2:$K$37000,"689*")+SUMIFS('Accounting data'!$G$2:$G$37000,'Accounting data'!$I$2:$I$37000,"8*",'Accounting data'!$J$2:$J$37000,"31*",'Accounting data'!$K$2:$K$37000,"689*")+SUMIFS('Accounting data'!$G$2:$G$37000,'Accounting data'!$I$2:$I$37000,"9*",'Accounting data'!$J$2:$J$37000,"31*",'Accounting data'!$K$2:$K$37000,"689*")</f>
        <v>0</v>
      </c>
    </row>
    <row r="1169" spans="1:5" x14ac:dyDescent="0.25">
      <c r="A1169" s="112" t="s">
        <v>991</v>
      </c>
      <c r="B1169" s="110" t="s">
        <v>992</v>
      </c>
      <c r="C1169" s="110">
        <v>3100</v>
      </c>
      <c r="D1169" s="119">
        <v>6890</v>
      </c>
      <c r="E1169" s="111">
        <f>SUMIFS('Accounting data'!$G$2:$G$37000,'Accounting data'!$H$2:$H$37000,"9999*",'Accounting data'!$I$2:$I$37000,"7*",'Accounting data'!$J$2:$J$37000,"31*",'Accounting data'!$K$2:$K$37000,"689*")+SUMIFS('Accounting data'!$G$2:$G$37000,'Accounting data'!$H$2:$H$37000,"9999*",'Accounting data'!$I$2:$I$37000,"8*",'Accounting data'!$J$2:$J$37000,"31*",'Accounting data'!$K$2:$K$37000,"689*")+SUMIFS('Accounting data'!$G$2:$G$37000,'Accounting data'!$H$2:$H$37000,"9999*",'Accounting data'!$I$2:$I$37000,"9*",'Accounting data'!$J$2:$J$37000,"31*",'Accounting data'!$K$2:$K$37000,"689*")</f>
        <v>0</v>
      </c>
    </row>
    <row r="1170" spans="1:5" x14ac:dyDescent="0.25">
      <c r="A1170" s="110"/>
      <c r="B1170" s="110"/>
      <c r="C1170" s="110"/>
      <c r="D1170" s="119"/>
      <c r="E1170" s="111"/>
    </row>
    <row r="1171" spans="1:5" x14ac:dyDescent="0.25">
      <c r="A1171" s="110"/>
      <c r="B1171" s="110"/>
      <c r="C1171" s="110"/>
      <c r="D1171" s="119"/>
      <c r="E1171" s="111"/>
    </row>
    <row r="1172" spans="1:5" x14ac:dyDescent="0.25">
      <c r="A1172" s="113" t="s">
        <v>1089</v>
      </c>
      <c r="B1172" s="113"/>
      <c r="C1172" s="113"/>
      <c r="D1172" s="113"/>
      <c r="E1172" s="115">
        <f>(E1166-E1167-E1168)+(E1169+E1170+E1171)</f>
        <v>0</v>
      </c>
    </row>
    <row r="1179" spans="1:5" x14ac:dyDescent="0.25">
      <c r="A1179" s="113" t="s">
        <v>1090</v>
      </c>
      <c r="B1179" s="113"/>
      <c r="C1179" s="113"/>
      <c r="D1179" s="113"/>
      <c r="E1179" s="115">
        <f>(E1173-E1174-E1175)+(E1176+E1177+E1178)</f>
        <v>0</v>
      </c>
    </row>
    <row r="1180" spans="1:5" x14ac:dyDescent="0.25">
      <c r="A1180" s="110" t="s">
        <v>990</v>
      </c>
      <c r="B1180" s="110" t="s">
        <v>990</v>
      </c>
      <c r="C1180" s="110">
        <v>3400</v>
      </c>
      <c r="D1180" s="119">
        <v>6890</v>
      </c>
      <c r="E1180" s="111">
        <f>SUMIFS('Accounting data'!$G$2:$G$37000,'Accounting data'!$J$2:$J$37000,"34*",'Accounting data'!$K$2:$K$37000,"689*")</f>
        <v>0</v>
      </c>
    </row>
    <row r="1181" spans="1:5" x14ac:dyDescent="0.25">
      <c r="A1181" s="110" t="s">
        <v>991</v>
      </c>
      <c r="B1181" s="110" t="s">
        <v>990</v>
      </c>
      <c r="C1181" s="110">
        <v>3400</v>
      </c>
      <c r="D1181" s="119">
        <v>6890</v>
      </c>
      <c r="E1181" s="111">
        <f>SUMIFS('Accounting data'!$G$2:$G$37000,'Accounting data'!$H$2:$H$37000,"9999*",'Accounting data'!$J$2:$J$37000,"34*",'Accounting data'!$K$2:$K$37000,"689*")</f>
        <v>0</v>
      </c>
    </row>
    <row r="1182" spans="1:5" x14ac:dyDescent="0.25">
      <c r="A1182" s="110" t="s">
        <v>990</v>
      </c>
      <c r="B1182" s="110" t="s">
        <v>992</v>
      </c>
      <c r="C1182" s="110">
        <v>3400</v>
      </c>
      <c r="D1182" s="119">
        <v>6890</v>
      </c>
      <c r="E1182" s="111">
        <f>SUMIFS('Accounting data'!$G$2:$G$37000,'Accounting data'!$I$2:$I$37000,"7*",'Accounting data'!$J$2:$J$37000,"34*",'Accounting data'!$K$2:$K$37000,"689*")+SUMIFS('Accounting data'!$G$2:$G$37000,'Accounting data'!$I$2:$I$37000,"8*",'Accounting data'!$J$2:$J$37000,"34*",'Accounting data'!$K$2:$K$37000,"689*")+SUMIFS('Accounting data'!$G$2:$G$37000,'Accounting data'!$I$2:$I$37000,"9*",'Accounting data'!$J$2:$J$37000,"34*",'Accounting data'!$K$2:$K$37000,"689*")</f>
        <v>0</v>
      </c>
    </row>
    <row r="1183" spans="1:5" x14ac:dyDescent="0.25">
      <c r="A1183" s="112" t="s">
        <v>991</v>
      </c>
      <c r="B1183" s="110" t="s">
        <v>992</v>
      </c>
      <c r="C1183" s="110">
        <v>3400</v>
      </c>
      <c r="D1183" s="119">
        <v>6890</v>
      </c>
      <c r="E1183" s="111">
        <f>SUMIFS('Accounting data'!$G$2:$G$37000,'Accounting data'!$H$2:$H$37000,"9999*",'Accounting data'!$I$2:$I$37000,"7*",'Accounting data'!$J$2:$J$37000,"34*",'Accounting data'!$K$2:$K$37000,"689*")+SUMIFS('Accounting data'!$G$2:$G$37000,'Accounting data'!$H$2:$H$37000,"9999*",'Accounting data'!$I$2:$I$37000,"8*",'Accounting data'!$J$2:$J$37000,"34*",'Accounting data'!$K$2:$K$37000,"689*")+SUMIFS('Accounting data'!$G$2:$G$37000,'Accounting data'!$H$2:$H$37000,"9999*",'Accounting data'!$I$2:$I$37000,"9*",'Accounting data'!$J$2:$J$37000,"34*",'Accounting data'!$K$2:$K$37000,"689*")</f>
        <v>0</v>
      </c>
    </row>
    <row r="1184" spans="1:5" x14ac:dyDescent="0.25">
      <c r="A1184" s="110"/>
      <c r="B1184" s="110"/>
      <c r="C1184" s="110"/>
      <c r="D1184" s="119"/>
      <c r="E1184" s="111"/>
    </row>
    <row r="1185" spans="1:5" x14ac:dyDescent="0.25">
      <c r="A1185" s="110"/>
      <c r="B1185" s="110"/>
      <c r="C1185" s="110"/>
      <c r="D1185" s="119"/>
      <c r="E1185" s="111"/>
    </row>
    <row r="1186" spans="1:5" x14ac:dyDescent="0.25">
      <c r="A1186" s="113" t="s">
        <v>1091</v>
      </c>
      <c r="B1186" s="113"/>
      <c r="C1186" s="113"/>
      <c r="D1186" s="113"/>
      <c r="E1186" s="115">
        <f>(E1180-E1181-E1182)+(E1183+E1184+E1185)</f>
        <v>0</v>
      </c>
    </row>
    <row r="1187" spans="1:5" x14ac:dyDescent="0.25">
      <c r="A1187" s="110" t="s">
        <v>990</v>
      </c>
      <c r="B1187" s="110" t="s">
        <v>990</v>
      </c>
      <c r="C1187" s="110">
        <v>4000</v>
      </c>
      <c r="D1187" s="119">
        <v>6890</v>
      </c>
      <c r="E1187" s="111">
        <f>SUMIFS('Accounting data'!$G$2:$G$37000,'Accounting data'!$J$2:$J$37000,"4*",'Accounting data'!$K$2:$K$37000,"689*")</f>
        <v>0</v>
      </c>
    </row>
    <row r="1188" spans="1:5" x14ac:dyDescent="0.25">
      <c r="A1188" s="110" t="s">
        <v>991</v>
      </c>
      <c r="B1188" s="110" t="s">
        <v>990</v>
      </c>
      <c r="C1188" s="110">
        <v>4000</v>
      </c>
      <c r="D1188" s="119">
        <v>6890</v>
      </c>
      <c r="E1188" s="111">
        <f>SUMIFS('Accounting data'!$G$2:$G$37000,'Accounting data'!$H$2:$H$37000,"9999*",'Accounting data'!$J$2:$J$37000,"4*",'Accounting data'!$K$2:$K$37000,"689*")</f>
        <v>0</v>
      </c>
    </row>
    <row r="1189" spans="1:5" x14ac:dyDescent="0.25">
      <c r="A1189" s="110" t="s">
        <v>990</v>
      </c>
      <c r="B1189" s="110" t="s">
        <v>992</v>
      </c>
      <c r="C1189" s="110">
        <v>4000</v>
      </c>
      <c r="D1189" s="119">
        <v>6890</v>
      </c>
      <c r="E1189" s="111">
        <f>SUMIFS('Accounting data'!$G$2:$G$37000,'Accounting data'!$I$2:$I$37000,"7*",'Accounting data'!$J$2:$J$37000,"4*",'Accounting data'!$K$2:$K$37000,"689*")+SUMIFS('Accounting data'!$G$2:$G$37000,'Accounting data'!$I$2:$I$37000,"8*",'Accounting data'!$J$2:$J$37000,"4*",'Accounting data'!$K$2:$K$37000,"689*")+SUMIFS('Accounting data'!$G$2:$G$37000,'Accounting data'!$I$2:$I$37000,"9*",'Accounting data'!$J$2:$J$37000,"4*",'Accounting data'!$K$2:$K$37000,"689*")</f>
        <v>0</v>
      </c>
    </row>
    <row r="1190" spans="1:5" x14ac:dyDescent="0.25">
      <c r="A1190" s="112" t="s">
        <v>991</v>
      </c>
      <c r="B1190" s="110" t="s">
        <v>992</v>
      </c>
      <c r="C1190" s="110">
        <v>4000</v>
      </c>
      <c r="D1190" s="119">
        <v>6890</v>
      </c>
      <c r="E1190" s="111">
        <f>SUMIFS('Accounting data'!$G$2:$G$37000,'Accounting data'!$H$2:$H$37000,"9999*",'Accounting data'!$I$2:$I$37000,"7*",'Accounting data'!$J$2:$J$37000,"4*",'Accounting data'!$K$2:$K$37000,"689*")+SUMIFS('Accounting data'!$G$2:$G$37000,'Accounting data'!$H$2:$H$37000,"9999*",'Accounting data'!$I$2:$I$37000,"8*",'Accounting data'!$J$2:$J$37000,"4*",'Accounting data'!$K$2:$K$37000,"689*")+SUMIFS('Accounting data'!$G$2:$G$37000,'Accounting data'!$H$2:$H$37000,"9999*",'Accounting data'!$I$2:$I$37000,"9*",'Accounting data'!$J$2:$J$37000,"4*",'Accounting data'!$K$2:$K$37000,"689*")</f>
        <v>0</v>
      </c>
    </row>
    <row r="1191" spans="1:5" x14ac:dyDescent="0.25">
      <c r="A1191" s="110"/>
      <c r="B1191" s="110"/>
      <c r="C1191" s="110"/>
      <c r="D1191" s="119"/>
      <c r="E1191" s="111"/>
    </row>
    <row r="1192" spans="1:5" x14ac:dyDescent="0.25">
      <c r="A1192" s="110"/>
      <c r="B1192" s="110"/>
      <c r="C1192" s="110"/>
      <c r="D1192" s="119"/>
      <c r="E1192" s="111"/>
    </row>
    <row r="1193" spans="1:5" x14ac:dyDescent="0.25">
      <c r="A1193" s="113" t="s">
        <v>1092</v>
      </c>
      <c r="B1193" s="113"/>
      <c r="C1193" s="113"/>
      <c r="D1193" s="113"/>
      <c r="E1193" s="115">
        <f>(E1187-E1188-E1189)+(E1190+E1191+E1192)</f>
        <v>0</v>
      </c>
    </row>
    <row r="1194" spans="1:5" x14ac:dyDescent="0.25">
      <c r="A1194" s="116" t="s">
        <v>1093</v>
      </c>
      <c r="B1194" s="116"/>
      <c r="C1194" s="116"/>
      <c r="D1194" s="116"/>
      <c r="E1194" s="120">
        <f>E1109+E1116+E1123+E1130+E1137+E1144+E1151+E1158+E1165+E1172+E1179+E1186</f>
        <v>0</v>
      </c>
    </row>
    <row r="1195" spans="1:5" x14ac:dyDescent="0.25">
      <c r="A1195" s="110" t="s">
        <v>1006</v>
      </c>
      <c r="B1195" s="110" t="s">
        <v>990</v>
      </c>
      <c r="C1195" s="110">
        <v>1000</v>
      </c>
      <c r="D1195" s="110">
        <v>6890</v>
      </c>
      <c r="E1195" s="111">
        <f>SUMIFS('Accounting data'!$G$2:$G$37000,'Accounting data'!$H$2:$H$37000,"11*",'Accounting data'!$J$2:$J$37000,"1*",'Accounting data'!$K$2:$K$37000,"689*")+SUMIFS('Accounting data'!$G$2:$G$37000,'Accounting data'!$H$2:$H$37000,"12*",'Accounting data'!$J$2:$J$37000,"1*",'Accounting data'!$K$2:$K$37000,"689*")+SUMIFS('Accounting data'!$G$2:$G$37000,'Accounting data'!$H$2:$H$37000,"13*",'Accounting data'!$J$2:$J$37000,"1*",'Accounting data'!$K$2:$K$37000,"689*")</f>
        <v>0</v>
      </c>
    </row>
    <row r="1196" spans="1:5" x14ac:dyDescent="0.25">
      <c r="A1196" s="110" t="s">
        <v>1006</v>
      </c>
      <c r="B1196" s="110" t="s">
        <v>990</v>
      </c>
      <c r="C1196" s="110">
        <v>2000</v>
      </c>
      <c r="D1196" s="110">
        <v>6890</v>
      </c>
      <c r="E1196" s="111">
        <f>SUMIFS('Accounting data'!$G$2:$G$37000,'Accounting data'!$H$2:$H$37000,"11*",'Accounting data'!$J$2:$J$37000,"2*",'Accounting data'!$K$2:$K$37000,"689*")+SUMIFS('Accounting data'!$G$2:$G$37000,'Accounting data'!$H$2:$H$37000,"12*",'Accounting data'!$J$2:$J$37000,"2*",'Accounting data'!$K$2:$K$37000,"689*")+SUMIFS('Accounting data'!$G$2:$G$37000,'Accounting data'!$H$2:$H$37000,"13*",'Accounting data'!$J$2:$J$37000,"2*",'Accounting data'!$K$2:$K$37000,"689*")</f>
        <v>0</v>
      </c>
    </row>
    <row r="1197" spans="1:5" x14ac:dyDescent="0.25">
      <c r="A1197" s="110" t="s">
        <v>1006</v>
      </c>
      <c r="B1197" s="110" t="s">
        <v>990</v>
      </c>
      <c r="C1197" s="110">
        <v>3000</v>
      </c>
      <c r="D1197" s="110">
        <v>6890</v>
      </c>
      <c r="E1197" s="111">
        <f>SUMIFS('Accounting data'!$G$2:$G$37000,'Accounting data'!$H$2:$H$37000,"11*",'Accounting data'!$J$2:$J$37000,"3*",'Accounting data'!$K$2:$K$37000,"689*")+SUMIFS('Accounting data'!$G$2:$G$37000,'Accounting data'!$H$2:$H$37000,"12*",'Accounting data'!$J$2:$J$37000,"3*",'Accounting data'!$K$2:$K$37000,"689*")+SUMIFS('Accounting data'!$G$2:$G$37000,'Accounting data'!$H$2:$H$37000,"13*",'Accounting data'!$J$2:$J$37000,"3*",'Accounting data'!$K$2:$K$37000,"689*")</f>
        <v>0</v>
      </c>
    </row>
    <row r="1198" spans="1:5" x14ac:dyDescent="0.25">
      <c r="A1198" s="110" t="s">
        <v>1006</v>
      </c>
      <c r="B1198" s="112">
        <v>700</v>
      </c>
      <c r="C1198" s="110">
        <v>1000</v>
      </c>
      <c r="D1198" s="110">
        <v>6890</v>
      </c>
      <c r="E1198" s="111">
        <f>SUMIFS('Accounting data'!$G$2:$G$37000,'Accounting data'!$H$2:$H$37000,"11*",'Accounting data'!$I$2:$I$37000,"7*",'Accounting data'!$J$2:$J$37000,"1*",'Accounting data'!$K$2:$K$37000,"689*")+SUMIFS('Accounting data'!$G$2:$G$37000,'Accounting data'!$H$2:$H$37000,"12*",'Accounting data'!$I$2:$I$37000,"7*",'Accounting data'!$J$2:$J$37000,"1*",'Accounting data'!$K$2:$K$37000,"689*")+SUMIFS('Accounting data'!$G$2:$G$37000,'Accounting data'!$H$2:$H$37000,"13*",'Accounting data'!$I$2:$I$37000,"7*",'Accounting data'!$J$2:$J$37000,"1*",'Accounting data'!$K$2:$K$37000,"689*")</f>
        <v>0</v>
      </c>
    </row>
    <row r="1199" spans="1:5" x14ac:dyDescent="0.25">
      <c r="A1199" s="110" t="s">
        <v>1006</v>
      </c>
      <c r="B1199" s="112">
        <v>800</v>
      </c>
      <c r="C1199" s="110">
        <v>1000</v>
      </c>
      <c r="D1199" s="110">
        <v>6890</v>
      </c>
      <c r="E1199" s="111">
        <f>SUMIFS('Accounting data'!$G$2:$G$37000,'Accounting data'!$H$2:$H$37000,"11*",'Accounting data'!$I$2:$I$37000,"8*",'Accounting data'!$J$2:$J$37000,"1*",'Accounting data'!$K$2:$K$37000,"689*")+SUMIFS('Accounting data'!$G$2:$G$37000,'Accounting data'!$H$2:$H$37000,"12*",'Accounting data'!$I$2:$I$37000,"8*",'Accounting data'!$J$2:$J$37000,"1*",'Accounting data'!$K$2:$K$37000,"689*")+SUMIFS('Accounting data'!$G$2:$G$37000,'Accounting data'!$H$2:$H$37000,"13*",'Accounting data'!$I$2:$I$37000,"8*",'Accounting data'!$J$2:$J$37000,"1*",'Accounting data'!$K$2:$K$37000,"689*")</f>
        <v>0</v>
      </c>
    </row>
    <row r="1200" spans="1:5" x14ac:dyDescent="0.25">
      <c r="A1200" s="110" t="s">
        <v>1006</v>
      </c>
      <c r="B1200" s="112">
        <v>900</v>
      </c>
      <c r="C1200" s="110">
        <v>1000</v>
      </c>
      <c r="D1200" s="110">
        <v>6890</v>
      </c>
      <c r="E1200" s="111">
        <f>SUMIFS('Accounting data'!$G$2:$G$37000,'Accounting data'!$H$2:$H$37000,"11*",'Accounting data'!$I$2:$I$37000,"9*",'Accounting data'!$J$2:$J$37000,"1*",'Accounting data'!$K$2:$K$37000,"689*")+SUMIFS('Accounting data'!$G$2:$G$37000,'Accounting data'!$H$2:$H$37000,"12*",'Accounting data'!$I$2:$I$37000,"9*",'Accounting data'!$J$2:$J$37000,"1*",'Accounting data'!$K$2:$K$37000,"689*")+SUMIFS('Accounting data'!$G$2:$G$37000,'Accounting data'!$H$2:$H$37000,"13*",'Accounting data'!$I$2:$I$37000,"9*",'Accounting data'!$J$2:$J$37000,"1*",'Accounting data'!$K$2:$K$37000,"689*")</f>
        <v>0</v>
      </c>
    </row>
    <row r="1201" spans="1:5" x14ac:dyDescent="0.25">
      <c r="A1201" s="110" t="s">
        <v>1006</v>
      </c>
      <c r="B1201" s="112">
        <v>700</v>
      </c>
      <c r="C1201" s="110">
        <v>2000</v>
      </c>
      <c r="D1201" s="110">
        <v>6890</v>
      </c>
      <c r="E1201" s="111">
        <f>SUMIFS('Accounting data'!$G$2:$G$37000,'Accounting data'!$H$2:$H$37000,"11*",'Accounting data'!$I$2:$I$37000,"7*",'Accounting data'!$J$2:$J$37000,"2*",'Accounting data'!$K$2:$K$37000,"689*")+SUMIFS('Accounting data'!$G$2:$G$37000,'Accounting data'!$H$2:$H$37000,"12*",'Accounting data'!$I$2:$I$37000,"7*",'Accounting data'!$J$2:$J$37000,"2*",'Accounting data'!$K$2:$K$37000,"689*")+SUMIFS('Accounting data'!$G$2:$G$37000,'Accounting data'!$H$2:$H$37000,"13*",'Accounting data'!$I$2:$I$37000,"7*",'Accounting data'!$J$2:$J$37000,"2*",'Accounting data'!$K$2:$K$37000,"689*")</f>
        <v>0</v>
      </c>
    </row>
    <row r="1202" spans="1:5" x14ac:dyDescent="0.25">
      <c r="A1202" s="110" t="s">
        <v>1006</v>
      </c>
      <c r="B1202" s="112">
        <v>800</v>
      </c>
      <c r="C1202" s="110">
        <v>2000</v>
      </c>
      <c r="D1202" s="110">
        <v>6890</v>
      </c>
      <c r="E1202" s="111">
        <f>SUMIFS('Accounting data'!$G$2:$G$37000,'Accounting data'!$H$2:$H$37000,"11*",'Accounting data'!$I$2:$I$37000,"8*",'Accounting data'!$J$2:$J$37000,"2*",'Accounting data'!$K$2:$K$37000,"689*")+SUMIFS('Accounting data'!$G$2:$G$37000,'Accounting data'!$H$2:$H$37000,"12*",'Accounting data'!$I$2:$I$37000,"8*",'Accounting data'!$J$2:$J$37000,"2*",'Accounting data'!$K$2:$K$37000,"689*")+SUMIFS('Accounting data'!$G$2:$G$37000,'Accounting data'!$H$2:$H$37000,"13*",'Accounting data'!$I$2:$I$37000,"8*",'Accounting data'!$J$2:$J$37000,"2*",'Accounting data'!$K$2:$K$37000,"689*")</f>
        <v>0</v>
      </c>
    </row>
    <row r="1203" spans="1:5" x14ac:dyDescent="0.25">
      <c r="A1203" s="110" t="s">
        <v>1006</v>
      </c>
      <c r="B1203" s="112">
        <v>900</v>
      </c>
      <c r="C1203" s="110">
        <v>2000</v>
      </c>
      <c r="D1203" s="110">
        <v>6890</v>
      </c>
      <c r="E1203" s="111">
        <f>SUMIFS('Accounting data'!$G$2:$G$37000,'Accounting data'!$H$2:$H$37000,"11*",'Accounting data'!$I$2:$I$37000,"9*",'Accounting data'!$J$2:$J$37000,"2*",'Accounting data'!$K$2:$K$37000,"689*")+SUMIFS('Accounting data'!$G$2:$G$37000,'Accounting data'!$H$2:$H$37000,"12*",'Accounting data'!$I$2:$I$37000,"9*",'Accounting data'!$J$2:$J$37000,"2*",'Accounting data'!$K$2:$K$37000,"689*")+SUMIFS('Accounting data'!$G$2:$G$37000,'Accounting data'!$H$2:$H$37000,"13*",'Accounting data'!$I$2:$I$37000,"9*",'Accounting data'!$J$2:$J$37000,"2*",'Accounting data'!$K$2:$K$37000,"689*")</f>
        <v>0</v>
      </c>
    </row>
    <row r="1204" spans="1:5" x14ac:dyDescent="0.25">
      <c r="A1204" s="110" t="s">
        <v>1006</v>
      </c>
      <c r="B1204" s="112">
        <v>700</v>
      </c>
      <c r="C1204" s="110">
        <v>3000</v>
      </c>
      <c r="D1204" s="110">
        <v>6890</v>
      </c>
      <c r="E1204" s="111">
        <f>SUMIFS('Accounting data'!$G$2:$G$37000,'Accounting data'!$H$2:$H$37000,"11*",'Accounting data'!$I$2:$I$37000,"7*",'Accounting data'!$J$2:$J$37000,"3*",'Accounting data'!$K$2:$K$37000,"689*")+SUMIFS('Accounting data'!$G$2:$G$37000,'Accounting data'!$H$2:$H$37000,"12*",'Accounting data'!$I$2:$I$37000,"7*",'Accounting data'!$J$2:$J$37000,"3*",'Accounting data'!$K$2:$K$37000,"689*")+SUMIFS('Accounting data'!$G$2:$G$37000,'Accounting data'!$H$2:$H$37000,"13*",'Accounting data'!$I$2:$I$37000,"7*",'Accounting data'!$J$2:$J$37000,"3*",'Accounting data'!$K$2:$K$37000,"689*")</f>
        <v>0</v>
      </c>
    </row>
    <row r="1205" spans="1:5" x14ac:dyDescent="0.25">
      <c r="A1205" s="110" t="s">
        <v>1006</v>
      </c>
      <c r="B1205" s="112">
        <v>800</v>
      </c>
      <c r="C1205" s="110">
        <v>3000</v>
      </c>
      <c r="D1205" s="110">
        <v>6890</v>
      </c>
      <c r="E1205" s="111">
        <f>SUMIFS('Accounting data'!$G$2:$G$37000,'Accounting data'!$H$2:$H$37000,"11*",'Accounting data'!$I$2:$I$37000,"8*",'Accounting data'!$J$2:$J$37000,"3*",'Accounting data'!$K$2:$K$37000,"689*")+SUMIFS('Accounting data'!$G$2:$G$37000,'Accounting data'!$H$2:$H$37000,"12*",'Accounting data'!$I$2:$I$37000,"8*",'Accounting data'!$J$2:$J$37000,"3*",'Accounting data'!$K$2:$K$37000,"689*")+SUMIFS('Accounting data'!$G$2:$G$37000,'Accounting data'!$H$2:$H$37000,"13*",'Accounting data'!$I$2:$I$37000,"8*",'Accounting data'!$J$2:$J$37000,"3*",'Accounting data'!$K$2:$K$37000,"689*")</f>
        <v>0</v>
      </c>
    </row>
    <row r="1206" spans="1:5" x14ac:dyDescent="0.25">
      <c r="A1206" s="110" t="s">
        <v>1006</v>
      </c>
      <c r="B1206" s="112">
        <v>900</v>
      </c>
      <c r="C1206" s="110">
        <v>3000</v>
      </c>
      <c r="D1206" s="110">
        <v>6890</v>
      </c>
      <c r="E1206" s="111">
        <f>SUMIFS('Accounting data'!$G$2:$G$37000,'Accounting data'!$H$2:$H$37000,"11*",'Accounting data'!$I$2:$I$37000,"9*",'Accounting data'!$J$2:$J$37000,"3*",'Accounting data'!$K$2:$K$37000,"689*")+SUMIFS('Accounting data'!$G$2:$G$37000,'Accounting data'!$H$2:$H$37000,"12*",'Accounting data'!$I$2:$I$37000,"9*",'Accounting data'!$J$2:$J$37000,"3*",'Accounting data'!$K$2:$K$37000,"689*")+SUMIFS('Accounting data'!$G$2:$G$37000,'Accounting data'!$H$2:$H$37000,"13*",'Accounting data'!$I$2:$I$37000,"9*",'Accounting data'!$J$2:$J$37000,"3*",'Accounting data'!$K$2:$K$37000,"689*")</f>
        <v>0</v>
      </c>
    </row>
    <row r="1207" spans="1:5" x14ac:dyDescent="0.25">
      <c r="A1207" s="113" t="s">
        <v>1094</v>
      </c>
      <c r="B1207" s="113"/>
      <c r="C1207" s="113"/>
      <c r="D1207" s="113"/>
      <c r="E1207" s="115">
        <f>(E1195+E1196+E1197)-(E1198+E1199+E1200+E1201+E1202+E1203+E1204+E1205+E1206)</f>
        <v>0</v>
      </c>
    </row>
    <row r="1208" spans="1:5" x14ac:dyDescent="0.25">
      <c r="A1208" s="110" t="s">
        <v>990</v>
      </c>
      <c r="B1208" s="110" t="s">
        <v>992</v>
      </c>
      <c r="C1208" s="110">
        <v>1000</v>
      </c>
      <c r="D1208" s="110">
        <v>6000</v>
      </c>
      <c r="E1208" s="111">
        <f>SUMIFS('Accounting data'!$G$2:$G$37000,'Accounting data'!$I$2:$I$37000,"7*",'Accounting data'!$J$2:$J$37000,"1*",'Accounting data'!$K$2:$K$37000,"6*")+SUMIFS('Accounting data'!$G$2:$G$37000,'Accounting data'!$I$2:$I$37000,"8*",'Accounting data'!$J$2:$J$37000,"1*",'Accounting data'!$K$2:$K$37000,"6*")+SUMIFS('Accounting data'!$G$2:$G$37000,'Accounting data'!$I$2:$I$37000,"9*",'Accounting data'!$J$2:$J$37000,"1*",'Accounting data'!$K$2:$K$37000,"6*")</f>
        <v>0</v>
      </c>
    </row>
    <row r="1209" spans="1:5" x14ac:dyDescent="0.25">
      <c r="A1209" s="110" t="s">
        <v>990</v>
      </c>
      <c r="B1209" s="110" t="s">
        <v>992</v>
      </c>
      <c r="C1209" s="110">
        <v>1000</v>
      </c>
      <c r="D1209" s="110">
        <v>6900</v>
      </c>
      <c r="E1209" s="111">
        <f>SUMIFS('Accounting data'!$G$2:$G$37000,'Accounting data'!$I$2:$I$37000,"7*",'Accounting data'!$J$2:$J$37000,"1*",'Accounting data'!$K$2:$K$37000,"69*")+SUMIFS('Accounting data'!$G$2:$G$37000,'Accounting data'!$I$2:$I$37000,"8*",'Accounting data'!$J$2:$J$37000,"1*",'Accounting data'!$K$2:$K$37000,"69*")+SUMIFS('Accounting data'!$G$2:$G$37000,'Accounting data'!$I$2:$I$37000,"9*",'Accounting data'!$J$2:$J$37000,"1*",'Accounting data'!$K$2:$K$37000,"69*")</f>
        <v>0</v>
      </c>
    </row>
    <row r="1210" spans="1:5" x14ac:dyDescent="0.25">
      <c r="A1210" s="110" t="s">
        <v>990</v>
      </c>
      <c r="B1210" s="110" t="s">
        <v>992</v>
      </c>
      <c r="C1210" s="110">
        <v>1000</v>
      </c>
      <c r="D1210" s="119">
        <v>6700</v>
      </c>
      <c r="E1210" s="111">
        <f>SUMIFS('Accounting data'!$G$2:$G$37000,'Accounting data'!$I$2:$I$37000,"7*",'Accounting data'!$J$2:$J$37000,"1*",'Accounting data'!$K$2:$K$37000,"67*")+SUMIFS('Accounting data'!$G$2:$G$37000,'Accounting data'!$I$2:$I$37000,"8*",'Accounting data'!$J$2:$J$37000,"1*",'Accounting data'!$K$2:$K$37000,"67*")+SUMIFS('Accounting data'!$G$2:$G$37000,'Accounting data'!$I$2:$I$37000,"9*",'Accounting data'!$J$2:$J$37000,"1*",'Accounting data'!$K$2:$K$37000,"67*")</f>
        <v>0</v>
      </c>
    </row>
    <row r="1211" spans="1:5" x14ac:dyDescent="0.25">
      <c r="A1211" s="112" t="s">
        <v>991</v>
      </c>
      <c r="B1211" s="110" t="s">
        <v>992</v>
      </c>
      <c r="C1211" s="110">
        <v>1000</v>
      </c>
      <c r="D1211" s="110">
        <v>6000</v>
      </c>
      <c r="E1211" s="111">
        <f>SUMIFS('Accounting data'!$G$2:$G$37000,'Accounting data'!$H$2:$H$37000,"9999*",'Accounting data'!$I$2:$I$37000,"7*",'Accounting data'!$J$2:$J$37000,"1*",'Accounting data'!$K$2:$K$37000,"6*")+SUMIFS('Accounting data'!$G$2:$G$37000,'Accounting data'!$H$2:$H$37000,"9999*",'Accounting data'!$I$2:$I$37000,"8*",'Accounting data'!$J$2:$J$37000,"1*",'Accounting data'!$K$2:$K$37000,"6*")+SUMIFS('Accounting data'!$G$2:$G$37000,'Accounting data'!$H$2:$H$37000,"9999*",'Accounting data'!$I$2:$I$37000,"9*",'Accounting data'!$J$2:$J$37000,"1*",'Accounting data'!$K$2:$K$37000,"6*")</f>
        <v>0</v>
      </c>
    </row>
    <row r="1212" spans="1:5" x14ac:dyDescent="0.25">
      <c r="A1212" s="110"/>
      <c r="B1212" s="110"/>
      <c r="C1212" s="110"/>
      <c r="D1212" s="110"/>
      <c r="E1212" s="111"/>
    </row>
    <row r="1213" spans="1:5" x14ac:dyDescent="0.25">
      <c r="A1213" s="112" t="s">
        <v>991</v>
      </c>
      <c r="B1213" s="110" t="s">
        <v>992</v>
      </c>
      <c r="C1213" s="110">
        <v>1000</v>
      </c>
      <c r="D1213" s="110">
        <v>6900</v>
      </c>
      <c r="E1213" s="111">
        <f>SUMIFS('Accounting data'!$G$2:$G$37000,'Accounting data'!$H$2:$H$37000,"9999*",'Accounting data'!$I$2:$I$37000,"7*",'Accounting data'!$J$2:$J$37000,"1*",'Accounting data'!$K$2:$K$37000,"69*")+SUMIFS('Accounting data'!$G$2:$G$37000,'Accounting data'!$H$2:$H$37000,"9999*",'Accounting data'!$I$2:$I$37000,"8*",'Accounting data'!$J$2:$J$37000,"1*",'Accounting data'!$K$2:$K$37000,"69*")+SUMIFS('Accounting data'!$G$2:$G$37000,'Accounting data'!$H$2:$H$37000,"9999*",'Accounting data'!$I$2:$I$37000,"9*",'Accounting data'!$J$2:$J$37000,"1*",'Accounting data'!$K$2:$K$37000,"69*")</f>
        <v>0</v>
      </c>
    </row>
    <row r="1214" spans="1:5" x14ac:dyDescent="0.25">
      <c r="A1214" s="110"/>
      <c r="B1214" s="110"/>
      <c r="C1214" s="110"/>
      <c r="D1214" s="110"/>
      <c r="E1214" s="111"/>
    </row>
    <row r="1215" spans="1:5" x14ac:dyDescent="0.25">
      <c r="A1215" s="112" t="s">
        <v>991</v>
      </c>
      <c r="B1215" s="110" t="s">
        <v>992</v>
      </c>
      <c r="C1215" s="110">
        <v>1000</v>
      </c>
      <c r="D1215" s="119">
        <v>6700</v>
      </c>
      <c r="E1215" s="111">
        <f>SUMIFS('Accounting data'!$G$2:$G$37000,'Accounting data'!$H$2:$H$37000,"9999*",'Accounting data'!$I$2:$I$37000,"7*",'Accounting data'!$J$2:$J$37000,"1*",'Accounting data'!$K$2:$K$37000,"67*")+SUMIFS('Accounting data'!$G$2:$G$37000,'Accounting data'!$H$2:$H$37000,"9999*",'Accounting data'!$I$2:$I$37000,"8*",'Accounting data'!$J$2:$J$37000,"1*",'Accounting data'!$K$2:$K$37000,"67*")+SUMIFS('Accounting data'!$G$2:$G$37000,'Accounting data'!$H$2:$H$37000,"9999*",'Accounting data'!$I$2:$I$37000,"9*",'Accounting data'!$J$2:$J$37000,"1*",'Accounting data'!$K$2:$K$37000,"67*")</f>
        <v>0</v>
      </c>
    </row>
    <row r="1216" spans="1:5" x14ac:dyDescent="0.25">
      <c r="A1216" s="112"/>
      <c r="B1216" s="110"/>
      <c r="C1216" s="110"/>
      <c r="D1216" s="119"/>
      <c r="E1216" s="111"/>
    </row>
    <row r="1217" spans="1:5" x14ac:dyDescent="0.25">
      <c r="A1217" s="112"/>
      <c r="B1217" s="110"/>
      <c r="C1217" s="110"/>
      <c r="D1217" s="119"/>
      <c r="E1217" s="111"/>
    </row>
    <row r="1218" spans="1:5" x14ac:dyDescent="0.25">
      <c r="A1218" s="113" t="s">
        <v>1095</v>
      </c>
      <c r="B1218" s="113"/>
      <c r="C1218" s="113"/>
      <c r="D1218" s="113"/>
      <c r="E1218" s="115">
        <f>(E1208-E1209-E1210)-((E1211+E1212)-(E1213+E1214))-(E1215+E1216+E1217)</f>
        <v>0</v>
      </c>
    </row>
    <row r="1219" spans="1:5" x14ac:dyDescent="0.25">
      <c r="A1219" s="110" t="s">
        <v>990</v>
      </c>
      <c r="B1219" s="110" t="s">
        <v>992</v>
      </c>
      <c r="C1219" s="110">
        <v>2100</v>
      </c>
      <c r="D1219" s="110">
        <v>6000</v>
      </c>
      <c r="E1219" s="111">
        <f>SUMIFS('Accounting data'!$G$2:$G$37000,'Accounting data'!$I$2:$I$37000,"7*",'Accounting data'!$J$2:$J$37000,"21*",'Accounting data'!$K$2:$K$37000,"6*")+SUMIFS('Accounting data'!$G$2:$G$37000,'Accounting data'!$I$2:$I$37000,"8*",'Accounting data'!$J$2:$J$37000,"21*",'Accounting data'!$K$2:$K$37000,"6*")+SUMIFS('Accounting data'!$G$2:$G$37000,'Accounting data'!$I$2:$I$37000,"9*",'Accounting data'!$J$2:$J$37000,"21*",'Accounting data'!$K$2:$K$37000,"6*")</f>
        <v>0</v>
      </c>
    </row>
    <row r="1220" spans="1:5" x14ac:dyDescent="0.25">
      <c r="A1220" s="110" t="s">
        <v>990</v>
      </c>
      <c r="B1220" s="110" t="s">
        <v>992</v>
      </c>
      <c r="C1220" s="110">
        <v>2100</v>
      </c>
      <c r="D1220" s="110">
        <v>6900</v>
      </c>
      <c r="E1220" s="111">
        <f>SUMIFS('Accounting data'!$G$2:$G$37000,'Accounting data'!$I$2:$I$37000,"7*",'Accounting data'!$J$2:$J$37000,"21*",'Accounting data'!$K$2:$K$37000,"69*")+SUMIFS('Accounting data'!$G$2:$G$37000,'Accounting data'!$I$2:$I$37000,"8*",'Accounting data'!$J$2:$J$37000,"21*",'Accounting data'!$K$2:$K$37000,"69*")+SUMIFS('Accounting data'!$G$2:$G$37000,'Accounting data'!$I$2:$I$37000,"9*",'Accounting data'!$J$2:$J$37000,"21*",'Accounting data'!$K$2:$K$37000,"69*")</f>
        <v>0</v>
      </c>
    </row>
    <row r="1221" spans="1:5" x14ac:dyDescent="0.25">
      <c r="A1221" s="110" t="s">
        <v>990</v>
      </c>
      <c r="B1221" s="110" t="s">
        <v>992</v>
      </c>
      <c r="C1221" s="110">
        <v>2100</v>
      </c>
      <c r="D1221" s="119">
        <v>6700</v>
      </c>
      <c r="E1221" s="111">
        <f>SUMIFS('Accounting data'!$G$2:$G$37000,'Accounting data'!$I$2:$I$37000,"7*",'Accounting data'!$J$2:$J$37000,"21*",'Accounting data'!$K$2:$K$37000,"67*")+SUMIFS('Accounting data'!$G$2:$G$37000,'Accounting data'!$I$2:$I$37000,"8*",'Accounting data'!$J$2:$J$37000,"21*",'Accounting data'!$K$2:$K$37000,"67*")+SUMIFS('Accounting data'!$G$2:$G$37000,'Accounting data'!$I$2:$I$37000,"9*",'Accounting data'!$J$2:$J$37000,"21*",'Accounting data'!$K$2:$K$37000,"67*")</f>
        <v>0</v>
      </c>
    </row>
    <row r="1222" spans="1:5" x14ac:dyDescent="0.25">
      <c r="A1222" s="112" t="s">
        <v>991</v>
      </c>
      <c r="B1222" s="110" t="s">
        <v>992</v>
      </c>
      <c r="C1222" s="110">
        <v>2100</v>
      </c>
      <c r="D1222" s="110">
        <v>6000</v>
      </c>
      <c r="E1222" s="111">
        <f>SUMIFS('Accounting data'!$G$2:$G$37000,'Accounting data'!$H$2:$H$37000,"9999*",'Accounting data'!$I$2:$I$37000,"7*",'Accounting data'!$J$2:$J$37000,"21*",'Accounting data'!$K$2:$K$37000,"6*")+SUMIFS('Accounting data'!$G$2:$G$37000,'Accounting data'!$H$2:$H$37000,"9999*",'Accounting data'!$I$2:$I$37000,"8*",'Accounting data'!$J$2:$J$37000,"21*",'Accounting data'!$K$2:$K$37000,"6*")+SUMIFS('Accounting data'!$G$2:$G$37000,'Accounting data'!$H$2:$H$37000,"9999*",'Accounting data'!$I$2:$I$37000,"9*",'Accounting data'!$J$2:$J$37000,"21*",'Accounting data'!$K$2:$K$37000,"6*")</f>
        <v>0</v>
      </c>
    </row>
    <row r="1223" spans="1:5" x14ac:dyDescent="0.25">
      <c r="A1223" s="110"/>
      <c r="B1223" s="110"/>
      <c r="C1223" s="110"/>
      <c r="D1223" s="110"/>
      <c r="E1223" s="111"/>
    </row>
    <row r="1224" spans="1:5" x14ac:dyDescent="0.25">
      <c r="A1224" s="112" t="s">
        <v>991</v>
      </c>
      <c r="B1224" s="110" t="s">
        <v>992</v>
      </c>
      <c r="C1224" s="110">
        <v>2100</v>
      </c>
      <c r="D1224" s="110">
        <v>6900</v>
      </c>
      <c r="E1224" s="111">
        <f>SUMIFS('Accounting data'!$G$2:$G$37000,'Accounting data'!$H$2:$H$37000,"9999*",'Accounting data'!$I$2:$I$37000,"7*",'Accounting data'!$J$2:$J$37000,"21*",'Accounting data'!$K$2:$K$37000,"69*")+SUMIFS('Accounting data'!$G$2:$G$37000,'Accounting data'!$H$2:$H$37000,"9999*",'Accounting data'!$I$2:$I$37000,"8*",'Accounting data'!$J$2:$J$37000,"21*",'Accounting data'!$K$2:$K$37000,"69*")+SUMIFS('Accounting data'!$G$2:$G$37000,'Accounting data'!$H$2:$H$37000,"9999*",'Accounting data'!$I$2:$I$37000,"9*",'Accounting data'!$J$2:$J$37000,"21*",'Accounting data'!$K$2:$K$37000,"69*")</f>
        <v>0</v>
      </c>
    </row>
    <row r="1226" spans="1:5" x14ac:dyDescent="0.25">
      <c r="A1226" s="112" t="s">
        <v>991</v>
      </c>
      <c r="B1226" s="110" t="s">
        <v>992</v>
      </c>
      <c r="C1226" s="110">
        <v>2100</v>
      </c>
      <c r="D1226" s="119">
        <v>6700</v>
      </c>
      <c r="E1226" s="111">
        <f>SUMIFS('Accounting data'!$G$2:$G$37000,'Accounting data'!$H$2:$H$37000,"9999*",'Accounting data'!$I$2:$I$37000,"7*",'Accounting data'!$J$2:$J$37000,"21*",'Accounting data'!$K$2:$K$37000,"67*")+SUMIFS('Accounting data'!$G$2:$G$37000,'Accounting data'!$H$2:$H$37000,"9999*",'Accounting data'!$I$2:$I$37000,"8*",'Accounting data'!$J$2:$J$37000,"21*",'Accounting data'!$K$2:$K$37000,"67*")+SUMIFS('Accounting data'!$G$2:$G$37000,'Accounting data'!$H$2:$H$37000,"9999*",'Accounting data'!$I$2:$I$37000,"9*",'Accounting data'!$J$2:$J$37000,"21*",'Accounting data'!$K$2:$K$37000,"67*")</f>
        <v>0</v>
      </c>
    </row>
    <row r="1227" spans="1:5" x14ac:dyDescent="0.25">
      <c r="A1227" s="112"/>
      <c r="B1227" s="110"/>
      <c r="C1227" s="110"/>
      <c r="D1227" s="119"/>
      <c r="E1227" s="111"/>
    </row>
    <row r="1228" spans="1:5" x14ac:dyDescent="0.25">
      <c r="A1228" s="112"/>
      <c r="B1228" s="110"/>
      <c r="C1228" s="110"/>
      <c r="D1228" s="119"/>
      <c r="E1228" s="111"/>
    </row>
    <row r="1229" spans="1:5" x14ac:dyDescent="0.25">
      <c r="A1229" s="113" t="s">
        <v>1096</v>
      </c>
      <c r="B1229" s="113"/>
      <c r="C1229" s="113"/>
      <c r="D1229" s="113"/>
      <c r="E1229" s="115">
        <f>(E1219-E1220-E1221)-((E1222+E1223)-(E1224+E1225))-(E1226+E1227+E1228)</f>
        <v>0</v>
      </c>
    </row>
    <row r="1230" spans="1:5" x14ac:dyDescent="0.25">
      <c r="A1230" s="110" t="s">
        <v>990</v>
      </c>
      <c r="B1230" s="110" t="s">
        <v>992</v>
      </c>
      <c r="C1230" s="110">
        <v>2200</v>
      </c>
      <c r="D1230" s="110">
        <v>6000</v>
      </c>
      <c r="E1230" s="111">
        <f>SUMIFS('Accounting data'!$G$2:$G$37000,'Accounting data'!$I$2:$I$37000,"7*",'Accounting data'!$J$2:$J$37000,"22*",'Accounting data'!$K$2:$K$37000,"6*")+SUMIFS('Accounting data'!$G$2:$G$37000,'Accounting data'!$I$2:$I$37000,"8*",'Accounting data'!$J$2:$J$37000,"22*",'Accounting data'!$K$2:$K$37000,"6*")+SUMIFS('Accounting data'!$G$2:$G$37000,'Accounting data'!$I$2:$I$37000,"9*",'Accounting data'!$J$2:$J$37000,"22*",'Accounting data'!$K$2:$K$37000,"6*")</f>
        <v>0</v>
      </c>
    </row>
    <row r="1231" spans="1:5" x14ac:dyDescent="0.25">
      <c r="A1231" s="110" t="s">
        <v>990</v>
      </c>
      <c r="B1231" s="110" t="s">
        <v>992</v>
      </c>
      <c r="C1231" s="110">
        <v>2200</v>
      </c>
      <c r="D1231" s="110">
        <v>6900</v>
      </c>
      <c r="E1231" s="111">
        <f>SUMIFS('Accounting data'!$G$2:$G$37000,'Accounting data'!$I$2:$I$37000,"7*",'Accounting data'!$J$2:$J$37000,"22*",'Accounting data'!$K$2:$K$37000,"69*")+SUMIFS('Accounting data'!$G$2:$G$37000,'Accounting data'!$I$2:$I$37000,"8*",'Accounting data'!$J$2:$J$37000,"22*",'Accounting data'!$K$2:$K$37000,"69*")+SUMIFS('Accounting data'!$G$2:$G$37000,'Accounting data'!$I$2:$I$37000,"9*",'Accounting data'!$J$2:$J$37000,"22*",'Accounting data'!$K$2:$K$37000,"69*")</f>
        <v>0</v>
      </c>
    </row>
    <row r="1232" spans="1:5" x14ac:dyDescent="0.25">
      <c r="A1232" s="110" t="s">
        <v>990</v>
      </c>
      <c r="B1232" s="110" t="s">
        <v>992</v>
      </c>
      <c r="C1232" s="110">
        <v>2200</v>
      </c>
      <c r="D1232" s="119">
        <v>6700</v>
      </c>
      <c r="E1232" s="111">
        <f>SUMIFS('Accounting data'!$G$2:$G$37000,'Accounting data'!$I$2:$I$37000,"7*",'Accounting data'!$J$2:$J$37000,"22*",'Accounting data'!$K$2:$K$37000,"67*")+SUMIFS('Accounting data'!$G$2:$G$37000,'Accounting data'!$I$2:$I$37000,"8*",'Accounting data'!$J$2:$J$37000,"22*",'Accounting data'!$K$2:$K$37000,"67*")+SUMIFS('Accounting data'!$G$2:$G$37000,'Accounting data'!$I$2:$I$37000,"9*",'Accounting data'!$J$2:$J$37000,"22*",'Accounting data'!$K$2:$K$37000,"67*")</f>
        <v>0</v>
      </c>
    </row>
    <row r="1233" spans="1:5" x14ac:dyDescent="0.25">
      <c r="A1233" s="112" t="s">
        <v>991</v>
      </c>
      <c r="B1233" s="110" t="s">
        <v>992</v>
      </c>
      <c r="C1233" s="110">
        <v>2200</v>
      </c>
      <c r="D1233" s="110">
        <v>6000</v>
      </c>
      <c r="E1233" s="111">
        <f>SUMIFS('Accounting data'!$G$2:$G$37000,'Accounting data'!$H$2:$H$37000,"9999*",'Accounting data'!$I$2:$I$37000,"7*",'Accounting data'!$J$2:$J$37000,"22*",'Accounting data'!$K$2:$K$37000,"6*")+SUMIFS('Accounting data'!$G$2:$G$37000,'Accounting data'!$H$2:$H$37000,"9999*",'Accounting data'!$I$2:$I$37000,"8*",'Accounting data'!$J$2:$J$37000,"22*",'Accounting data'!$K$2:$K$37000,"6*")+SUMIFS('Accounting data'!$G$2:$G$37000,'Accounting data'!$H$2:$H$37000,"9999*",'Accounting data'!$I$2:$I$37000,"9*",'Accounting data'!$J$2:$J$37000,"22*",'Accounting data'!$K$2:$K$37000,"6*")</f>
        <v>0</v>
      </c>
    </row>
    <row r="1234" spans="1:5" x14ac:dyDescent="0.25">
      <c r="A1234" s="110"/>
      <c r="B1234" s="110"/>
      <c r="C1234" s="110"/>
      <c r="D1234" s="110"/>
      <c r="E1234" s="111"/>
    </row>
    <row r="1235" spans="1:5" x14ac:dyDescent="0.25">
      <c r="A1235" s="112" t="s">
        <v>991</v>
      </c>
      <c r="B1235" s="110" t="s">
        <v>992</v>
      </c>
      <c r="C1235" s="110">
        <v>2200</v>
      </c>
      <c r="D1235" s="110">
        <v>6900</v>
      </c>
      <c r="E1235" s="111">
        <f>SUMIFS('Accounting data'!$G$2:$G$37000,'Accounting data'!$H$2:$H$37000,"9999*",'Accounting data'!$I$2:$I$37000,"7*",'Accounting data'!$J$2:$J$37000,"22*",'Accounting data'!$K$2:$K$37000,"69*")+SUMIFS('Accounting data'!$G$2:$G$37000,'Accounting data'!$H$2:$H$37000,"9999*",'Accounting data'!$I$2:$I$37000,"8*",'Accounting data'!$J$2:$J$37000,"22*",'Accounting data'!$K$2:$K$37000,"69*")+SUMIFS('Accounting data'!$G$2:$G$37000,'Accounting data'!$H$2:$H$37000,"9999*",'Accounting data'!$I$2:$I$37000,"9*",'Accounting data'!$J$2:$J$37000,"22*",'Accounting data'!$K$2:$K$37000,"69*")</f>
        <v>0</v>
      </c>
    </row>
    <row r="1236" spans="1:5" x14ac:dyDescent="0.25">
      <c r="A1236" s="110"/>
      <c r="B1236" s="110"/>
      <c r="C1236" s="110"/>
      <c r="D1236" s="110"/>
      <c r="E1236" s="111"/>
    </row>
    <row r="1237" spans="1:5" x14ac:dyDescent="0.25">
      <c r="A1237" s="112" t="s">
        <v>991</v>
      </c>
      <c r="B1237" s="110" t="s">
        <v>992</v>
      </c>
      <c r="C1237" s="110">
        <v>2200</v>
      </c>
      <c r="D1237" s="119">
        <v>6700</v>
      </c>
      <c r="E1237" s="111">
        <f>SUMIFS('Accounting data'!$G$2:$G$37000,'Accounting data'!$H$2:$H$37000,"9999*",'Accounting data'!$I$2:$I$37000,"7*",'Accounting data'!$J$2:$J$37000,"22*",'Accounting data'!$K$2:$K$37000,"67*")+SUMIFS('Accounting data'!$G$2:$G$37000,'Accounting data'!$H$2:$H$37000,"9999*",'Accounting data'!$I$2:$I$37000,"8*",'Accounting data'!$J$2:$J$37000,"22*",'Accounting data'!$K$2:$K$37000,"67*")+SUMIFS('Accounting data'!$G$2:$G$37000,'Accounting data'!$H$2:$H$37000,"9999*",'Accounting data'!$I$2:$I$37000,"9*",'Accounting data'!$J$2:$J$37000,"22*",'Accounting data'!$K$2:$K$37000,"67*")</f>
        <v>0</v>
      </c>
    </row>
    <row r="1238" spans="1:5" x14ac:dyDescent="0.25">
      <c r="A1238" s="112"/>
      <c r="B1238" s="110"/>
      <c r="C1238" s="110"/>
      <c r="D1238" s="119"/>
      <c r="E1238" s="111"/>
    </row>
    <row r="1239" spans="1:5" x14ac:dyDescent="0.25">
      <c r="A1239" s="112"/>
      <c r="B1239" s="110"/>
      <c r="C1239" s="110"/>
      <c r="D1239" s="119"/>
      <c r="E1239" s="111"/>
    </row>
    <row r="1240" spans="1:5" x14ac:dyDescent="0.25">
      <c r="A1240" s="113" t="s">
        <v>1097</v>
      </c>
      <c r="B1240" s="113"/>
      <c r="C1240" s="113"/>
      <c r="D1240" s="113"/>
      <c r="E1240" s="115">
        <f>(E1230-E1231-E1232)-((E1233+E1234)-(E1235+E1236))-(E1237+E1238+E1239)</f>
        <v>0</v>
      </c>
    </row>
    <row r="1241" spans="1:5" x14ac:dyDescent="0.25">
      <c r="A1241" s="110" t="s">
        <v>990</v>
      </c>
      <c r="B1241" s="110" t="s">
        <v>992</v>
      </c>
      <c r="C1241" s="110">
        <v>2300</v>
      </c>
      <c r="D1241" s="110">
        <v>6000</v>
      </c>
      <c r="E1241" s="111">
        <f>SUMIFS('Accounting data'!$G$2:$G$37000,'Accounting data'!$I$2:$I$37000,"7*",'Accounting data'!$J$2:$J$37000,"23*",'Accounting data'!$K$2:$K$37000,"6*")+SUMIFS('Accounting data'!$G$2:$G$37000,'Accounting data'!$I$2:$I$37000,"8*",'Accounting data'!$J$2:$J$37000,"23*",'Accounting data'!$K$2:$K$37000,"6*")+SUMIFS('Accounting data'!$G$2:$G$37000,'Accounting data'!$I$2:$I$37000,"9*",'Accounting data'!$J$2:$J$37000,"23*",'Accounting data'!$K$2:$K$37000,"6*")</f>
        <v>0</v>
      </c>
    </row>
    <row r="1242" spans="1:5" x14ac:dyDescent="0.25">
      <c r="A1242" s="110" t="s">
        <v>990</v>
      </c>
      <c r="B1242" s="110" t="s">
        <v>992</v>
      </c>
      <c r="C1242" s="110">
        <v>2300</v>
      </c>
      <c r="D1242" s="110">
        <v>6900</v>
      </c>
      <c r="E1242" s="111">
        <f>SUMIFS('Accounting data'!$G$2:$G$37000,'Accounting data'!$I$2:$I$37000,"7*",'Accounting data'!$J$2:$J$37000,"23*",'Accounting data'!$K$2:$K$37000,"69*")+SUMIFS('Accounting data'!$G$2:$G$37000,'Accounting data'!$I$2:$I$37000,"8*",'Accounting data'!$J$2:$J$37000,"23*",'Accounting data'!$K$2:$K$37000,"69*")+SUMIFS('Accounting data'!$G$2:$G$37000,'Accounting data'!$I$2:$I$37000,"9*",'Accounting data'!$J$2:$J$37000,"23*",'Accounting data'!$K$2:$K$37000,"69*")</f>
        <v>0</v>
      </c>
    </row>
    <row r="1243" spans="1:5" x14ac:dyDescent="0.25">
      <c r="A1243" s="110" t="s">
        <v>990</v>
      </c>
      <c r="B1243" s="110" t="s">
        <v>992</v>
      </c>
      <c r="C1243" s="110">
        <v>2300</v>
      </c>
      <c r="D1243" s="119">
        <v>6700</v>
      </c>
      <c r="E1243" s="111">
        <f>SUMIFS('Accounting data'!$G$2:$G$37000,'Accounting data'!$I$2:$I$37000,"7*",'Accounting data'!$J$2:$J$37000,"23*",'Accounting data'!$K$2:$K$37000,"67*")+SUMIFS('Accounting data'!$G$2:$G$37000,'Accounting data'!$I$2:$I$37000,"8*",'Accounting data'!$J$2:$J$37000,"23*",'Accounting data'!$K$2:$K$37000,"67*")+SUMIFS('Accounting data'!$G$2:$G$37000,'Accounting data'!$I$2:$I$37000,"9*",'Accounting data'!$J$2:$J$37000,"23*",'Accounting data'!$K$2:$K$37000,"67*")</f>
        <v>0</v>
      </c>
    </row>
    <row r="1244" spans="1:5" x14ac:dyDescent="0.25">
      <c r="A1244" s="112" t="s">
        <v>991</v>
      </c>
      <c r="B1244" s="110" t="s">
        <v>992</v>
      </c>
      <c r="C1244" s="110">
        <v>2300</v>
      </c>
      <c r="D1244" s="110">
        <v>6000</v>
      </c>
      <c r="E1244" s="111">
        <f>SUMIFS('Accounting data'!$G$2:$G$37000,'Accounting data'!$H$2:$H$37000,"9999*",'Accounting data'!$I$2:$I$37000,"7*",'Accounting data'!$J$2:$J$37000,"23*",'Accounting data'!$K$2:$K$37000,"6*")+SUMIFS('Accounting data'!$G$2:$G$37000,'Accounting data'!$H$2:$H$37000,"9999*",'Accounting data'!$I$2:$I$37000,"8*",'Accounting data'!$J$2:$J$37000,"23*",'Accounting data'!$K$2:$K$37000,"6*")+SUMIFS('Accounting data'!$G$2:$G$37000,'Accounting data'!$H$2:$H$37000,"9999*",'Accounting data'!$I$2:$I$37000,"9*",'Accounting data'!$J$2:$J$37000,"23*",'Accounting data'!$K$2:$K$37000,"6*")</f>
        <v>0</v>
      </c>
    </row>
    <row r="1245" spans="1:5" x14ac:dyDescent="0.25">
      <c r="A1245" s="110"/>
      <c r="B1245" s="110"/>
      <c r="C1245" s="110"/>
      <c r="D1245" s="110"/>
      <c r="E1245" s="111"/>
    </row>
    <row r="1246" spans="1:5" x14ac:dyDescent="0.25">
      <c r="A1246" s="112" t="s">
        <v>991</v>
      </c>
      <c r="B1246" s="110" t="s">
        <v>992</v>
      </c>
      <c r="C1246" s="110">
        <v>2300</v>
      </c>
      <c r="D1246" s="110">
        <v>6900</v>
      </c>
      <c r="E1246" s="111">
        <f>SUMIFS('Accounting data'!$G$2:$G$37000,'Accounting data'!$H$2:$H$37000,"9999*",'Accounting data'!$I$2:$I$37000,"7*",'Accounting data'!$J$2:$J$37000,"23*",'Accounting data'!$K$2:$K$37000,"69*")+SUMIFS('Accounting data'!$G$2:$G$37000,'Accounting data'!$H$2:$H$37000,"9999*",'Accounting data'!$I$2:$I$37000,"8*",'Accounting data'!$J$2:$J$37000,"23*",'Accounting data'!$K$2:$K$37000,"69*")+SUMIFS('Accounting data'!$G$2:$G$37000,'Accounting data'!$H$2:$H$37000,"9999*",'Accounting data'!$I$2:$I$37000,"9*",'Accounting data'!$J$2:$J$37000,"23*",'Accounting data'!$K$2:$K$37000,"69*")</f>
        <v>0</v>
      </c>
    </row>
    <row r="1247" spans="1:5" x14ac:dyDescent="0.25">
      <c r="A1247" s="110"/>
      <c r="B1247" s="110"/>
      <c r="C1247" s="110"/>
      <c r="D1247" s="110"/>
      <c r="E1247" s="111"/>
    </row>
    <row r="1248" spans="1:5" x14ac:dyDescent="0.25">
      <c r="A1248" s="112" t="s">
        <v>991</v>
      </c>
      <c r="B1248" s="110" t="s">
        <v>992</v>
      </c>
      <c r="C1248" s="110">
        <v>2300</v>
      </c>
      <c r="D1248" s="119">
        <v>6700</v>
      </c>
      <c r="E1248" s="111">
        <f>SUMIFS('Accounting data'!$G$2:$G$37000,'Accounting data'!$H$2:$H$37000,"9999*",'Accounting data'!$I$2:$I$37000,"7*",'Accounting data'!$J$2:$J$37000,"23*",'Accounting data'!$K$2:$K$37000,"67*")+SUMIFS('Accounting data'!$G$2:$G$37000,'Accounting data'!$H$2:$H$37000,"9999*",'Accounting data'!$I$2:$I$37000,"8*",'Accounting data'!$J$2:$J$37000,"23*",'Accounting data'!$K$2:$K$37000,"67*")+SUMIFS('Accounting data'!$G$2:$G$37000,'Accounting data'!$H$2:$H$37000,"9999*",'Accounting data'!$I$2:$I$37000,"9*",'Accounting data'!$J$2:$J$37000,"23*",'Accounting data'!$K$2:$K$37000,"67*")</f>
        <v>0</v>
      </c>
    </row>
    <row r="1249" spans="1:5" x14ac:dyDescent="0.25">
      <c r="A1249" s="112"/>
      <c r="B1249" s="110"/>
      <c r="C1249" s="110"/>
      <c r="D1249" s="119"/>
      <c r="E1249" s="111"/>
    </row>
    <row r="1250" spans="1:5" x14ac:dyDescent="0.25">
      <c r="A1250" s="112"/>
      <c r="B1250" s="110"/>
      <c r="C1250" s="110"/>
      <c r="D1250" s="119"/>
      <c r="E1250" s="111"/>
    </row>
    <row r="1251" spans="1:5" x14ac:dyDescent="0.25">
      <c r="A1251" s="113" t="s">
        <v>1098</v>
      </c>
      <c r="B1251" s="113"/>
      <c r="C1251" s="113"/>
      <c r="D1251" s="113"/>
      <c r="E1251" s="115">
        <f>(E1241-E1242-E1243)-((E1244+E1245)-(E1246+E1247))-(E1248+E1249+E1250)</f>
        <v>0</v>
      </c>
    </row>
    <row r="1252" spans="1:5" x14ac:dyDescent="0.25">
      <c r="A1252" s="110" t="s">
        <v>990</v>
      </c>
      <c r="B1252" s="110" t="s">
        <v>992</v>
      </c>
      <c r="C1252" s="110">
        <v>2400</v>
      </c>
      <c r="D1252" s="110">
        <v>6000</v>
      </c>
      <c r="E1252" s="111">
        <f>SUMIFS('Accounting data'!$G$2:$G$37000,'Accounting data'!$I$2:$I$37000,"7*",'Accounting data'!$J$2:$J$37000,"24*",'Accounting data'!$K$2:$K$37000,"6*")+SUMIFS('Accounting data'!$G$2:$G$37000,'Accounting data'!$I$2:$I$37000,"8*",'Accounting data'!$J$2:$J$37000,"24*",'Accounting data'!$K$2:$K$37000,"6*")+SUMIFS('Accounting data'!$G$2:$G$37000,'Accounting data'!$I$2:$I$37000,"9*",'Accounting data'!$J$2:$J$37000,"24*",'Accounting data'!$K$2:$K$37000,"6*")</f>
        <v>0</v>
      </c>
    </row>
    <row r="1253" spans="1:5" x14ac:dyDescent="0.25">
      <c r="A1253" s="110" t="s">
        <v>990</v>
      </c>
      <c r="B1253" s="110" t="s">
        <v>992</v>
      </c>
      <c r="C1253" s="110">
        <v>2400</v>
      </c>
      <c r="D1253" s="110">
        <v>6900</v>
      </c>
      <c r="E1253" s="111">
        <f>SUMIFS('Accounting data'!$G$2:$G$37000,'Accounting data'!$I$2:$I$37000,"7*",'Accounting data'!$J$2:$J$37000,"24*",'Accounting data'!$K$2:$K$37000,"69*")+SUMIFS('Accounting data'!$G$2:$G$37000,'Accounting data'!$I$2:$I$37000,"8*",'Accounting data'!$J$2:$J$37000,"24*",'Accounting data'!$K$2:$K$37000,"69*")+SUMIFS('Accounting data'!$G$2:$G$37000,'Accounting data'!$I$2:$I$37000,"9*",'Accounting data'!$J$2:$J$37000,"24*",'Accounting data'!$K$2:$K$37000,"69*")</f>
        <v>0</v>
      </c>
    </row>
    <row r="1254" spans="1:5" x14ac:dyDescent="0.25">
      <c r="A1254" s="110" t="s">
        <v>990</v>
      </c>
      <c r="B1254" s="110" t="s">
        <v>992</v>
      </c>
      <c r="C1254" s="110">
        <v>2400</v>
      </c>
      <c r="D1254" s="119">
        <v>6700</v>
      </c>
      <c r="E1254" s="111">
        <f>SUMIFS('Accounting data'!$G$2:$G$37000,'Accounting data'!$I$2:$I$37000,"7*",'Accounting data'!$J$2:$J$37000,"24*",'Accounting data'!$K$2:$K$37000,"67*")+SUMIFS('Accounting data'!$G$2:$G$37000,'Accounting data'!$I$2:$I$37000,"8*",'Accounting data'!$J$2:$J$37000,"24*",'Accounting data'!$K$2:$K$37000,"67*")+SUMIFS('Accounting data'!$G$2:$G$37000,'Accounting data'!$I$2:$I$37000,"9*",'Accounting data'!$J$2:$J$37000,"24*",'Accounting data'!$K$2:$K$37000,"67*")</f>
        <v>0</v>
      </c>
    </row>
    <row r="1255" spans="1:5" x14ac:dyDescent="0.25">
      <c r="A1255" s="112" t="s">
        <v>991</v>
      </c>
      <c r="B1255" s="110" t="s">
        <v>992</v>
      </c>
      <c r="C1255" s="110">
        <v>2400</v>
      </c>
      <c r="D1255" s="110">
        <v>6000</v>
      </c>
      <c r="E1255" s="111">
        <f>SUMIFS('Accounting data'!$G$2:$G$37000,'Accounting data'!$H$2:$H$37000,"9999*",'Accounting data'!$I$2:$I$37000,"7*",'Accounting data'!$J$2:$J$37000,"24*",'Accounting data'!$K$2:$K$37000,"6*")+SUMIFS('Accounting data'!$G$2:$G$37000,'Accounting data'!$H$2:$H$37000,"9999*",'Accounting data'!$I$2:$I$37000,"8*",'Accounting data'!$J$2:$J$37000,"24*",'Accounting data'!$K$2:$K$37000,"6*")+SUMIFS('Accounting data'!$G$2:$G$37000,'Accounting data'!$H$2:$H$37000,"9999*",'Accounting data'!$I$2:$I$37000,"9*",'Accounting data'!$J$2:$J$37000,"24*",'Accounting data'!$K$2:$K$37000,"6*")</f>
        <v>0</v>
      </c>
    </row>
    <row r="1256" spans="1:5" x14ac:dyDescent="0.25">
      <c r="A1256" s="110"/>
      <c r="B1256" s="110"/>
      <c r="C1256" s="110"/>
      <c r="D1256" s="110"/>
      <c r="E1256" s="111"/>
    </row>
    <row r="1257" spans="1:5" x14ac:dyDescent="0.25">
      <c r="A1257" s="112" t="s">
        <v>991</v>
      </c>
      <c r="B1257" s="110" t="s">
        <v>992</v>
      </c>
      <c r="C1257" s="110">
        <v>2400</v>
      </c>
      <c r="D1257" s="110">
        <v>6900</v>
      </c>
      <c r="E1257" s="111">
        <f>SUMIFS('Accounting data'!$G$2:$G$37000,'Accounting data'!$H$2:$H$37000,"9999*",'Accounting data'!$I$2:$I$37000,"7*",'Accounting data'!$J$2:$J$37000,"24*",'Accounting data'!$K$2:$K$37000,"69*")+SUMIFS('Accounting data'!$G$2:$G$37000,'Accounting data'!$H$2:$H$37000,"9999*",'Accounting data'!$I$2:$I$37000,"8*",'Accounting data'!$J$2:$J$37000,"24*",'Accounting data'!$K$2:$K$37000,"69*")+SUMIFS('Accounting data'!$G$2:$G$37000,'Accounting data'!$H$2:$H$37000,"9999*",'Accounting data'!$I$2:$I$37000,"9*",'Accounting data'!$J$2:$J$37000,"24*",'Accounting data'!$K$2:$K$37000,"69*")</f>
        <v>0</v>
      </c>
    </row>
    <row r="1259" spans="1:5" x14ac:dyDescent="0.25">
      <c r="A1259" s="112" t="s">
        <v>991</v>
      </c>
      <c r="B1259" s="110" t="s">
        <v>992</v>
      </c>
      <c r="C1259" s="110">
        <v>2400</v>
      </c>
      <c r="D1259" s="119">
        <v>6700</v>
      </c>
      <c r="E1259" s="111">
        <f>SUMIFS('Accounting data'!$G$2:$G$37000,'Accounting data'!$H$2:$H$37000,"9999*",'Accounting data'!$I$2:$I$37000,"7*",'Accounting data'!$J$2:$J$37000,"24*",'Accounting data'!$K$2:$K$37000,"67*")+SUMIFS('Accounting data'!$G$2:$G$37000,'Accounting data'!$H$2:$H$37000,"9999*",'Accounting data'!$I$2:$I$37000,"8*",'Accounting data'!$J$2:$J$37000,"24*",'Accounting data'!$K$2:$K$37000,"67*")+SUMIFS('Accounting data'!$G$2:$G$37000,'Accounting data'!$H$2:$H$37000,"9999*",'Accounting data'!$I$2:$I$37000,"9*",'Accounting data'!$J$2:$J$37000,"24*",'Accounting data'!$K$2:$K$37000,"67*")</f>
        <v>0</v>
      </c>
    </row>
    <row r="1260" spans="1:5" x14ac:dyDescent="0.25">
      <c r="A1260" s="112"/>
      <c r="B1260" s="110"/>
      <c r="C1260" s="110"/>
      <c r="D1260" s="119"/>
      <c r="E1260" s="111"/>
    </row>
    <row r="1261" spans="1:5" x14ac:dyDescent="0.25">
      <c r="A1261" s="112"/>
      <c r="B1261" s="110"/>
      <c r="C1261" s="110"/>
      <c r="D1261" s="119"/>
      <c r="E1261" s="111"/>
    </row>
    <row r="1262" spans="1:5" x14ac:dyDescent="0.25">
      <c r="A1262" s="113" t="s">
        <v>1099</v>
      </c>
      <c r="B1262" s="113"/>
      <c r="C1262" s="113"/>
      <c r="D1262" s="113"/>
      <c r="E1262" s="115">
        <f>(E1252-E1253-E1254)-((E1255+E1256)-(E1257+E1258))-(E1259+E1260+E1261)</f>
        <v>0</v>
      </c>
    </row>
    <row r="1263" spans="1:5" x14ac:dyDescent="0.25">
      <c r="A1263" s="110" t="s">
        <v>990</v>
      </c>
      <c r="B1263" s="110" t="s">
        <v>992</v>
      </c>
      <c r="C1263" s="110">
        <v>2500</v>
      </c>
      <c r="D1263" s="110">
        <v>6000</v>
      </c>
      <c r="E1263" s="111">
        <f>SUMIFS('Accounting data'!$G$2:$G$37000,'Accounting data'!$I$2:$I$37000,"7*",'Accounting data'!$J$2:$J$37000,"25*",'Accounting data'!$K$2:$K$37000,"6*")+SUMIFS('Accounting data'!$G$2:$G$37000,'Accounting data'!$I$2:$I$37000,"8*",'Accounting data'!$J$2:$J$37000,"25*",'Accounting data'!$K$2:$K$37000,"6*")+SUMIFS('Accounting data'!$G$2:$G$37000,'Accounting data'!$I$2:$I$37000,"9*",'Accounting data'!$J$2:$J$37000,"25*",'Accounting data'!$K$2:$K$37000,"6*")</f>
        <v>0</v>
      </c>
    </row>
    <row r="1264" spans="1:5" x14ac:dyDescent="0.25">
      <c r="A1264" s="110" t="s">
        <v>990</v>
      </c>
      <c r="B1264" s="110" t="s">
        <v>992</v>
      </c>
      <c r="C1264" s="110">
        <v>2500</v>
      </c>
      <c r="D1264" s="110">
        <v>6900</v>
      </c>
      <c r="E1264" s="111">
        <f>SUMIFS('Accounting data'!$G$2:$G$37000,'Accounting data'!$I$2:$I$37000,"7*",'Accounting data'!$J$2:$J$37000,"25*",'Accounting data'!$K$2:$K$37000,"69*")+SUMIFS('Accounting data'!$G$2:$G$37000,'Accounting data'!$I$2:$I$37000,"8*",'Accounting data'!$J$2:$J$37000,"25*",'Accounting data'!$K$2:$K$37000,"69*")+SUMIFS('Accounting data'!$G$2:$G$37000,'Accounting data'!$I$2:$I$37000,"9*",'Accounting data'!$J$2:$J$37000,"25*",'Accounting data'!$K$2:$K$37000,"69*")</f>
        <v>0</v>
      </c>
    </row>
    <row r="1265" spans="1:5" x14ac:dyDescent="0.25">
      <c r="A1265" s="110" t="s">
        <v>990</v>
      </c>
      <c r="B1265" s="110" t="s">
        <v>992</v>
      </c>
      <c r="C1265" s="110">
        <v>2500</v>
      </c>
      <c r="D1265" s="119">
        <v>6700</v>
      </c>
      <c r="E1265" s="111">
        <f>SUMIFS('Accounting data'!$G$2:$G$37000,'Accounting data'!$I$2:$I$37000,"7*",'Accounting data'!$J$2:$J$37000,"25*",'Accounting data'!$K$2:$K$37000,"67*")+SUMIFS('Accounting data'!$G$2:$G$37000,'Accounting data'!$I$2:$I$37000,"8*",'Accounting data'!$J$2:$J$37000,"25*",'Accounting data'!$K$2:$K$37000,"67*")+SUMIFS('Accounting data'!$G$2:$G$37000,'Accounting data'!$I$2:$I$37000,"9*",'Accounting data'!$J$2:$J$37000,"25*",'Accounting data'!$K$2:$K$37000,"67*")</f>
        <v>0</v>
      </c>
    </row>
    <row r="1266" spans="1:5" x14ac:dyDescent="0.25">
      <c r="A1266" s="112" t="s">
        <v>991</v>
      </c>
      <c r="B1266" s="110" t="s">
        <v>992</v>
      </c>
      <c r="C1266" s="110">
        <v>2500</v>
      </c>
      <c r="D1266" s="110">
        <v>6000</v>
      </c>
      <c r="E1266" s="111">
        <f>SUMIFS('Accounting data'!$G$2:$G$37000,'Accounting data'!$H$2:$H$37000,"9999*",'Accounting data'!$I$2:$I$37000,"7*",'Accounting data'!$J$2:$J$37000,"25*",'Accounting data'!$K$2:$K$37000,"6*")+SUMIFS('Accounting data'!$G$2:$G$37000,'Accounting data'!$H$2:$H$37000,"9999*",'Accounting data'!$I$2:$I$37000,"8*",'Accounting data'!$J$2:$J$37000,"25*",'Accounting data'!$K$2:$K$37000,"6*")+SUMIFS('Accounting data'!$G$2:$G$37000,'Accounting data'!$H$2:$H$37000,"9999*",'Accounting data'!$I$2:$I$37000,"9*",'Accounting data'!$J$2:$J$37000,"25*",'Accounting data'!$K$2:$K$37000,"6*")</f>
        <v>0</v>
      </c>
    </row>
    <row r="1267" spans="1:5" x14ac:dyDescent="0.25">
      <c r="A1267" s="110"/>
      <c r="B1267" s="110"/>
      <c r="C1267" s="110"/>
      <c r="D1267" s="110"/>
      <c r="E1267" s="111"/>
    </row>
    <row r="1268" spans="1:5" x14ac:dyDescent="0.25">
      <c r="A1268" s="112" t="s">
        <v>991</v>
      </c>
      <c r="B1268" s="110" t="s">
        <v>992</v>
      </c>
      <c r="C1268" s="110">
        <v>2500</v>
      </c>
      <c r="D1268" s="110">
        <v>6900</v>
      </c>
      <c r="E1268" s="111">
        <f>SUMIFS('Accounting data'!$G$2:$G$37000,'Accounting data'!$H$2:$H$37000,"9999*",'Accounting data'!$I$2:$I$37000,"7*",'Accounting data'!$J$2:$J$37000,"25*",'Accounting data'!$K$2:$K$37000,"69*")+SUMIFS('Accounting data'!$G$2:$G$37000,'Accounting data'!$H$2:$H$37000,"9999*",'Accounting data'!$I$2:$I$37000,"8*",'Accounting data'!$J$2:$J$37000,"25*",'Accounting data'!$K$2:$K$37000,"69*")+SUMIFS('Accounting data'!$G$2:$G$37000,'Accounting data'!$H$2:$H$37000,"9999*",'Accounting data'!$I$2:$I$37000,"9*",'Accounting data'!$J$2:$J$37000,"25*",'Accounting data'!$K$2:$K$37000,"69*")</f>
        <v>0</v>
      </c>
    </row>
    <row r="1269" spans="1:5" x14ac:dyDescent="0.25">
      <c r="A1269" s="110"/>
      <c r="B1269" s="110"/>
      <c r="C1269" s="110"/>
      <c r="D1269" s="110"/>
      <c r="E1269" s="111"/>
    </row>
    <row r="1270" spans="1:5" x14ac:dyDescent="0.25">
      <c r="A1270" s="112" t="s">
        <v>991</v>
      </c>
      <c r="B1270" s="110" t="s">
        <v>992</v>
      </c>
      <c r="C1270" s="110">
        <v>2500</v>
      </c>
      <c r="D1270" s="119">
        <v>6700</v>
      </c>
      <c r="E1270" s="111">
        <f>SUMIFS('Accounting data'!$G$2:$G$37000,'Accounting data'!$H$2:$H$37000,"9999*",'Accounting data'!$I$2:$I$37000,"7*",'Accounting data'!$J$2:$J$37000,"25*",'Accounting data'!$K$2:$K$37000,"67*")+SUMIFS('Accounting data'!$G$2:$G$37000,'Accounting data'!$H$2:$H$37000,"9999*",'Accounting data'!$I$2:$I$37000,"8*",'Accounting data'!$J$2:$J$37000,"25*",'Accounting data'!$K$2:$K$37000,"67*")+SUMIFS('Accounting data'!$G$2:$G$37000,'Accounting data'!$H$2:$H$37000,"9999*",'Accounting data'!$I$2:$I$37000,"9*",'Accounting data'!$J$2:$J$37000,"25*",'Accounting data'!$K$2:$K$37000,"67*")</f>
        <v>0</v>
      </c>
    </row>
    <row r="1271" spans="1:5" x14ac:dyDescent="0.25">
      <c r="A1271" s="112"/>
      <c r="B1271" s="110"/>
      <c r="C1271" s="110"/>
      <c r="D1271" s="119"/>
      <c r="E1271" s="111"/>
    </row>
    <row r="1272" spans="1:5" x14ac:dyDescent="0.25">
      <c r="A1272" s="112"/>
      <c r="B1272" s="110"/>
      <c r="C1272" s="110"/>
      <c r="D1272" s="119"/>
      <c r="E1272" s="111"/>
    </row>
    <row r="1273" spans="1:5" x14ac:dyDescent="0.25">
      <c r="A1273" s="113" t="s">
        <v>1100</v>
      </c>
      <c r="B1273" s="113"/>
      <c r="C1273" s="113"/>
      <c r="D1273" s="113"/>
      <c r="E1273" s="115">
        <f>(E1263-E1264-E1265)-((E1266+E1267)-(E1268+E1269))-(E1270+E1271+E1272)</f>
        <v>0</v>
      </c>
    </row>
    <row r="1274" spans="1:5" x14ac:dyDescent="0.25">
      <c r="A1274" s="110" t="s">
        <v>990</v>
      </c>
      <c r="B1274" s="110" t="s">
        <v>992</v>
      </c>
      <c r="C1274" s="110">
        <v>2900</v>
      </c>
      <c r="D1274" s="110">
        <v>6000</v>
      </c>
      <c r="E1274" s="111">
        <f>SUMIFS('Accounting data'!$G$2:$G$37000,'Accounting data'!$I$2:$I$37000,"7*",'Accounting data'!$J$2:$J$37000,"29*",'Accounting data'!$K$2:$K$37000,"6*")+SUMIFS('Accounting data'!$G$2:$G$37000,'Accounting data'!$I$2:$I$37000,"8*",'Accounting data'!$J$2:$J$37000,"29*",'Accounting data'!$K$2:$K$37000,"6*")+SUMIFS('Accounting data'!$G$2:$G$37000,'Accounting data'!$I$2:$I$37000,"9*",'Accounting data'!$J$2:$J$37000,"29*",'Accounting data'!$K$2:$K$37000,"6*")</f>
        <v>0</v>
      </c>
    </row>
    <row r="1275" spans="1:5" x14ac:dyDescent="0.25">
      <c r="A1275" s="110" t="s">
        <v>990</v>
      </c>
      <c r="B1275" s="110" t="s">
        <v>992</v>
      </c>
      <c r="C1275" s="110">
        <v>2900</v>
      </c>
      <c r="D1275" s="110">
        <v>6900</v>
      </c>
      <c r="E1275" s="111">
        <f>SUMIFS('Accounting data'!$G$2:$G$37000,'Accounting data'!$I$2:$I$37000,"7*",'Accounting data'!$J$2:$J$37000,"29*",'Accounting data'!$K$2:$K$37000,"69*")+SUMIFS('Accounting data'!$G$2:$G$37000,'Accounting data'!$I$2:$I$37000,"8*",'Accounting data'!$J$2:$J$37000,"29*",'Accounting data'!$K$2:$K$37000,"69*")+SUMIFS('Accounting data'!$G$2:$G$37000,'Accounting data'!$I$2:$I$37000,"9*",'Accounting data'!$J$2:$J$37000,"29*",'Accounting data'!$K$2:$K$37000,"69*")</f>
        <v>0</v>
      </c>
    </row>
    <row r="1276" spans="1:5" x14ac:dyDescent="0.25">
      <c r="A1276" s="110" t="s">
        <v>990</v>
      </c>
      <c r="B1276" s="110" t="s">
        <v>992</v>
      </c>
      <c r="C1276" s="110">
        <v>2900</v>
      </c>
      <c r="D1276" s="119">
        <v>6700</v>
      </c>
      <c r="E1276" s="111">
        <f>SUMIFS('Accounting data'!$G$2:$G$37000,'Accounting data'!$I$2:$I$37000,"7*",'Accounting data'!$J$2:$J$37000,"29*",'Accounting data'!$K$2:$K$37000,"67*")+SUMIFS('Accounting data'!$G$2:$G$37000,'Accounting data'!$I$2:$I$37000,"8*",'Accounting data'!$J$2:$J$37000,"29*",'Accounting data'!$K$2:$K$37000,"67*")+SUMIFS('Accounting data'!$G$2:$G$37000,'Accounting data'!$I$2:$I$37000,"9*",'Accounting data'!$J$2:$J$37000,"29*",'Accounting data'!$K$2:$K$37000,"67*")</f>
        <v>0</v>
      </c>
    </row>
    <row r="1277" spans="1:5" x14ac:dyDescent="0.25">
      <c r="A1277" s="112" t="s">
        <v>991</v>
      </c>
      <c r="B1277" s="110" t="s">
        <v>992</v>
      </c>
      <c r="C1277" s="110">
        <v>2900</v>
      </c>
      <c r="D1277" s="110">
        <v>6000</v>
      </c>
      <c r="E1277" s="111">
        <f>SUMIFS('Accounting data'!$G$2:$G$37000,'Accounting data'!$H$2:$H$37000,"9999*",'Accounting data'!$I$2:$I$37000,"7*",'Accounting data'!$J$2:$J$37000,"29*",'Accounting data'!$K$2:$K$37000,"6*")+SUMIFS('Accounting data'!$G$2:$G$37000,'Accounting data'!$H$2:$H$37000,"9999*",'Accounting data'!$I$2:$I$37000,"8*",'Accounting data'!$J$2:$J$37000,"29*",'Accounting data'!$K$2:$K$37000,"6*")+SUMIFS('Accounting data'!$G$2:$G$37000,'Accounting data'!$H$2:$H$37000,"9999*",'Accounting data'!$I$2:$I$37000,"9*",'Accounting data'!$J$2:$J$37000,"29*",'Accounting data'!$K$2:$K$37000,"6*")</f>
        <v>0</v>
      </c>
    </row>
    <row r="1278" spans="1:5" x14ac:dyDescent="0.25">
      <c r="A1278" s="110"/>
      <c r="B1278" s="110"/>
      <c r="C1278" s="110"/>
      <c r="D1278" s="110"/>
      <c r="E1278" s="111"/>
    </row>
    <row r="1279" spans="1:5" x14ac:dyDescent="0.25">
      <c r="A1279" s="112" t="s">
        <v>991</v>
      </c>
      <c r="B1279" s="110" t="s">
        <v>992</v>
      </c>
      <c r="C1279" s="110">
        <v>2900</v>
      </c>
      <c r="D1279" s="110">
        <v>6900</v>
      </c>
      <c r="E1279" s="111">
        <f>SUMIFS('Accounting data'!$G$2:$G$37000,'Accounting data'!$H$2:$H$37000,"9999*",'Accounting data'!$I$2:$I$37000,"7*",'Accounting data'!$J$2:$J$37000,"29*",'Accounting data'!$K$2:$K$37000,"69*")+SUMIFS('Accounting data'!$G$2:$G$37000,'Accounting data'!$H$2:$H$37000,"9999*",'Accounting data'!$I$2:$I$37000,"8*",'Accounting data'!$J$2:$J$37000,"29*",'Accounting data'!$K$2:$K$37000,"69*")+SUMIFS('Accounting data'!$G$2:$G$37000,'Accounting data'!$H$2:$H$37000,"9999*",'Accounting data'!$I$2:$I$37000,"9*",'Accounting data'!$J$2:$J$37000,"29*",'Accounting data'!$K$2:$K$37000,"69*")</f>
        <v>0</v>
      </c>
    </row>
    <row r="1280" spans="1:5" x14ac:dyDescent="0.25">
      <c r="A1280" s="110"/>
      <c r="B1280" s="110"/>
      <c r="C1280" s="110"/>
      <c r="D1280" s="110"/>
      <c r="E1280" s="111"/>
    </row>
    <row r="1281" spans="1:5" x14ac:dyDescent="0.25">
      <c r="A1281" s="112" t="s">
        <v>991</v>
      </c>
      <c r="B1281" s="110" t="s">
        <v>992</v>
      </c>
      <c r="C1281" s="110">
        <v>2900</v>
      </c>
      <c r="D1281" s="119">
        <v>6700</v>
      </c>
      <c r="E1281" s="111">
        <f>SUMIFS('Accounting data'!$G$2:$G$37000,'Accounting data'!$H$2:$H$37000,"9999*",'Accounting data'!$I$2:$I$37000,"7*",'Accounting data'!$J$2:$J$37000,"29*",'Accounting data'!$K$2:$K$37000,"67*")+SUMIFS('Accounting data'!$G$2:$G$37000,'Accounting data'!$H$2:$H$37000,"9999*",'Accounting data'!$I$2:$I$37000,"8*",'Accounting data'!$J$2:$J$37000,"29*",'Accounting data'!$K$2:$K$37000,"67*")+SUMIFS('Accounting data'!$G$2:$G$37000,'Accounting data'!$H$2:$H$37000,"9999*",'Accounting data'!$I$2:$I$37000,"9*",'Accounting data'!$J$2:$J$37000,"29*",'Accounting data'!$K$2:$K$37000,"67*")</f>
        <v>0</v>
      </c>
    </row>
    <row r="1282" spans="1:5" x14ac:dyDescent="0.25">
      <c r="A1282" s="112"/>
      <c r="B1282" s="110"/>
      <c r="C1282" s="110"/>
      <c r="D1282" s="119"/>
      <c r="E1282" s="111"/>
    </row>
    <row r="1283" spans="1:5" x14ac:dyDescent="0.25">
      <c r="A1283" s="112"/>
      <c r="B1283" s="110"/>
      <c r="C1283" s="110"/>
      <c r="D1283" s="119"/>
      <c r="E1283" s="111"/>
    </row>
    <row r="1284" spans="1:5" x14ac:dyDescent="0.25">
      <c r="A1284" s="113" t="s">
        <v>1101</v>
      </c>
      <c r="B1284" s="113"/>
      <c r="C1284" s="113"/>
      <c r="D1284" s="113"/>
      <c r="E1284" s="115">
        <f>(E1274-E1275-E1276)-((E1277+E1278)-(E1279+E1280))-(E1281+E1282+E1283)</f>
        <v>0</v>
      </c>
    </row>
    <row r="1285" spans="1:5" x14ac:dyDescent="0.25">
      <c r="A1285" s="110" t="s">
        <v>990</v>
      </c>
      <c r="B1285" s="110" t="s">
        <v>992</v>
      </c>
      <c r="C1285" s="110">
        <v>2600</v>
      </c>
      <c r="D1285" s="110">
        <v>6000</v>
      </c>
      <c r="E1285" s="111">
        <f>SUMIFS('Accounting data'!$G$2:$G$37000,'Accounting data'!$I$2:$I$37000,"7*",'Accounting data'!$J$2:$J$37000,"26*",'Accounting data'!$K$2:$K$37000,"6*")+SUMIFS('Accounting data'!$G$2:$G$37000,'Accounting data'!$I$2:$I$37000,"8*",'Accounting data'!$J$2:$J$37000,"26*",'Accounting data'!$K$2:$K$37000,"6*")+SUMIFS('Accounting data'!$G$2:$G$37000,'Accounting data'!$I$2:$I$37000,"9*",'Accounting data'!$J$2:$J$37000,"26*",'Accounting data'!$K$2:$K$37000,"6*")</f>
        <v>0</v>
      </c>
    </row>
    <row r="1286" spans="1:5" x14ac:dyDescent="0.25">
      <c r="A1286" s="110" t="s">
        <v>990</v>
      </c>
      <c r="B1286" s="110" t="s">
        <v>992</v>
      </c>
      <c r="C1286" s="110">
        <v>2600</v>
      </c>
      <c r="D1286" s="110">
        <v>6900</v>
      </c>
      <c r="E1286" s="111">
        <f>SUMIFS('Accounting data'!$G$2:$G$37000,'Accounting data'!$I$2:$I$37000,"7*",'Accounting data'!$J$2:$J$37000,"26*",'Accounting data'!$K$2:$K$37000,"69*")+SUMIFS('Accounting data'!$G$2:$G$37000,'Accounting data'!$I$2:$I$37000,"8*",'Accounting data'!$J$2:$J$37000,"26*",'Accounting data'!$K$2:$K$37000,"69*")+SUMIFS('Accounting data'!$G$2:$G$37000,'Accounting data'!$I$2:$I$37000,"9*",'Accounting data'!$J$2:$J$37000,"26*",'Accounting data'!$K$2:$K$37000,"69*")</f>
        <v>0</v>
      </c>
    </row>
    <row r="1287" spans="1:5" x14ac:dyDescent="0.25">
      <c r="A1287" s="110" t="s">
        <v>990</v>
      </c>
      <c r="B1287" s="110" t="s">
        <v>992</v>
      </c>
      <c r="C1287" s="110">
        <v>2600</v>
      </c>
      <c r="D1287" s="119">
        <v>6700</v>
      </c>
      <c r="E1287" s="111">
        <f>SUMIFS('Accounting data'!$G$2:$G$37000,'Accounting data'!$I$2:$I$37000,"7*",'Accounting data'!$J$2:$J$37000,"26*",'Accounting data'!$K$2:$K$37000,"67*")+SUMIFS('Accounting data'!$G$2:$G$37000,'Accounting data'!$I$2:$I$37000,"8*",'Accounting data'!$J$2:$J$37000,"26*",'Accounting data'!$K$2:$K$37000,"67*")+SUMIFS('Accounting data'!$G$2:$G$37000,'Accounting data'!$I$2:$I$37000,"9*",'Accounting data'!$J$2:$J$37000,"26*",'Accounting data'!$K$2:$K$37000,"67*")</f>
        <v>0</v>
      </c>
    </row>
    <row r="1288" spans="1:5" x14ac:dyDescent="0.25">
      <c r="A1288" s="112" t="s">
        <v>991</v>
      </c>
      <c r="B1288" s="110" t="s">
        <v>992</v>
      </c>
      <c r="C1288" s="110">
        <v>2600</v>
      </c>
      <c r="D1288" s="110">
        <v>6000</v>
      </c>
      <c r="E1288" s="111">
        <f>SUMIFS('Accounting data'!$G$2:$G$37000,'Accounting data'!$H$2:$H$37000,"9999*",'Accounting data'!$I$2:$I$37000,"7*",'Accounting data'!$J$2:$J$37000,"26*",'Accounting data'!$K$2:$K$37000,"6*")+SUMIFS('Accounting data'!$G$2:$G$37000,'Accounting data'!$H$2:$H$37000,"9999*",'Accounting data'!$I$2:$I$37000,"8*",'Accounting data'!$J$2:$J$37000,"26*",'Accounting data'!$K$2:$K$37000,"6*")+SUMIFS('Accounting data'!$G$2:$G$37000,'Accounting data'!$H$2:$H$37000,"9999*",'Accounting data'!$I$2:$I$37000,"9*",'Accounting data'!$J$2:$J$37000,"26*",'Accounting data'!$K$2:$K$37000,"6*")</f>
        <v>0</v>
      </c>
    </row>
    <row r="1290" spans="1:5" x14ac:dyDescent="0.25">
      <c r="A1290" s="112" t="s">
        <v>991</v>
      </c>
      <c r="B1290" s="110" t="s">
        <v>992</v>
      </c>
      <c r="C1290" s="110">
        <v>2600</v>
      </c>
      <c r="D1290" s="110">
        <v>6900</v>
      </c>
      <c r="E1290" s="111">
        <f>SUMIFS('Accounting data'!$G$2:$G$37000,'Accounting data'!$H$2:$H$37000,"9999*",'Accounting data'!$I$2:$I$37000,"7*",'Accounting data'!$J$2:$J$37000,"26*",'Accounting data'!$K$2:$K$37000,"69*")+SUMIFS('Accounting data'!$G$2:$G$37000,'Accounting data'!$H$2:$H$37000,"9999*",'Accounting data'!$I$2:$I$37000,"8*",'Accounting data'!$J$2:$J$37000,"26*",'Accounting data'!$K$2:$K$37000,"69*")+SUMIFS('Accounting data'!$G$2:$G$37000,'Accounting data'!$H$2:$H$37000,"9999*",'Accounting data'!$I$2:$I$37000,"9*",'Accounting data'!$J$2:$J$37000,"26*",'Accounting data'!$K$2:$K$37000,"69*")</f>
        <v>0</v>
      </c>
    </row>
    <row r="1291" spans="1:5" x14ac:dyDescent="0.25">
      <c r="A1291" s="110"/>
      <c r="B1291" s="110"/>
      <c r="C1291" s="110"/>
      <c r="D1291" s="110"/>
      <c r="E1291" s="111"/>
    </row>
    <row r="1292" spans="1:5" x14ac:dyDescent="0.25">
      <c r="A1292" s="112" t="s">
        <v>991</v>
      </c>
      <c r="B1292" s="110" t="s">
        <v>992</v>
      </c>
      <c r="C1292" s="110">
        <v>2600</v>
      </c>
      <c r="D1292" s="119">
        <v>6700</v>
      </c>
      <c r="E1292" s="111">
        <f>SUMIFS('Accounting data'!$G$2:$G$37000,'Accounting data'!$H$2:$H$37000,"9999*",'Accounting data'!$I$2:$I$37000,"7*",'Accounting data'!$J$2:$J$37000,"26*",'Accounting data'!$K$2:$K$37000,"67*")+SUMIFS('Accounting data'!$G$2:$G$37000,'Accounting data'!$H$2:$H$37000,"9999*",'Accounting data'!$I$2:$I$37000,"8*",'Accounting data'!$J$2:$J$37000,"26*",'Accounting data'!$K$2:$K$37000,"67*")+SUMIFS('Accounting data'!$G$2:$G$37000,'Accounting data'!$H$2:$H$37000,"9999*",'Accounting data'!$I$2:$I$37000,"9*",'Accounting data'!$J$2:$J$37000,"26*",'Accounting data'!$K$2:$K$37000,"67*")</f>
        <v>0</v>
      </c>
    </row>
    <row r="1293" spans="1:5" x14ac:dyDescent="0.25">
      <c r="A1293" s="112"/>
      <c r="B1293" s="110"/>
      <c r="C1293" s="110"/>
      <c r="D1293" s="119"/>
      <c r="E1293" s="111"/>
    </row>
    <row r="1294" spans="1:5" x14ac:dyDescent="0.25">
      <c r="A1294" s="112"/>
      <c r="B1294" s="110"/>
      <c r="C1294" s="110"/>
      <c r="D1294" s="119"/>
      <c r="E1294" s="111"/>
    </row>
    <row r="1295" spans="1:5" x14ac:dyDescent="0.25">
      <c r="A1295" s="113" t="s">
        <v>1102</v>
      </c>
      <c r="B1295" s="113"/>
      <c r="C1295" s="113"/>
      <c r="D1295" s="113"/>
      <c r="E1295" s="115">
        <f>(E1285-E1286-E1287)-((E1288+E1289)-(E1290+E1291))-(E1292+E1293+E1294)</f>
        <v>0</v>
      </c>
    </row>
    <row r="1296" spans="1:5" x14ac:dyDescent="0.25">
      <c r="A1296" s="110" t="s">
        <v>990</v>
      </c>
      <c r="B1296" s="110" t="s">
        <v>992</v>
      </c>
      <c r="C1296" s="110">
        <v>3100</v>
      </c>
      <c r="D1296" s="110">
        <v>6000</v>
      </c>
      <c r="E1296" s="111">
        <f>SUMIFS('Accounting data'!$G$2:$G$37000,'Accounting data'!$I$2:$I$37000,"7*",'Accounting data'!$J$2:$J$37000,"31*",'Accounting data'!$K$2:$K$37000,"6*")+SUMIFS('Accounting data'!$G$2:$G$37000,'Accounting data'!$I$2:$I$37000,"8*",'Accounting data'!$J$2:$J$37000,"31*",'Accounting data'!$K$2:$K$37000,"6*")+SUMIFS('Accounting data'!$G$2:$G$37000,'Accounting data'!$I$2:$I$37000,"9*",'Accounting data'!$J$2:$J$37000,"31*",'Accounting data'!$K$2:$K$37000,"6*")</f>
        <v>0</v>
      </c>
    </row>
    <row r="1297" spans="1:5" x14ac:dyDescent="0.25">
      <c r="A1297" s="110" t="s">
        <v>990</v>
      </c>
      <c r="B1297" s="110" t="s">
        <v>992</v>
      </c>
      <c r="C1297" s="110">
        <v>3100</v>
      </c>
      <c r="D1297" s="110">
        <v>6900</v>
      </c>
      <c r="E1297" s="111">
        <f>SUMIFS('Accounting data'!$G$2:$G$37000,'Accounting data'!$I$2:$I$37000,"7*",'Accounting data'!$J$2:$J$37000,"31*",'Accounting data'!$K$2:$K$37000,"69*")+SUMIFS('Accounting data'!$G$2:$G$37000,'Accounting data'!$I$2:$I$37000,"8*",'Accounting data'!$J$2:$J$37000,"31*",'Accounting data'!$K$2:$K$37000,"69*")+SUMIFS('Accounting data'!$G$2:$G$37000,'Accounting data'!$I$2:$I$37000,"9*",'Accounting data'!$J$2:$J$37000,"31*",'Accounting data'!$K$2:$K$37000,"69*")</f>
        <v>0</v>
      </c>
    </row>
    <row r="1298" spans="1:5" x14ac:dyDescent="0.25">
      <c r="A1298" s="110" t="s">
        <v>990</v>
      </c>
      <c r="B1298" s="110" t="s">
        <v>992</v>
      </c>
      <c r="C1298" s="110">
        <v>3100</v>
      </c>
      <c r="D1298" s="119">
        <v>6700</v>
      </c>
      <c r="E1298" s="111">
        <f>SUMIFS('Accounting data'!$G$2:$G$37000,'Accounting data'!$I$2:$I$37000,"7*",'Accounting data'!$J$2:$J$37000,"31*",'Accounting data'!$K$2:$K$37000,"67*")+SUMIFS('Accounting data'!$G$2:$G$37000,'Accounting data'!$I$2:$I$37000,"8*",'Accounting data'!$J$2:$J$37000,"31*",'Accounting data'!$K$2:$K$37000,"67*")+SUMIFS('Accounting data'!$G$2:$G$37000,'Accounting data'!$I$2:$I$37000,"9*",'Accounting data'!$J$2:$J$37000,"31*",'Accounting data'!$K$2:$K$37000,"67*")</f>
        <v>0</v>
      </c>
    </row>
    <row r="1299" spans="1:5" x14ac:dyDescent="0.25">
      <c r="A1299" s="112" t="s">
        <v>991</v>
      </c>
      <c r="B1299" s="110" t="s">
        <v>992</v>
      </c>
      <c r="C1299" s="110">
        <v>3100</v>
      </c>
      <c r="D1299" s="110">
        <v>6000</v>
      </c>
      <c r="E1299" s="111">
        <f>SUMIFS('Accounting data'!$G$2:$G$37000,'Accounting data'!$H$2:$H$37000,"9999*",'Accounting data'!$I$2:$I$37000,"7*",'Accounting data'!$J$2:$J$37000,"31*",'Accounting data'!$K$2:$K$37000,"6*")+SUMIFS('Accounting data'!$G$2:$G$37000,'Accounting data'!$H$2:$H$37000,"9999*",'Accounting data'!$I$2:$I$37000,"8*",'Accounting data'!$J$2:$J$37000,"31*",'Accounting data'!$K$2:$K$37000,"6*")+SUMIFS('Accounting data'!$G$2:$G$37000,'Accounting data'!$H$2:$H$37000,"9999*",'Accounting data'!$I$2:$I$37000,"9*",'Accounting data'!$J$2:$J$37000,"31*",'Accounting data'!$K$2:$K$37000,"6*")</f>
        <v>0</v>
      </c>
    </row>
    <row r="1300" spans="1:5" x14ac:dyDescent="0.25">
      <c r="A1300" s="110"/>
      <c r="B1300" s="110"/>
      <c r="C1300" s="110"/>
      <c r="D1300" s="110"/>
      <c r="E1300" s="111"/>
    </row>
    <row r="1301" spans="1:5" x14ac:dyDescent="0.25">
      <c r="A1301" s="112" t="s">
        <v>991</v>
      </c>
      <c r="B1301" s="110" t="s">
        <v>992</v>
      </c>
      <c r="C1301" s="110">
        <v>3100</v>
      </c>
      <c r="D1301" s="110">
        <v>6900</v>
      </c>
      <c r="E1301" s="111">
        <f>SUMIFS('Accounting data'!$G$2:$G$37000,'Accounting data'!$H$2:$H$37000,"9999*",'Accounting data'!$I$2:$I$37000,"7*",'Accounting data'!$J$2:$J$37000,"31*",'Accounting data'!$K$2:$K$37000,"69*")+SUMIFS('Accounting data'!$G$2:$G$37000,'Accounting data'!$H$2:$H$37000,"9999*",'Accounting data'!$I$2:$I$37000,"8*",'Accounting data'!$J$2:$J$37000,"31*",'Accounting data'!$K$2:$K$37000,"69*")+SUMIFS('Accounting data'!$G$2:$G$37000,'Accounting data'!$H$2:$H$37000,"9999*",'Accounting data'!$I$2:$I$37000,"9*",'Accounting data'!$J$2:$J$37000,"31*",'Accounting data'!$K$2:$K$37000,"69*")</f>
        <v>0</v>
      </c>
    </row>
    <row r="1302" spans="1:5" x14ac:dyDescent="0.25">
      <c r="A1302" s="110"/>
      <c r="B1302" s="110"/>
      <c r="C1302" s="110"/>
      <c r="D1302" s="110"/>
      <c r="E1302" s="111"/>
    </row>
    <row r="1303" spans="1:5" x14ac:dyDescent="0.25">
      <c r="A1303" s="112" t="s">
        <v>991</v>
      </c>
      <c r="B1303" s="110" t="s">
        <v>992</v>
      </c>
      <c r="C1303" s="110">
        <v>3100</v>
      </c>
      <c r="D1303" s="119">
        <v>6700</v>
      </c>
      <c r="E1303" s="111">
        <f>SUMIFS('Accounting data'!$G$2:$G$37000,'Accounting data'!$H$2:$H$37000,"9999*",'Accounting data'!$I$2:$I$37000,"7*",'Accounting data'!$J$2:$J$37000,"31*",'Accounting data'!$K$2:$K$37000,"67*")+SUMIFS('Accounting data'!$G$2:$G$37000,'Accounting data'!$H$2:$H$37000,"9999*",'Accounting data'!$I$2:$I$37000,"8*",'Accounting data'!$J$2:$J$37000,"31*",'Accounting data'!$K$2:$K$37000,"67*")+SUMIFS('Accounting data'!$G$2:$G$37000,'Accounting data'!$H$2:$H$37000,"9999*",'Accounting data'!$I$2:$I$37000,"9*",'Accounting data'!$J$2:$J$37000,"31*",'Accounting data'!$K$2:$K$37000,"67*")</f>
        <v>0</v>
      </c>
    </row>
    <row r="1306" spans="1:5" x14ac:dyDescent="0.25">
      <c r="A1306" s="113" t="s">
        <v>1103</v>
      </c>
      <c r="B1306" s="113"/>
      <c r="C1306" s="113"/>
      <c r="D1306" s="113"/>
      <c r="E1306" s="115">
        <f>(E1296-E1297-E1298)-((E1299+E1300)-(E1301+E1302))-(E1303+E1304+E1305)</f>
        <v>0</v>
      </c>
    </row>
    <row r="1307" spans="1:5" x14ac:dyDescent="0.25">
      <c r="A1307" s="110"/>
      <c r="B1307" s="110"/>
      <c r="C1307" s="110"/>
      <c r="D1307" s="110"/>
      <c r="E1307" s="111"/>
    </row>
    <row r="1308" spans="1:5" x14ac:dyDescent="0.25">
      <c r="A1308" s="110"/>
      <c r="B1308" s="110"/>
      <c r="C1308" s="110"/>
      <c r="D1308" s="110"/>
      <c r="E1308" s="111"/>
    </row>
    <row r="1309" spans="1:5" x14ac:dyDescent="0.25">
      <c r="A1309" s="110"/>
      <c r="B1309" s="110"/>
      <c r="C1309" s="110"/>
      <c r="D1309" s="119"/>
      <c r="E1309" s="111"/>
    </row>
    <row r="1310" spans="1:5" x14ac:dyDescent="0.25">
      <c r="A1310" s="112"/>
      <c r="B1310" s="110"/>
      <c r="C1310" s="110"/>
      <c r="D1310" s="110"/>
      <c r="E1310" s="111"/>
    </row>
    <row r="1311" spans="1:5" x14ac:dyDescent="0.25">
      <c r="A1311" s="110"/>
      <c r="B1311" s="110"/>
      <c r="C1311" s="110"/>
      <c r="D1311" s="110"/>
      <c r="E1311" s="111"/>
    </row>
    <row r="1312" spans="1:5" x14ac:dyDescent="0.25">
      <c r="A1312" s="112"/>
      <c r="B1312" s="110"/>
      <c r="C1312" s="110"/>
      <c r="D1312" s="110"/>
      <c r="E1312" s="111"/>
    </row>
    <row r="1313" spans="1:5" x14ac:dyDescent="0.25">
      <c r="A1313" s="110"/>
      <c r="B1313" s="110"/>
      <c r="C1313" s="110"/>
      <c r="D1313" s="110"/>
      <c r="E1313" s="111"/>
    </row>
    <row r="1314" spans="1:5" x14ac:dyDescent="0.25">
      <c r="A1314" s="112"/>
      <c r="B1314" s="110"/>
      <c r="C1314" s="110"/>
      <c r="D1314" s="119"/>
      <c r="E1314" s="111"/>
    </row>
    <row r="1315" spans="1:5" x14ac:dyDescent="0.25">
      <c r="A1315" s="112"/>
      <c r="B1315" s="110"/>
      <c r="C1315" s="110"/>
      <c r="D1315" s="119"/>
      <c r="E1315" s="111"/>
    </row>
    <row r="1316" spans="1:5" x14ac:dyDescent="0.25">
      <c r="A1316" s="112"/>
      <c r="B1316" s="110"/>
      <c r="C1316" s="110"/>
      <c r="D1316" s="119"/>
      <c r="E1316" s="111"/>
    </row>
    <row r="1317" spans="1:5" x14ac:dyDescent="0.25">
      <c r="A1317" s="113"/>
      <c r="B1317" s="113"/>
      <c r="C1317" s="113"/>
      <c r="D1317" s="113"/>
      <c r="E1317" s="115"/>
    </row>
    <row r="1318" spans="1:5" x14ac:dyDescent="0.25">
      <c r="A1318" s="110" t="s">
        <v>990</v>
      </c>
      <c r="B1318" s="110" t="s">
        <v>992</v>
      </c>
      <c r="C1318" s="110">
        <v>3300</v>
      </c>
      <c r="D1318" s="110">
        <v>6000</v>
      </c>
      <c r="E1318" s="111">
        <f>SUMIFS('Accounting data'!$G$2:$G$37000,'Accounting data'!$I$2:$I$37000,"7*",'Accounting data'!$J$2:$J$37000,"33*",'Accounting data'!$K$2:$K$37000,"6*")+SUMIFS('Accounting data'!$G$2:$G$37000,'Accounting data'!$I$2:$I$37000,"8*",'Accounting data'!$J$2:$J$37000,"33*",'Accounting data'!$K$2:$K$37000,"6*")+SUMIFS('Accounting data'!$G$2:$G$37000,'Accounting data'!$I$2:$I$37000,"9*",'Accounting data'!$J$2:$J$37000,"33*",'Accounting data'!$K$2:$K$37000,"6*")</f>
        <v>0</v>
      </c>
    </row>
    <row r="1319" spans="1:5" x14ac:dyDescent="0.25">
      <c r="A1319" s="110" t="s">
        <v>990</v>
      </c>
      <c r="B1319" s="110" t="s">
        <v>992</v>
      </c>
      <c r="C1319" s="110">
        <v>3300</v>
      </c>
      <c r="D1319" s="110">
        <v>6900</v>
      </c>
      <c r="E1319" s="111">
        <f>SUMIFS('Accounting data'!$G$2:$G$37000,'Accounting data'!$I$2:$I$37000,"7*",'Accounting data'!$J$2:$J$37000,"33*",'Accounting data'!$K$2:$K$37000,"69*")+SUMIFS('Accounting data'!$G$2:$G$37000,'Accounting data'!$I$2:$I$37000,"8*",'Accounting data'!$J$2:$J$37000,"33*",'Accounting data'!$K$2:$K$37000,"69*")+SUMIFS('Accounting data'!$G$2:$G$37000,'Accounting data'!$I$2:$I$37000,"9*",'Accounting data'!$J$2:$J$37000,"33*",'Accounting data'!$K$2:$K$37000,"69*")</f>
        <v>0</v>
      </c>
    </row>
    <row r="1320" spans="1:5" x14ac:dyDescent="0.25">
      <c r="A1320" s="110" t="s">
        <v>990</v>
      </c>
      <c r="B1320" s="110" t="s">
        <v>992</v>
      </c>
      <c r="C1320" s="110">
        <v>3300</v>
      </c>
      <c r="D1320" s="119">
        <v>6700</v>
      </c>
      <c r="E1320" s="111">
        <f>SUMIFS('Accounting data'!$G$2:$G$37000,'Accounting data'!$I$2:$I$37000,"7*",'Accounting data'!$J$2:$J$37000,"33*",'Accounting data'!$K$2:$K$37000,"67*")+SUMIFS('Accounting data'!$G$2:$G$37000,'Accounting data'!$I$2:$I$37000,"8*",'Accounting data'!$J$2:$J$37000,"33*",'Accounting data'!$K$2:$K$37000,"67*")+SUMIFS('Accounting data'!$G$2:$G$37000,'Accounting data'!$I$2:$I$37000,"9*",'Accounting data'!$J$2:$J$37000,"33*",'Accounting data'!$K$2:$K$37000,"67*")</f>
        <v>0</v>
      </c>
    </row>
    <row r="1321" spans="1:5" x14ac:dyDescent="0.25">
      <c r="A1321" s="112" t="s">
        <v>991</v>
      </c>
      <c r="B1321" s="110" t="s">
        <v>992</v>
      </c>
      <c r="C1321" s="110">
        <v>3300</v>
      </c>
      <c r="D1321" s="110">
        <v>6000</v>
      </c>
      <c r="E1321" s="111">
        <f>SUMIFS('Accounting data'!$G$2:$G$37000,'Accounting data'!$H$2:$H$37000,"9999*",'Accounting data'!$I$2:$I$37000,"7*",'Accounting data'!$J$2:$J$37000,"33*",'Accounting data'!$K$2:$K$37000,"6*")+SUMIFS('Accounting data'!$G$2:$G$37000,'Accounting data'!$H$2:$H$37000,"9999*",'Accounting data'!$I$2:$I$37000,"8*",'Accounting data'!$J$2:$J$37000,"33*",'Accounting data'!$K$2:$K$37000,"6*")+SUMIFS('Accounting data'!$G$2:$G$37000,'Accounting data'!$H$2:$H$37000,"9999*",'Accounting data'!$I$2:$I$37000,"9*",'Accounting data'!$J$2:$J$37000,"33*",'Accounting data'!$K$2:$K$37000,"6*")</f>
        <v>0</v>
      </c>
    </row>
    <row r="1323" spans="1:5" x14ac:dyDescent="0.25">
      <c r="A1323" s="112" t="s">
        <v>991</v>
      </c>
      <c r="B1323" s="110" t="s">
        <v>992</v>
      </c>
      <c r="C1323" s="110">
        <v>3300</v>
      </c>
      <c r="D1323" s="110">
        <v>6900</v>
      </c>
      <c r="E1323" s="111">
        <f>SUMIFS('Accounting data'!$G$2:$G$37000,'Accounting data'!$H$2:$H$37000,"9999*",'Accounting data'!$I$2:$I$37000,"7*",'Accounting data'!$J$2:$J$37000,"33*",'Accounting data'!$K$2:$K$37000,"69*")+SUMIFS('Accounting data'!$G$2:$G$37000,'Accounting data'!$H$2:$H$37000,"9999*",'Accounting data'!$I$2:$I$37000,"8*",'Accounting data'!$J$2:$J$37000,"33*",'Accounting data'!$K$2:$K$37000,"69*")+SUMIFS('Accounting data'!$G$2:$G$37000,'Accounting data'!$H$2:$H$37000,"9999*",'Accounting data'!$I$2:$I$37000,"9*",'Accounting data'!$J$2:$J$37000,"33*",'Accounting data'!$K$2:$K$37000,"69*")</f>
        <v>0</v>
      </c>
    </row>
    <row r="1324" spans="1:5" x14ac:dyDescent="0.25">
      <c r="A1324" s="110"/>
      <c r="B1324" s="110"/>
      <c r="C1324" s="110"/>
      <c r="D1324" s="110"/>
      <c r="E1324" s="111"/>
    </row>
    <row r="1325" spans="1:5" x14ac:dyDescent="0.25">
      <c r="A1325" s="112" t="s">
        <v>991</v>
      </c>
      <c r="B1325" s="110" t="s">
        <v>992</v>
      </c>
      <c r="C1325" s="110">
        <v>3300</v>
      </c>
      <c r="D1325" s="119">
        <v>6700</v>
      </c>
      <c r="E1325" s="111">
        <f>SUMIFS('Accounting data'!$G$2:$G$37000,'Accounting data'!$H$2:$H$37000,"9999*",'Accounting data'!$I$2:$I$37000,"7*",'Accounting data'!$J$2:$J$37000,"33*",'Accounting data'!$K$2:$K$37000,"67*")+SUMIFS('Accounting data'!$G$2:$G$37000,'Accounting data'!$H$2:$H$37000,"9999*",'Accounting data'!$I$2:$I$37000,"8*",'Accounting data'!$J$2:$J$37000,"33*",'Accounting data'!$K$2:$K$37000,"67*")+SUMIFS('Accounting data'!$G$2:$G$37000,'Accounting data'!$H$2:$H$37000,"9999*",'Accounting data'!$I$2:$I$37000,"9*",'Accounting data'!$J$2:$J$37000,"33*",'Accounting data'!$K$2:$K$37000,"67*")</f>
        <v>0</v>
      </c>
    </row>
    <row r="1326" spans="1:5" x14ac:dyDescent="0.25">
      <c r="A1326" s="112"/>
      <c r="B1326" s="110"/>
      <c r="C1326" s="110"/>
      <c r="D1326" s="119"/>
      <c r="E1326" s="111"/>
    </row>
    <row r="1327" spans="1:5" x14ac:dyDescent="0.25">
      <c r="A1327" s="112"/>
      <c r="B1327" s="110"/>
      <c r="C1327" s="110"/>
      <c r="D1327" s="119"/>
      <c r="E1327" s="111"/>
    </row>
    <row r="1328" spans="1:5" x14ac:dyDescent="0.25">
      <c r="A1328" s="113" t="s">
        <v>1104</v>
      </c>
      <c r="B1328" s="113"/>
      <c r="C1328" s="113"/>
      <c r="D1328" s="113"/>
      <c r="E1328" s="115">
        <f>(E1318-E1319-E1320)-((E1321+E1322)-(E1323+E1324))-(E1325+E1326+E1327)</f>
        <v>0</v>
      </c>
    </row>
    <row r="1329" spans="1:5" x14ac:dyDescent="0.25">
      <c r="A1329" s="110" t="s">
        <v>990</v>
      </c>
      <c r="B1329" s="110" t="s">
        <v>992</v>
      </c>
      <c r="C1329" s="110">
        <v>3400</v>
      </c>
      <c r="D1329" s="110">
        <v>6000</v>
      </c>
      <c r="E1329" s="111">
        <f>SUMIFS('Accounting data'!$G$2:$G$37000,'Accounting data'!$I$2:$I$37000,"7*",'Accounting data'!$J$2:$J$37000,"34*",'Accounting data'!$K$2:$K$37000,"6*")+SUMIFS('Accounting data'!$G$2:$G$37000,'Accounting data'!$I$2:$I$37000,"8*",'Accounting data'!$J$2:$J$37000,"34*",'Accounting data'!$K$2:$K$37000,"6*")+SUMIFS('Accounting data'!$G$2:$G$37000,'Accounting data'!$I$2:$I$37000,"9*",'Accounting data'!$J$2:$J$37000,"34*",'Accounting data'!$K$2:$K$37000,"6*")</f>
        <v>0</v>
      </c>
    </row>
    <row r="1330" spans="1:5" x14ac:dyDescent="0.25">
      <c r="A1330" s="110" t="s">
        <v>990</v>
      </c>
      <c r="B1330" s="110" t="s">
        <v>992</v>
      </c>
      <c r="C1330" s="110">
        <v>3400</v>
      </c>
      <c r="D1330" s="110">
        <v>6900</v>
      </c>
      <c r="E1330" s="111">
        <f>SUMIFS('Accounting data'!$G$2:$G$37000,'Accounting data'!$I$2:$I$37000,"7*",'Accounting data'!$J$2:$J$37000,"34*",'Accounting data'!$K$2:$K$37000,"69*")+SUMIFS('Accounting data'!$G$2:$G$37000,'Accounting data'!$I$2:$I$37000,"8*",'Accounting data'!$J$2:$J$37000,"34*",'Accounting data'!$K$2:$K$37000,"69*")+SUMIFS('Accounting data'!$G$2:$G$37000,'Accounting data'!$I$2:$I$37000,"9*",'Accounting data'!$J$2:$J$37000,"34*",'Accounting data'!$K$2:$K$37000,"69*")</f>
        <v>0</v>
      </c>
    </row>
    <row r="1331" spans="1:5" x14ac:dyDescent="0.25">
      <c r="A1331" s="110" t="s">
        <v>990</v>
      </c>
      <c r="B1331" s="110" t="s">
        <v>992</v>
      </c>
      <c r="C1331" s="110">
        <v>3400</v>
      </c>
      <c r="D1331" s="119">
        <v>6700</v>
      </c>
      <c r="E1331" s="111">
        <f>SUMIFS('Accounting data'!$G$2:$G$37000,'Accounting data'!$I$2:$I$37000,"7*",'Accounting data'!$J$2:$J$37000,"34*",'Accounting data'!$K$2:$K$37000,"67*")+SUMIFS('Accounting data'!$G$2:$G$37000,'Accounting data'!$I$2:$I$37000,"8*",'Accounting data'!$J$2:$J$37000,"34*",'Accounting data'!$K$2:$K$37000,"67*")+SUMIFS('Accounting data'!$G$2:$G$37000,'Accounting data'!$I$2:$I$37000,"9*",'Accounting data'!$J$2:$J$37000,"34*",'Accounting data'!$K$2:$K$37000,"67*")</f>
        <v>0</v>
      </c>
    </row>
    <row r="1332" spans="1:5" x14ac:dyDescent="0.25">
      <c r="A1332" s="112" t="s">
        <v>991</v>
      </c>
      <c r="B1332" s="110" t="s">
        <v>992</v>
      </c>
      <c r="C1332" s="110">
        <v>3400</v>
      </c>
      <c r="D1332" s="110">
        <v>6000</v>
      </c>
      <c r="E1332" s="111">
        <f>SUMIFS('Accounting data'!$G$2:$G$37000,'Accounting data'!$H$2:$H$37000,"9999*",'Accounting data'!$I$2:$I$37000,"7*",'Accounting data'!$J$2:$J$37000,"34*",'Accounting data'!$K$2:$K$37000,"6*")+SUMIFS('Accounting data'!$G$2:$G$37000,'Accounting data'!$H$2:$H$37000,"9999*",'Accounting data'!$I$2:$I$37000,"8*",'Accounting data'!$J$2:$J$37000,"34*",'Accounting data'!$K$2:$K$37000,"6*")+SUMIFS('Accounting data'!$G$2:$G$37000,'Accounting data'!$H$2:$H$37000,"9999*",'Accounting data'!$I$2:$I$37000,"9*",'Accounting data'!$J$2:$J$37000,"34*",'Accounting data'!$K$2:$K$37000,"6*")</f>
        <v>0</v>
      </c>
    </row>
    <row r="1333" spans="1:5" x14ac:dyDescent="0.25">
      <c r="A1333" s="110"/>
      <c r="B1333" s="110"/>
      <c r="C1333" s="110"/>
      <c r="D1333" s="110"/>
      <c r="E1333" s="111"/>
    </row>
    <row r="1334" spans="1:5" x14ac:dyDescent="0.25">
      <c r="A1334" s="112" t="s">
        <v>991</v>
      </c>
      <c r="B1334" s="110" t="s">
        <v>992</v>
      </c>
      <c r="C1334" s="110">
        <v>3400</v>
      </c>
      <c r="D1334" s="110">
        <v>6900</v>
      </c>
      <c r="E1334" s="111">
        <f>SUMIFS('Accounting data'!$G$2:$G$37000,'Accounting data'!$H$2:$H$37000,"9999*",'Accounting data'!$I$2:$I$37000,"7*",'Accounting data'!$J$2:$J$37000,"34*",'Accounting data'!$K$2:$K$37000,"69*")+SUMIFS('Accounting data'!$G$2:$G$37000,'Accounting data'!$H$2:$H$37000,"9999*",'Accounting data'!$I$2:$I$37000,"8*",'Accounting data'!$J$2:$J$37000,"34*",'Accounting data'!$K$2:$K$37000,"69*")+SUMIFS('Accounting data'!$G$2:$G$37000,'Accounting data'!$H$2:$H$37000,"9999*",'Accounting data'!$I$2:$I$37000,"9*",'Accounting data'!$J$2:$J$37000,"34*",'Accounting data'!$K$2:$K$37000,"69*")</f>
        <v>0</v>
      </c>
    </row>
    <row r="1335" spans="1:5" x14ac:dyDescent="0.25">
      <c r="A1335" s="110"/>
      <c r="B1335" s="110"/>
      <c r="C1335" s="110"/>
      <c r="D1335" s="110"/>
      <c r="E1335" s="111"/>
    </row>
    <row r="1336" spans="1:5" x14ac:dyDescent="0.25">
      <c r="A1336" s="112" t="s">
        <v>991</v>
      </c>
      <c r="B1336" s="110" t="s">
        <v>992</v>
      </c>
      <c r="C1336" s="110">
        <v>3400</v>
      </c>
      <c r="D1336" s="119">
        <v>6700</v>
      </c>
      <c r="E1336" s="111">
        <f>SUMIFS('Accounting data'!$G$2:$G$37000,'Accounting data'!$H$2:$H$37000,"9999*",'Accounting data'!$I$2:$I$37000,"7*",'Accounting data'!$J$2:$J$37000,"34*",'Accounting data'!$K$2:$K$37000,"67*")+SUMIFS('Accounting data'!$G$2:$G$37000,'Accounting data'!$H$2:$H$37000,"9999*",'Accounting data'!$I$2:$I$37000,"8*",'Accounting data'!$J$2:$J$37000,"34*",'Accounting data'!$K$2:$K$37000,"67*")+SUMIFS('Accounting data'!$G$2:$G$37000,'Accounting data'!$H$2:$H$37000,"9999*",'Accounting data'!$I$2:$I$37000,"9*",'Accounting data'!$J$2:$J$37000,"34*",'Accounting data'!$K$2:$K$37000,"67*")</f>
        <v>0</v>
      </c>
    </row>
    <row r="1339" spans="1:5" x14ac:dyDescent="0.25">
      <c r="A1339" s="113" t="s">
        <v>1105</v>
      </c>
      <c r="B1339" s="113"/>
      <c r="C1339" s="113"/>
      <c r="D1339" s="113"/>
      <c r="E1339" s="115">
        <f>(E1329-E1330-E1331)-((E1332+E1333)-(E1334+E1335))-(E1336+E1337+E1338)</f>
        <v>0</v>
      </c>
    </row>
    <row r="1340" spans="1:5" x14ac:dyDescent="0.25">
      <c r="A1340" s="110" t="s">
        <v>990</v>
      </c>
      <c r="B1340" s="110" t="s">
        <v>992</v>
      </c>
      <c r="C1340" s="110">
        <v>4000</v>
      </c>
      <c r="D1340" s="110">
        <v>6000</v>
      </c>
      <c r="E1340" s="111">
        <f>SUMIFS('Accounting data'!$G$2:$G$37000,'Accounting data'!$I$2:$I$37000,"7*",'Accounting data'!$J$2:$J$37000,"4*",'Accounting data'!$K$2:$K$37000,"6*")+SUMIFS('Accounting data'!$G$2:$G$37000,'Accounting data'!$I$2:$I$37000,"8*",'Accounting data'!$J$2:$J$37000,"4*",'Accounting data'!$K$2:$K$37000,"6*")+SUMIFS('Accounting data'!$G$2:$G$37000,'Accounting data'!$I$2:$I$37000,"9*",'Accounting data'!$J$2:$J$37000,"4*",'Accounting data'!$K$2:$K$37000,"6*")</f>
        <v>0</v>
      </c>
    </row>
    <row r="1341" spans="1:5" x14ac:dyDescent="0.25">
      <c r="A1341" s="110" t="s">
        <v>990</v>
      </c>
      <c r="B1341" s="110" t="s">
        <v>992</v>
      </c>
      <c r="C1341" s="110">
        <v>4000</v>
      </c>
      <c r="D1341" s="110">
        <v>6900</v>
      </c>
      <c r="E1341" s="111">
        <f>SUMIFS('Accounting data'!$G$2:$G$37000,'Accounting data'!$I$2:$I$37000,"7*",'Accounting data'!$J$2:$J$37000,"4*",'Accounting data'!$K$2:$K$37000,"69*")+SUMIFS('Accounting data'!$G$2:$G$37000,'Accounting data'!$I$2:$I$37000,"8*",'Accounting data'!$J$2:$J$37000,"4*",'Accounting data'!$K$2:$K$37000,"69*")+SUMIFS('Accounting data'!$G$2:$G$37000,'Accounting data'!$I$2:$I$37000,"9*",'Accounting data'!$J$2:$J$37000,"4*",'Accounting data'!$K$2:$K$37000,"69*")</f>
        <v>0</v>
      </c>
    </row>
    <row r="1342" spans="1:5" x14ac:dyDescent="0.25">
      <c r="A1342" s="110" t="s">
        <v>990</v>
      </c>
      <c r="B1342" s="110" t="s">
        <v>992</v>
      </c>
      <c r="C1342" s="110">
        <v>4000</v>
      </c>
      <c r="D1342" s="119">
        <v>6700</v>
      </c>
      <c r="E1342" s="111">
        <f>SUMIFS('Accounting data'!$G$2:$G$37000,'Accounting data'!$I$2:$I$37000,"7*",'Accounting data'!$J$2:$J$37000,"4*",'Accounting data'!$K$2:$K$37000,"67*")+SUMIFS('Accounting data'!$G$2:$G$37000,'Accounting data'!$I$2:$I$37000,"8*",'Accounting data'!$J$2:$J$37000,"4*",'Accounting data'!$K$2:$K$37000,"67*")+SUMIFS('Accounting data'!$G$2:$G$37000,'Accounting data'!$I$2:$I$37000,"9*",'Accounting data'!$J$2:$J$37000,"4*",'Accounting data'!$K$2:$K$37000,"67*")</f>
        <v>0</v>
      </c>
    </row>
    <row r="1343" spans="1:5" x14ac:dyDescent="0.25">
      <c r="A1343" s="112" t="s">
        <v>991</v>
      </c>
      <c r="B1343" s="110" t="s">
        <v>992</v>
      </c>
      <c r="C1343" s="110">
        <v>4000</v>
      </c>
      <c r="D1343" s="110">
        <v>6000</v>
      </c>
      <c r="E1343" s="111">
        <f>SUMIFS('Accounting data'!$G$2:$G$37000,'Accounting data'!$H$2:$H$37000,"9999*",'Accounting data'!$I$2:$I$37000,"7*",'Accounting data'!$J$2:$J$37000,"4*",'Accounting data'!$K$2:$K$37000,"6*")+SUMIFS('Accounting data'!$G$2:$G$37000,'Accounting data'!$H$2:$H$37000,"9999*",'Accounting data'!$I$2:$I$37000,"8*",'Accounting data'!$J$2:$J$37000,"4*",'Accounting data'!$K$2:$K$37000,"6*")+SUMIFS('Accounting data'!$G$2:$G$37000,'Accounting data'!$H$2:$H$37000,"9999*",'Accounting data'!$I$2:$I$37000,"9*",'Accounting data'!$J$2:$J$37000,"4*",'Accounting data'!$K$2:$K$37000,"6*")</f>
        <v>0</v>
      </c>
    </row>
    <row r="1344" spans="1:5" x14ac:dyDescent="0.25">
      <c r="A1344" s="110"/>
      <c r="B1344" s="110"/>
      <c r="C1344" s="110"/>
      <c r="D1344" s="110"/>
      <c r="E1344" s="111"/>
    </row>
    <row r="1345" spans="1:5" x14ac:dyDescent="0.25">
      <c r="A1345" s="112" t="s">
        <v>991</v>
      </c>
      <c r="B1345" s="110" t="s">
        <v>992</v>
      </c>
      <c r="C1345" s="110">
        <v>4000</v>
      </c>
      <c r="D1345" s="110">
        <v>6900</v>
      </c>
      <c r="E1345" s="111">
        <f>SUMIFS('Accounting data'!$G$2:$G$37000,'Accounting data'!$H$2:$H$37000,"9999*",'Accounting data'!$I$2:$I$37000,"7*",'Accounting data'!$J$2:$J$37000,"4*",'Accounting data'!$K$2:$K$37000,"69*")+SUMIFS('Accounting data'!$G$2:$G$37000,'Accounting data'!$H$2:$H$37000,"9999*",'Accounting data'!$I$2:$I$37000,"8*",'Accounting data'!$J$2:$J$37000,"4*",'Accounting data'!$K$2:$K$37000,"69*")+SUMIFS('Accounting data'!$G$2:$G$37000,'Accounting data'!$H$2:$H$37000,"9999*",'Accounting data'!$I$2:$I$37000,"9*",'Accounting data'!$J$2:$J$37000,"4*",'Accounting data'!$K$2:$K$37000,"69*")</f>
        <v>0</v>
      </c>
    </row>
    <row r="1346" spans="1:5" x14ac:dyDescent="0.25">
      <c r="A1346" s="110"/>
      <c r="B1346" s="110"/>
      <c r="C1346" s="110"/>
      <c r="D1346" s="110"/>
      <c r="E1346" s="111"/>
    </row>
    <row r="1347" spans="1:5" x14ac:dyDescent="0.25">
      <c r="A1347" s="112" t="s">
        <v>991</v>
      </c>
      <c r="B1347" s="110" t="s">
        <v>992</v>
      </c>
      <c r="C1347" s="110">
        <v>4000</v>
      </c>
      <c r="D1347" s="119">
        <v>6700</v>
      </c>
      <c r="E1347" s="111">
        <f>SUMIFS('Accounting data'!$G$2:$G$37000,'Accounting data'!$H$2:$H$37000,"9999*",'Accounting data'!$I$2:$I$37000,"7*",'Accounting data'!$J$2:$J$37000,"4*",'Accounting data'!$K$2:$K$37000,"67*")+SUMIFS('Accounting data'!$G$2:$G$37000,'Accounting data'!$H$2:$H$37000,"9999*",'Accounting data'!$I$2:$I$37000,"8*",'Accounting data'!$J$2:$J$37000,"4*",'Accounting data'!$K$2:$K$37000,"67*")+SUMIFS('Accounting data'!$G$2:$G$37000,'Accounting data'!$H$2:$H$37000,"9999*",'Accounting data'!$I$2:$I$37000,"9*",'Accounting data'!$J$2:$J$37000,"4*",'Accounting data'!$K$2:$K$37000,"67*")</f>
        <v>0</v>
      </c>
    </row>
    <row r="1348" spans="1:5" x14ac:dyDescent="0.25">
      <c r="A1348" s="112"/>
      <c r="B1348" s="110"/>
      <c r="C1348" s="110"/>
      <c r="D1348" s="119"/>
      <c r="E1348" s="111"/>
    </row>
    <row r="1349" spans="1:5" x14ac:dyDescent="0.25">
      <c r="A1349" s="112"/>
      <c r="B1349" s="110"/>
      <c r="C1349" s="110"/>
      <c r="D1349" s="119"/>
      <c r="E1349" s="111"/>
    </row>
    <row r="1350" spans="1:5" x14ac:dyDescent="0.25">
      <c r="A1350" s="113" t="s">
        <v>1106</v>
      </c>
      <c r="B1350" s="113"/>
      <c r="C1350" s="113"/>
      <c r="D1350" s="113"/>
      <c r="E1350" s="115">
        <f>(E1340-E1341-E1342)-((E1343+E1344)-(E1345+E1346))-(E1347+E1348+E1349)</f>
        <v>0</v>
      </c>
    </row>
    <row r="1351" spans="1:5" x14ac:dyDescent="0.25">
      <c r="A1351" s="110" t="s">
        <v>990</v>
      </c>
      <c r="B1351" s="110" t="s">
        <v>992</v>
      </c>
      <c r="C1351" s="110">
        <v>5000</v>
      </c>
      <c r="D1351" s="110">
        <v>6000</v>
      </c>
      <c r="E1351" s="111">
        <f>SUMIFS('Accounting data'!$G$2:$G$37000,'Accounting data'!$I$2:$I$37000,"7*",'Accounting data'!$J$2:$J$37000,"5*",'Accounting data'!$K$2:$K$37000,"6*")+SUMIFS('Accounting data'!$G$2:$G$37000,'Accounting data'!$I$2:$I$37000,"8*",'Accounting data'!$J$2:$J$37000,"5*",'Accounting data'!$K$2:$K$37000,"6*")+SUMIFS('Accounting data'!$G$2:$G$37000,'Accounting data'!$I$2:$I$37000,"9*",'Accounting data'!$J$2:$J$37000,"5*",'Accounting data'!$K$2:$K$37000,"6*")</f>
        <v>0</v>
      </c>
    </row>
    <row r="1352" spans="1:5" x14ac:dyDescent="0.25">
      <c r="A1352" s="110" t="s">
        <v>990</v>
      </c>
      <c r="B1352" s="110" t="s">
        <v>992</v>
      </c>
      <c r="C1352" s="110">
        <v>5000</v>
      </c>
      <c r="D1352" s="110">
        <v>6900</v>
      </c>
      <c r="E1352" s="111">
        <f>SUMIFS('Accounting data'!$G$2:$G$37000,'Accounting data'!$I$2:$I$37000,"7*",'Accounting data'!$J$2:$J$37000,"5*",'Accounting data'!$K$2:$K$37000,"69*")+SUMIFS('Accounting data'!$G$2:$G$37000,'Accounting data'!$I$2:$I$37000,"8*",'Accounting data'!$J$2:$J$37000,"5*",'Accounting data'!$K$2:$K$37000,"69*")+SUMIFS('Accounting data'!$G$2:$G$37000,'Accounting data'!$I$2:$I$37000,"9*",'Accounting data'!$J$2:$J$37000,"5*",'Accounting data'!$K$2:$K$37000,"69*")</f>
        <v>0</v>
      </c>
    </row>
    <row r="1353" spans="1:5" x14ac:dyDescent="0.25">
      <c r="A1353" s="110" t="s">
        <v>990</v>
      </c>
      <c r="B1353" s="110" t="s">
        <v>992</v>
      </c>
      <c r="C1353" s="110">
        <v>5000</v>
      </c>
      <c r="D1353" s="119">
        <v>6700</v>
      </c>
      <c r="E1353" s="111">
        <f>SUMIFS('Accounting data'!$G$2:$G$37000,'Accounting data'!$I$2:$I$37000,"7*",'Accounting data'!$J$2:$J$37000,"5*",'Accounting data'!$K$2:$K$37000,"67*")+SUMIFS('Accounting data'!$G$2:$G$37000,'Accounting data'!$I$2:$I$37000,"8*",'Accounting data'!$J$2:$J$37000,"5*",'Accounting data'!$K$2:$K$37000,"67*")+SUMIFS('Accounting data'!$G$2:$G$37000,'Accounting data'!$I$2:$I$37000,"9*",'Accounting data'!$J$2:$J$37000,"5*",'Accounting data'!$K$2:$K$37000,"67*")</f>
        <v>0</v>
      </c>
    </row>
    <row r="1354" spans="1:5" x14ac:dyDescent="0.25">
      <c r="A1354" s="112" t="s">
        <v>991</v>
      </c>
      <c r="B1354" s="110" t="s">
        <v>992</v>
      </c>
      <c r="C1354" s="110">
        <v>5000</v>
      </c>
      <c r="D1354" s="110">
        <v>6000</v>
      </c>
      <c r="E1354" s="111">
        <f>SUMIFS('Accounting data'!$G$2:$G$37000,'Accounting data'!$H$2:$H$37000,"9999*",'Accounting data'!$I$2:$I$37000,"7*",'Accounting data'!$J$2:$J$37000,"5*",'Accounting data'!$K$2:$K$37000,"6*")+SUMIFS('Accounting data'!$G$2:$G$37000,'Accounting data'!$H$2:$H$37000,"9999*",'Accounting data'!$I$2:$I$37000,"8*",'Accounting data'!$J$2:$J$37000,"5*",'Accounting data'!$K$2:$K$37000,"6*")+SUMIFS('Accounting data'!$G$2:$G$37000,'Accounting data'!$H$2:$H$37000,"9999*",'Accounting data'!$I$2:$I$37000,"9*",'Accounting data'!$J$2:$J$37000,"5*",'Accounting data'!$K$2:$K$37000,"6*")</f>
        <v>0</v>
      </c>
    </row>
    <row r="1355" spans="1:5" x14ac:dyDescent="0.25">
      <c r="A1355" s="110"/>
      <c r="B1355" s="110"/>
      <c r="C1355" s="110"/>
      <c r="D1355" s="110"/>
      <c r="E1355" s="111"/>
    </row>
    <row r="1356" spans="1:5" x14ac:dyDescent="0.25">
      <c r="A1356" s="112" t="s">
        <v>991</v>
      </c>
      <c r="B1356" s="110" t="s">
        <v>992</v>
      </c>
      <c r="C1356" s="110">
        <v>5000</v>
      </c>
      <c r="D1356" s="110">
        <v>6900</v>
      </c>
      <c r="E1356" s="111">
        <f>SUMIFS('Accounting data'!$G$2:$G$37000,'Accounting data'!$H$2:$H$37000,"9999*",'Accounting data'!$I$2:$I$37000,"7*",'Accounting data'!$J$2:$J$37000,"5*",'Accounting data'!$K$2:$K$37000,"69*")+SUMIFS('Accounting data'!$G$2:$G$37000,'Accounting data'!$H$2:$H$37000,"9999*",'Accounting data'!$I$2:$I$37000,"8*",'Accounting data'!$J$2:$J$37000,"5*",'Accounting data'!$K$2:$K$37000,"69*")+SUMIFS('Accounting data'!$G$2:$G$37000,'Accounting data'!$H$2:$H$37000,"9999*",'Accounting data'!$I$2:$I$37000,"9*",'Accounting data'!$J$2:$J$37000,"5*",'Accounting data'!$K$2:$K$37000,"69*")</f>
        <v>0</v>
      </c>
    </row>
    <row r="1357" spans="1:5" x14ac:dyDescent="0.25">
      <c r="A1357" s="110"/>
      <c r="B1357" s="110"/>
      <c r="C1357" s="110"/>
      <c r="D1357" s="110"/>
      <c r="E1357" s="111"/>
    </row>
    <row r="1358" spans="1:5" x14ac:dyDescent="0.25">
      <c r="A1358" s="112" t="s">
        <v>991</v>
      </c>
      <c r="B1358" s="110" t="s">
        <v>992</v>
      </c>
      <c r="C1358" s="110">
        <v>5000</v>
      </c>
      <c r="D1358" s="119">
        <v>6700</v>
      </c>
      <c r="E1358" s="111">
        <f>SUMIFS('Accounting data'!$G$2:$G$37000,'Accounting data'!$H$2:$H$37000,"9999*",'Accounting data'!$I$2:$I$37000,"7*",'Accounting data'!$J$2:$J$37000,"5*",'Accounting data'!$K$2:$K$37000,"67*")+SUMIFS('Accounting data'!$G$2:$G$37000,'Accounting data'!$H$2:$H$37000,"9999*",'Accounting data'!$I$2:$I$37000,"8*",'Accounting data'!$J$2:$J$37000,"5*",'Accounting data'!$K$2:$K$37000,"67*")+SUMIFS('Accounting data'!$G$2:$G$37000,'Accounting data'!$H$2:$H$37000,"9999*",'Accounting data'!$I$2:$I$37000,"9*",'Accounting data'!$J$2:$J$37000,"5*",'Accounting data'!$K$2:$K$37000,"67*")</f>
        <v>0</v>
      </c>
    </row>
    <row r="1359" spans="1:5" x14ac:dyDescent="0.25">
      <c r="A1359" s="112"/>
      <c r="B1359" s="110"/>
      <c r="C1359" s="110"/>
      <c r="D1359" s="119"/>
      <c r="E1359" s="111"/>
    </row>
    <row r="1360" spans="1:5" x14ac:dyDescent="0.25">
      <c r="A1360" s="112"/>
      <c r="B1360" s="110"/>
      <c r="C1360" s="110"/>
      <c r="D1360" s="119"/>
      <c r="E1360" s="111"/>
    </row>
    <row r="1361" spans="1:5" x14ac:dyDescent="0.25">
      <c r="A1361" s="113" t="s">
        <v>1107</v>
      </c>
      <c r="B1361" s="113"/>
      <c r="C1361" s="113"/>
      <c r="D1361" s="113"/>
      <c r="E1361" s="115">
        <f>(E1351-E1352-E1353)-((E1354+E1355)-(E1356+E1357))-(E1358+E1359+E1360)</f>
        <v>0</v>
      </c>
    </row>
    <row r="1362" spans="1:5" x14ac:dyDescent="0.25">
      <c r="A1362" s="116" t="s">
        <v>1108</v>
      </c>
      <c r="B1362" s="116"/>
      <c r="C1362" s="116"/>
      <c r="D1362" s="116"/>
      <c r="E1362" s="120">
        <f>E1218+E1229+E1240+E1251+E1262+E1273+E1284+E1295+E1306+E1317+E1328+E1339</f>
        <v>0</v>
      </c>
    </row>
    <row r="1363" spans="1:5" x14ac:dyDescent="0.25">
      <c r="A1363" s="112" t="s">
        <v>1006</v>
      </c>
      <c r="B1363" s="112">
        <v>700</v>
      </c>
      <c r="C1363" s="119">
        <v>1000</v>
      </c>
      <c r="D1363" s="110">
        <v>6000</v>
      </c>
      <c r="E1363" s="111">
        <f>SUMIFS('Accounting data'!$G$2:$G$37000,'Accounting data'!$H$2:$H$37000,"11*",'Accounting data'!$I$2:$I$37000,"7*",'Accounting data'!$J$2:$J$37000,"1*",'Accounting data'!$K$2:$K$37000,"6*")+SUMIFS('Accounting data'!$G$2:$G$37000,'Accounting data'!$H$2:$H$37000,"12*",'Accounting data'!$I$2:$I$37000,"7*",'Accounting data'!$J$2:$J$37000,"1*",'Accounting data'!$K$2:$K$37000,"6*")+SUMIFS('Accounting data'!$G$2:$G$37000,'Accounting data'!$H$2:$H$37000,"13*",'Accounting data'!$I$2:$I$37000,"7*",'Accounting data'!$J$2:$J$37000,"1*",'Accounting data'!$K$2:$K$37000,"6*")</f>
        <v>0</v>
      </c>
    </row>
    <row r="1364" spans="1:5" x14ac:dyDescent="0.25">
      <c r="A1364" s="112" t="s">
        <v>1006</v>
      </c>
      <c r="B1364" s="112">
        <v>800</v>
      </c>
      <c r="C1364" s="119">
        <v>1000</v>
      </c>
      <c r="D1364" s="110">
        <v>6000</v>
      </c>
      <c r="E1364" s="111">
        <f>SUMIFS('Accounting data'!$G$2:$G$37000,'Accounting data'!$H$2:$H$37000,"11*",'Accounting data'!$I$2:$I$37000,"8*",'Accounting data'!$J$2:$J$37000,"1*",'Accounting data'!$K$2:$K$37000,"6*")+SUMIFS('Accounting data'!$G$2:$G$37000,'Accounting data'!$H$2:$H$37000,"12*",'Accounting data'!$I$2:$I$37000,"8*",'Accounting data'!$J$2:$J$37000,"1*",'Accounting data'!$K$2:$K$37000,"6*")+SUMIFS('Accounting data'!$G$2:$G$37000,'Accounting data'!$H$2:$H$37000,"13*",'Accounting data'!$I$2:$I$37000,"8*",'Accounting data'!$J$2:$J$37000,"1*",'Accounting data'!$K$2:$K$37000,"6*")</f>
        <v>0</v>
      </c>
    </row>
    <row r="1365" spans="1:5" x14ac:dyDescent="0.25">
      <c r="A1365" s="112" t="s">
        <v>1006</v>
      </c>
      <c r="B1365" s="112">
        <v>900</v>
      </c>
      <c r="C1365" s="119">
        <v>1000</v>
      </c>
      <c r="D1365" s="110">
        <v>6000</v>
      </c>
      <c r="E1365" s="111">
        <f>SUMIFS('Accounting data'!$G$2:$G$37000,'Accounting data'!$H$2:$H$37000,"11*",'Accounting data'!$I$2:$I$37000,"9*",'Accounting data'!$J$2:$J$37000,"1*",'Accounting data'!$K$2:$K$37000,"6*")+SUMIFS('Accounting data'!$G$2:$G$37000,'Accounting data'!$H$2:$H$37000,"12*",'Accounting data'!$I$2:$I$37000,"9*",'Accounting data'!$J$2:$J$37000,"1*",'Accounting data'!$K$2:$K$37000,"6*")+SUMIFS('Accounting data'!$G$2:$G$37000,'Accounting data'!$H$2:$H$37000,"13*",'Accounting data'!$I$2:$I$37000,"9*",'Accounting data'!$J$2:$J$37000,"1*",'Accounting data'!$K$2:$K$37000,"6*")</f>
        <v>0</v>
      </c>
    </row>
    <row r="1366" spans="1:5" x14ac:dyDescent="0.25">
      <c r="A1366" s="112" t="s">
        <v>1006</v>
      </c>
      <c r="B1366" s="112">
        <v>700</v>
      </c>
      <c r="C1366" s="119">
        <v>2000</v>
      </c>
      <c r="D1366" s="110">
        <v>6000</v>
      </c>
      <c r="E1366" s="111">
        <f>SUMIFS('Accounting data'!$G$2:$G$37000,'Accounting data'!$H$2:$H$37000,"11*",'Accounting data'!$I$2:$I$37000,"7*",'Accounting data'!$J$2:$J$37000,"2*",'Accounting data'!$K$2:$K$37000,"6*")+SUMIFS('Accounting data'!$G$2:$G$37000,'Accounting data'!$H$2:$H$37000,"12*",'Accounting data'!$I$2:$I$37000,"7*",'Accounting data'!$J$2:$J$37000,"2*",'Accounting data'!$K$2:$K$37000,"6*")+SUMIFS('Accounting data'!$G$2:$G$37000,'Accounting data'!$H$2:$H$37000,"13*",'Accounting data'!$I$2:$I$37000,"7*",'Accounting data'!$J$2:$J$37000,"2*",'Accounting data'!$K$2:$K$37000,"6*")</f>
        <v>0</v>
      </c>
    </row>
    <row r="1367" spans="1:5" x14ac:dyDescent="0.25">
      <c r="A1367" s="112" t="s">
        <v>1006</v>
      </c>
      <c r="B1367" s="112">
        <v>800</v>
      </c>
      <c r="C1367" s="119">
        <v>2000</v>
      </c>
      <c r="D1367" s="110">
        <v>6000</v>
      </c>
      <c r="E1367" s="111">
        <f>SUMIFS('Accounting data'!$G$2:$G$37000,'Accounting data'!$H$2:$H$37000,"11*",'Accounting data'!$I$2:$I$37000,"8*",'Accounting data'!$J$2:$J$37000,"2*",'Accounting data'!$K$2:$K$37000,"6*")+SUMIFS('Accounting data'!$G$2:$G$37000,'Accounting data'!$H$2:$H$37000,"12*",'Accounting data'!$I$2:$I$37000,"8*",'Accounting data'!$J$2:$J$37000,"2*",'Accounting data'!$K$2:$K$37000,"6*")+SUMIFS('Accounting data'!$G$2:$G$37000,'Accounting data'!$H$2:$H$37000,"13*",'Accounting data'!$I$2:$I$37000,"8*",'Accounting data'!$J$2:$J$37000,"2*",'Accounting data'!$K$2:$K$37000,"6*")</f>
        <v>0</v>
      </c>
    </row>
    <row r="1368" spans="1:5" x14ac:dyDescent="0.25">
      <c r="A1368" s="112" t="s">
        <v>1006</v>
      </c>
      <c r="B1368" s="112">
        <v>900</v>
      </c>
      <c r="C1368" s="119">
        <v>2000</v>
      </c>
      <c r="D1368" s="110">
        <v>6000</v>
      </c>
      <c r="E1368" s="111">
        <f>SUMIFS('Accounting data'!$G$2:$G$37000,'Accounting data'!$H$2:$H$37000,"11*",'Accounting data'!$I$2:$I$37000,"9*",'Accounting data'!$J$2:$J$37000,"2*",'Accounting data'!$K$2:$K$37000,"6*")+SUMIFS('Accounting data'!$G$2:$G$37000,'Accounting data'!$H$2:$H$37000,"12*",'Accounting data'!$I$2:$I$37000,"9*",'Accounting data'!$J$2:$J$37000,"2*",'Accounting data'!$K$2:$K$37000,"6*")+SUMIFS('Accounting data'!$G$2:$G$37000,'Accounting data'!$H$2:$H$37000,"13*",'Accounting data'!$I$2:$I$37000,"9*",'Accounting data'!$J$2:$J$37000,"2*",'Accounting data'!$K$2:$K$37000,"6*")</f>
        <v>0</v>
      </c>
    </row>
    <row r="1369" spans="1:5" x14ac:dyDescent="0.25">
      <c r="A1369" s="112" t="s">
        <v>1006</v>
      </c>
      <c r="B1369" s="112">
        <v>700</v>
      </c>
      <c r="C1369" s="119">
        <v>3000</v>
      </c>
      <c r="D1369" s="110">
        <v>6000</v>
      </c>
      <c r="E1369" s="111">
        <f>SUMIFS('Accounting data'!$G$2:$G$37000,'Accounting data'!$H$2:$H$37000,"11*",'Accounting data'!$I$2:$I$37000,"7*",'Accounting data'!$J$2:$J$37000,"3*",'Accounting data'!$K$2:$K$37000,"6*")+SUMIFS('Accounting data'!$G$2:$G$37000,'Accounting data'!$H$2:$H$37000,"12*",'Accounting data'!$I$2:$I$37000,"7*",'Accounting data'!$J$2:$J$37000,"3*",'Accounting data'!$K$2:$K$37000,"6*")+SUMIFS('Accounting data'!$G$2:$G$37000,'Accounting data'!$H$2:$H$37000,"13*",'Accounting data'!$I$2:$I$37000,"7*",'Accounting data'!$J$2:$J$37000,"3*",'Accounting data'!$K$2:$K$37000,"6*")</f>
        <v>0</v>
      </c>
    </row>
    <row r="1370" spans="1:5" x14ac:dyDescent="0.25">
      <c r="A1370" s="112" t="s">
        <v>1006</v>
      </c>
      <c r="B1370" s="112">
        <v>800</v>
      </c>
      <c r="C1370" s="119">
        <v>3000</v>
      </c>
      <c r="D1370" s="110">
        <v>6000</v>
      </c>
      <c r="E1370" s="111">
        <f>SUMIFS('Accounting data'!$G$2:$G$37000,'Accounting data'!$H$2:$H$37000,"11*",'Accounting data'!$I$2:$I$37000,"8*",'Accounting data'!$J$2:$J$37000,"3*",'Accounting data'!$K$2:$K$37000,"6*")+SUMIFS('Accounting data'!$G$2:$G$37000,'Accounting data'!$H$2:$H$37000,"12*",'Accounting data'!$I$2:$I$37000,"8*",'Accounting data'!$J$2:$J$37000,"3*",'Accounting data'!$K$2:$K$37000,"6*")+SUMIFS('Accounting data'!$G$2:$G$37000,'Accounting data'!$H$2:$H$37000,"13*",'Accounting data'!$I$2:$I$37000,"8*",'Accounting data'!$J$2:$J$37000,"3*",'Accounting data'!$K$2:$K$37000,"6*")</f>
        <v>0</v>
      </c>
    </row>
    <row r="1371" spans="1:5" x14ac:dyDescent="0.25">
      <c r="A1371" s="112" t="s">
        <v>1006</v>
      </c>
      <c r="B1371" s="112">
        <v>900</v>
      </c>
      <c r="C1371" s="119">
        <v>3000</v>
      </c>
      <c r="D1371" s="110">
        <v>6000</v>
      </c>
      <c r="E1371" s="111">
        <f>SUMIFS('Accounting data'!$G$2:$G$37000,'Accounting data'!$H$2:$H$37000,"11*",'Accounting data'!$I$2:$I$37000,"9*",'Accounting data'!$J$2:$J$37000,"3*",'Accounting data'!$K$2:$K$37000,"6*")+SUMIFS('Accounting data'!$G$2:$G$37000,'Accounting data'!$H$2:$H$37000,"12*",'Accounting data'!$I$2:$I$37000,"9*",'Accounting data'!$J$2:$J$37000,"3*",'Accounting data'!$K$2:$K$37000,"6*")+SUMIFS('Accounting data'!$G$2:$G$37000,'Accounting data'!$H$2:$H$37000,"13*",'Accounting data'!$I$2:$I$37000,"9*",'Accounting data'!$J$2:$J$37000,"3*",'Accounting data'!$K$2:$K$37000,"6*")</f>
        <v>0</v>
      </c>
    </row>
    <row r="1372" spans="1:5" x14ac:dyDescent="0.25">
      <c r="A1372" s="112" t="s">
        <v>1006</v>
      </c>
      <c r="B1372" s="112">
        <v>700</v>
      </c>
      <c r="C1372" s="119">
        <v>1000</v>
      </c>
      <c r="D1372" s="110">
        <v>6900</v>
      </c>
      <c r="E1372" s="111">
        <f>SUMIFS('Accounting data'!$G$2:$G$37000,'Accounting data'!$H$2:$H$37000,"11*",'Accounting data'!$I$2:$I$37000,"7*",'Accounting data'!$J$2:$J$37000,"1*",'Accounting data'!$K$2:$K$37000,"69*")+SUMIFS('Accounting data'!$G$2:$G$37000,'Accounting data'!$H$2:$H$37000,"12*",'Accounting data'!$I$2:$I$37000,"7*",'Accounting data'!$J$2:$J$37000,"1*",'Accounting data'!$K$2:$K$37000,"69*")+SUMIFS('Accounting data'!$G$2:$G$37000,'Accounting data'!$H$2:$H$37000,"13*",'Accounting data'!$I$2:$I$37000,"7*",'Accounting data'!$J$2:$J$37000,"1*",'Accounting data'!$K$2:$K$37000,"69*")</f>
        <v>0</v>
      </c>
    </row>
    <row r="1373" spans="1:5" x14ac:dyDescent="0.25">
      <c r="A1373" s="112" t="s">
        <v>1006</v>
      </c>
      <c r="B1373" s="112">
        <v>800</v>
      </c>
      <c r="C1373" s="119">
        <v>1000</v>
      </c>
      <c r="D1373" s="110">
        <v>6900</v>
      </c>
      <c r="E1373" s="111">
        <f>SUMIFS('Accounting data'!$G$2:$G$37000,'Accounting data'!$H$2:$H$37000,"11*",'Accounting data'!$I$2:$I$37000,"8*",'Accounting data'!$J$2:$J$37000,"1*",'Accounting data'!$K$2:$K$37000,"69*")+SUMIFS('Accounting data'!$G$2:$G$37000,'Accounting data'!$H$2:$H$37000,"12*",'Accounting data'!$I$2:$I$37000,"8*",'Accounting data'!$J$2:$J$37000,"1*",'Accounting data'!$K$2:$K$37000,"69*")+SUMIFS('Accounting data'!$G$2:$G$37000,'Accounting data'!$H$2:$H$37000,"13*",'Accounting data'!$I$2:$I$37000,"8*",'Accounting data'!$J$2:$J$37000,"1*",'Accounting data'!$K$2:$K$37000,"69*")</f>
        <v>0</v>
      </c>
    </row>
    <row r="1374" spans="1:5" x14ac:dyDescent="0.25">
      <c r="A1374" s="112" t="s">
        <v>1006</v>
      </c>
      <c r="B1374" s="112">
        <v>900</v>
      </c>
      <c r="C1374" s="119">
        <v>1000</v>
      </c>
      <c r="D1374" s="110">
        <v>6900</v>
      </c>
      <c r="E1374" s="111">
        <f>SUMIFS('Accounting data'!$G$2:$G$37000,'Accounting data'!$H$2:$H$37000,"11*",'Accounting data'!$I$2:$I$37000,"9*",'Accounting data'!$J$2:$J$37000,"1*",'Accounting data'!$K$2:$K$37000,"69*")+SUMIFS('Accounting data'!$G$2:$G$37000,'Accounting data'!$H$2:$H$37000,"12*",'Accounting data'!$I$2:$I$37000,"9*",'Accounting data'!$J$2:$J$37000,"1*",'Accounting data'!$K$2:$K$37000,"69*")+SUMIFS('Accounting data'!$G$2:$G$37000,'Accounting data'!$H$2:$H$37000,"13*",'Accounting data'!$I$2:$I$37000,"9*",'Accounting data'!$J$2:$J$37000,"1*",'Accounting data'!$K$2:$K$37000,"69*")</f>
        <v>0</v>
      </c>
    </row>
    <row r="1375" spans="1:5" x14ac:dyDescent="0.25">
      <c r="A1375" s="112" t="s">
        <v>1006</v>
      </c>
      <c r="B1375" s="112">
        <v>700</v>
      </c>
      <c r="C1375" s="119">
        <v>2000</v>
      </c>
      <c r="D1375" s="110">
        <v>6900</v>
      </c>
      <c r="E1375" s="111">
        <f>SUMIFS('Accounting data'!$G$2:$G$37000,'Accounting data'!$H$2:$H$37000,"11*",'Accounting data'!$I$2:$I$37000,"7*",'Accounting data'!$J$2:$J$37000,"2*",'Accounting data'!$K$2:$K$37000,"69*")+SUMIFS('Accounting data'!$G$2:$G$37000,'Accounting data'!$H$2:$H$37000,"12*",'Accounting data'!$I$2:$I$37000,"7*",'Accounting data'!$J$2:$J$37000,"2*",'Accounting data'!$K$2:$K$37000,"69*")+SUMIFS('Accounting data'!$G$2:$G$37000,'Accounting data'!$H$2:$H$37000,"13*",'Accounting data'!$I$2:$I$37000,"7*",'Accounting data'!$J$2:$J$37000,"2*",'Accounting data'!$K$2:$K$37000,"69*")</f>
        <v>0</v>
      </c>
    </row>
    <row r="1376" spans="1:5" x14ac:dyDescent="0.25">
      <c r="A1376" s="112" t="s">
        <v>1006</v>
      </c>
      <c r="B1376" s="112">
        <v>800</v>
      </c>
      <c r="C1376" s="119">
        <v>2000</v>
      </c>
      <c r="D1376" s="110">
        <v>6900</v>
      </c>
      <c r="E1376" s="111">
        <f>SUMIFS('Accounting data'!$G$2:$G$37000,'Accounting data'!$H$2:$H$37000,"11*",'Accounting data'!$I$2:$I$37000,"8*",'Accounting data'!$J$2:$J$37000,"2*",'Accounting data'!$K$2:$K$37000,"69*")+SUMIFS('Accounting data'!$G$2:$G$37000,'Accounting data'!$H$2:$H$37000,"12*",'Accounting data'!$I$2:$I$37000,"8*",'Accounting data'!$J$2:$J$37000,"2*",'Accounting data'!$K$2:$K$37000,"69*")+SUMIFS('Accounting data'!$G$2:$G$37000,'Accounting data'!$H$2:$H$37000,"13*",'Accounting data'!$I$2:$I$37000,"8*",'Accounting data'!$J$2:$J$37000,"2*",'Accounting data'!$K$2:$K$37000,"69*")</f>
        <v>0</v>
      </c>
    </row>
    <row r="1377" spans="1:5" x14ac:dyDescent="0.25">
      <c r="A1377" s="112" t="s">
        <v>1006</v>
      </c>
      <c r="B1377" s="112">
        <v>900</v>
      </c>
      <c r="C1377" s="119">
        <v>2000</v>
      </c>
      <c r="D1377" s="110">
        <v>6900</v>
      </c>
      <c r="E1377" s="111">
        <f>SUMIFS('Accounting data'!$G$2:$G$37000,'Accounting data'!$H$2:$H$37000,"11*",'Accounting data'!$I$2:$I$37000,"9*",'Accounting data'!$J$2:$J$37000,"2*",'Accounting data'!$K$2:$K$37000,"69*")+SUMIFS('Accounting data'!$G$2:$G$37000,'Accounting data'!$H$2:$H$37000,"12*",'Accounting data'!$I$2:$I$37000,"9*",'Accounting data'!$J$2:$J$37000,"2*",'Accounting data'!$K$2:$K$37000,"69*")+SUMIFS('Accounting data'!$G$2:$G$37000,'Accounting data'!$H$2:$H$37000,"13*",'Accounting data'!$I$2:$I$37000,"9*",'Accounting data'!$J$2:$J$37000,"2*",'Accounting data'!$K$2:$K$37000,"69*")</f>
        <v>0</v>
      </c>
    </row>
    <row r="1378" spans="1:5" x14ac:dyDescent="0.25">
      <c r="A1378" s="112" t="s">
        <v>1006</v>
      </c>
      <c r="B1378" s="112">
        <v>700</v>
      </c>
      <c r="C1378" s="119">
        <v>3000</v>
      </c>
      <c r="D1378" s="110">
        <v>6900</v>
      </c>
      <c r="E1378" s="111">
        <f>SUMIFS('Accounting data'!$G$2:$G$37000,'Accounting data'!$H$2:$H$37000,"11*",'Accounting data'!$I$2:$I$37000,"7*",'Accounting data'!$J$2:$J$37000,"3*",'Accounting data'!$K$2:$K$37000,"69*")+SUMIFS('Accounting data'!$G$2:$G$37000,'Accounting data'!$H$2:$H$37000,"12*",'Accounting data'!$I$2:$I$37000,"7*",'Accounting data'!$J$2:$J$37000,"3*",'Accounting data'!$K$2:$K$37000,"69*")+SUMIFS('Accounting data'!$G$2:$G$37000,'Accounting data'!$H$2:$H$37000,"13*",'Accounting data'!$I$2:$I$37000,"7*",'Accounting data'!$J$2:$J$37000,"3*",'Accounting data'!$K$2:$K$37000,"69*")</f>
        <v>0</v>
      </c>
    </row>
    <row r="1379" spans="1:5" x14ac:dyDescent="0.25">
      <c r="A1379" s="112" t="s">
        <v>1006</v>
      </c>
      <c r="B1379" s="112">
        <v>800</v>
      </c>
      <c r="C1379" s="119">
        <v>3000</v>
      </c>
      <c r="D1379" s="110">
        <v>6900</v>
      </c>
      <c r="E1379" s="111">
        <f>SUMIFS('Accounting data'!$G$2:$G$37000,'Accounting data'!$H$2:$H$37000,"11*",'Accounting data'!$I$2:$I$37000,"8*",'Accounting data'!$J$2:$J$37000,"3*",'Accounting data'!$K$2:$K$37000,"69*")+SUMIFS('Accounting data'!$G$2:$G$37000,'Accounting data'!$H$2:$H$37000,"12*",'Accounting data'!$I$2:$I$37000,"8*",'Accounting data'!$J$2:$J$37000,"3*",'Accounting data'!$K$2:$K$37000,"69*")+SUMIFS('Accounting data'!$G$2:$G$37000,'Accounting data'!$H$2:$H$37000,"13*",'Accounting data'!$I$2:$I$37000,"8*",'Accounting data'!$J$2:$J$37000,"3*",'Accounting data'!$K$2:$K$37000,"69*")</f>
        <v>0</v>
      </c>
    </row>
    <row r="1380" spans="1:5" x14ac:dyDescent="0.25">
      <c r="A1380" s="112" t="s">
        <v>1006</v>
      </c>
      <c r="B1380" s="112">
        <v>900</v>
      </c>
      <c r="C1380" s="119">
        <v>3000</v>
      </c>
      <c r="D1380" s="110">
        <v>6900</v>
      </c>
      <c r="E1380" s="111">
        <f>SUMIFS('Accounting data'!$G$2:$G$37000,'Accounting data'!$H$2:$H$37000,"11*",'Accounting data'!$I$2:$I$37000,"9*",'Accounting data'!$J$2:$J$37000,"3*",'Accounting data'!$K$2:$K$37000,"69*")+SUMIFS('Accounting data'!$G$2:$G$37000,'Accounting data'!$H$2:$H$37000,"12*",'Accounting data'!$I$2:$I$37000,"9*",'Accounting data'!$J$2:$J$37000,"3*",'Accounting data'!$K$2:$K$37000,"69*")+SUMIFS('Accounting data'!$G$2:$G$37000,'Accounting data'!$H$2:$H$37000,"13*",'Accounting data'!$I$2:$I$37000,"9*",'Accounting data'!$J$2:$J$37000,"3*",'Accounting data'!$K$2:$K$37000,"69*")</f>
        <v>0</v>
      </c>
    </row>
    <row r="1381" spans="1:5" x14ac:dyDescent="0.25">
      <c r="A1381" s="113" t="s">
        <v>1109</v>
      </c>
      <c r="B1381" s="113"/>
      <c r="C1381" s="113"/>
      <c r="D1381" s="113"/>
      <c r="E1381" s="115">
        <f>(E1363+E1364+E1365+E1366+E1367+E1368+E1369+E1370+E1371)-(E1372+E1373+E1374+E1375+E1376+E1377+E1378+E1379+E1380)</f>
        <v>0</v>
      </c>
    </row>
    <row r="1430" spans="1:5" x14ac:dyDescent="0.25">
      <c r="A1430" s="110" t="s">
        <v>1110</v>
      </c>
      <c r="B1430" s="110" t="s">
        <v>990</v>
      </c>
      <c r="C1430" s="110" t="s">
        <v>990</v>
      </c>
      <c r="D1430" s="110">
        <v>6000</v>
      </c>
      <c r="E1430" s="111">
        <f>SUMIFS('Accounting data'!$G$2:$G$37000,'Accounting data'!$H$2:$H$37000,"9*",'Accounting data'!$K$2:$K$37000,"6*")+SUMIFS('Accounting data'!$G$2:$G$37000,'Accounting data'!$H$2:$H$37000,"9*",'Accounting data'!$K$2:$K$37000,"6*")+SUMIFS('Accounting data'!$G$2:$G$37000,'Accounting data'!$H$2:$H$37000,"9*",'Accounting data'!$K$2:$K$37000,"6*")+SUMIFS('Accounting data'!$G$2:$G$37000,'Accounting data'!$H$2:$H$37000,"9*",'Accounting data'!$K$2:$K$37000,"6*")+SUMIFS('Accounting data'!$G$2:$G$37000,'Accounting data'!$H$2:$H$37000,"9*",'Accounting data'!$K$2:$K$37000,"6*")</f>
        <v>0</v>
      </c>
    </row>
    <row r="1431" spans="1:5" x14ac:dyDescent="0.25">
      <c r="A1431" s="113" t="s">
        <v>1111</v>
      </c>
      <c r="B1431" s="113"/>
      <c r="C1431" s="113"/>
      <c r="D1431" s="113"/>
      <c r="E1431" s="115">
        <f>E1430</f>
        <v>0</v>
      </c>
    </row>
    <row r="1438" spans="1:5" x14ac:dyDescent="0.25">
      <c r="A1438" s="110" t="s">
        <v>990</v>
      </c>
      <c r="B1438" s="110" t="s">
        <v>990</v>
      </c>
      <c r="C1438" s="110">
        <v>5000</v>
      </c>
      <c r="D1438" s="110">
        <v>6850</v>
      </c>
      <c r="E1438" s="111">
        <f>SUMIFS('Accounting data'!$G$2:$G$37000,'Accounting data'!$J$2:$J$37000,"5*",'Accounting data'!$K$2:$K$37000,"685*")</f>
        <v>0</v>
      </c>
    </row>
    <row r="1439" spans="1:5" x14ac:dyDescent="0.25">
      <c r="A1439" s="110" t="s">
        <v>991</v>
      </c>
      <c r="B1439" s="110" t="s">
        <v>990</v>
      </c>
      <c r="C1439" s="110">
        <v>5000</v>
      </c>
      <c r="D1439" s="110">
        <v>6850</v>
      </c>
      <c r="E1439" s="111">
        <f>SUMIFS('Accounting data'!$G$2:$G$37000,'Accounting data'!$H$2:$H$37000,"9999*",'Accounting data'!$J$2:$J$37000,"5*",'Accounting data'!$K$2:$K$37000,"685*")</f>
        <v>0</v>
      </c>
    </row>
    <row r="1440" spans="1:5" x14ac:dyDescent="0.25">
      <c r="A1440" s="110" t="s">
        <v>990</v>
      </c>
      <c r="B1440" s="110" t="s">
        <v>992</v>
      </c>
      <c r="C1440" s="110">
        <v>5000</v>
      </c>
      <c r="D1440" s="110">
        <v>6850</v>
      </c>
      <c r="E1440" s="111">
        <f>SUMIFS('Accounting data'!$G$2:$G$37000,'Accounting data'!$I$2:$I$37000,"7*",'Accounting data'!$J$2:$J$37000,"5*",'Accounting data'!$K$2:$K$37000,"685*")+SUMIFS('Accounting data'!$G$2:$G$37000,'Accounting data'!$I$2:$I$37000,"8*",'Accounting data'!$J$2:$J$37000,"5*",'Accounting data'!$K$2:$K$37000,"685*")+SUMIFS('Accounting data'!$G$2:$G$37000,'Accounting data'!$I$2:$I$37000,"9*",'Accounting data'!$J$2:$J$37000,"5*",'Accounting data'!$K$2:$K$37000,"685*")</f>
        <v>0</v>
      </c>
    </row>
    <row r="1441" spans="1:5" x14ac:dyDescent="0.25">
      <c r="A1441" s="112" t="s">
        <v>991</v>
      </c>
      <c r="B1441" s="110" t="s">
        <v>992</v>
      </c>
      <c r="C1441" s="110">
        <v>5000</v>
      </c>
      <c r="D1441" s="110">
        <v>6850</v>
      </c>
      <c r="E1441" s="111">
        <f>SUMIFS('Accounting data'!$G$2:$G$37000,'Accounting data'!$H$2:$H$37000,"9999*",'Accounting data'!$I$2:$I$37000,"7*",'Accounting data'!$J$2:$J$37000,"5*",'Accounting data'!$K$2:$K$37000,"685*")+SUMIFS('Accounting data'!$G$2:$G$37000,'Accounting data'!$H$2:$H$37000,"9999*",'Accounting data'!$I$2:$I$37000,"8*",'Accounting data'!$J$2:$J$37000,"5*",'Accounting data'!$K$2:$K$37000,"685*")+SUMIFS('Accounting data'!$G$2:$G$37000,'Accounting data'!$H$2:$H$37000,"9999*",'Accounting data'!$I$2:$I$37000,"9*",'Accounting data'!$J$2:$J$37000,"5*",'Accounting data'!$K$2:$K$37000,"685*")</f>
        <v>0</v>
      </c>
    </row>
    <row r="1442" spans="1:5" ht="14.25" customHeight="1" x14ac:dyDescent="0.3">
      <c r="A1442" s="113" t="s">
        <v>1112</v>
      </c>
      <c r="B1442" s="113"/>
      <c r="C1442" s="113"/>
      <c r="D1442" s="113"/>
      <c r="E1442" s="114">
        <f>(E1438-E1439-E1440)+E1441</f>
        <v>0</v>
      </c>
    </row>
    <row r="1443" spans="1:5" x14ac:dyDescent="0.25">
      <c r="A1443" s="110" t="s">
        <v>990</v>
      </c>
      <c r="B1443" s="110" t="s">
        <v>990</v>
      </c>
      <c r="C1443" s="110">
        <v>1000</v>
      </c>
      <c r="D1443" s="110">
        <v>6800</v>
      </c>
      <c r="E1443" s="111">
        <f t="array" ref="E1443">SUMIFS('Accounting data'!$G$2:$G$37000,'Accounting data'!$J$2:$J$37000,"1*",'Accounting data'!$K$2:$K$37000,"68*")</f>
        <v>205</v>
      </c>
    </row>
    <row r="1444" spans="1:5" x14ac:dyDescent="0.25">
      <c r="A1444" s="110" t="s">
        <v>991</v>
      </c>
      <c r="B1444" s="110" t="s">
        <v>990</v>
      </c>
      <c r="C1444" s="110">
        <v>1000</v>
      </c>
      <c r="D1444" s="110">
        <v>6800</v>
      </c>
      <c r="E1444" s="111">
        <f t="array" ref="E1444">SUMIFS('Accounting data'!$G$2:$G$37000,'Accounting data'!$H$2:$H$37000,"9999*",'Accounting data'!$J$2:$J$37000,"1*",'Accounting data'!$K$2:$K$37000,"68*")</f>
        <v>0</v>
      </c>
    </row>
    <row r="1445" spans="1:5" x14ac:dyDescent="0.25">
      <c r="A1445" s="110" t="s">
        <v>990</v>
      </c>
      <c r="B1445" s="110" t="s">
        <v>992</v>
      </c>
      <c r="C1445" s="110">
        <v>1000</v>
      </c>
      <c r="D1445" s="110">
        <v>6800</v>
      </c>
      <c r="E1445" s="111">
        <f t="array" ref="E1445">SUMIFS('Accounting data'!$G$2:$G$37000,'Accounting data'!$I$2:$I$37000,"7*",'Accounting data'!$J$2:$J$37000,"1*",'Accounting data'!$K$2:$K$37000,"68*")+SUMIFS('Accounting data'!$G$2:$G$37000,'Accounting data'!$I$2:$I$37000,"8*",'Accounting data'!$J$2:$J$37000,"1*",'Accounting data'!$K$2:$K$37000,"68*")+SUMIFS('Accounting data'!$G$2:$G$37000,'Accounting data'!$I$2:$I$37000,"9*",'Accounting data'!$J$2:$J$37000,"1*",'Accounting data'!$K$2:$K$37000,"68*")</f>
        <v>0</v>
      </c>
    </row>
    <row r="1446" spans="1:5" x14ac:dyDescent="0.25">
      <c r="A1446" s="112" t="s">
        <v>991</v>
      </c>
      <c r="B1446" s="110" t="s">
        <v>992</v>
      </c>
      <c r="C1446" s="110">
        <v>1000</v>
      </c>
      <c r="D1446" s="110">
        <v>6800</v>
      </c>
      <c r="E1446" s="111">
        <f t="array" ref="E1446">SUMIFS('Accounting data'!$G$2:$G$37000,'Accounting data'!$H$2:$H$37000,"9999*",'Accounting data'!$I$2:$I$37000,"7*",'Accounting data'!$J$2:$J$37000,"1*",'Accounting data'!$K$2:$K$37000,"68*")+SUMIFS('Accounting data'!$G$2:$G$37000,'Accounting data'!$H$2:$H$37000,"9999*",'Accounting data'!$I$2:$I$37000,"8*",'Accounting data'!$J$2:$J$37000,"1*",'Accounting data'!$K$2:$K$37000,"68*")+SUMIFS('Accounting data'!$G$2:$G$37000,'Accounting data'!$H$2:$H$37000,"9999*",'Accounting data'!$I$2:$I$37000,"9*",'Accounting data'!$J$2:$J$37000,"1*",'Accounting data'!$K$2:$K$37000,"68*")</f>
        <v>0</v>
      </c>
    </row>
    <row r="1447" spans="1:5" ht="14.25" customHeight="1" x14ac:dyDescent="0.3">
      <c r="A1447" s="113" t="s">
        <v>1113</v>
      </c>
      <c r="B1447" s="113"/>
      <c r="C1447" s="113"/>
      <c r="D1447" s="113"/>
      <c r="E1447" s="114">
        <f>(E1443-E1444-E1445)+E1446</f>
        <v>205</v>
      </c>
    </row>
    <row r="1448" spans="1:5" x14ac:dyDescent="0.25">
      <c r="A1448" s="110" t="s">
        <v>990</v>
      </c>
      <c r="B1448" s="110" t="s">
        <v>990</v>
      </c>
      <c r="C1448" s="110">
        <v>2100</v>
      </c>
      <c r="D1448" s="110">
        <v>6800</v>
      </c>
      <c r="E1448" s="111">
        <f t="array" ref="E1448">SUMIFS('Accounting data'!$G$2:$G$37000,'Accounting data'!$J$2:$J$37000,"21*",'Accounting data'!$K$2:$K$37000,"68*")</f>
        <v>62</v>
      </c>
    </row>
    <row r="1449" spans="1:5" x14ac:dyDescent="0.25">
      <c r="A1449" s="110" t="s">
        <v>991</v>
      </c>
      <c r="B1449" s="110" t="s">
        <v>990</v>
      </c>
      <c r="C1449" s="110">
        <v>2100</v>
      </c>
      <c r="D1449" s="110">
        <v>6800</v>
      </c>
      <c r="E1449" s="111">
        <f t="array" ref="E1449">SUMIFS('Accounting data'!$G$2:$G$37000,'Accounting data'!$H$2:$H$37000,"9999*",'Accounting data'!$J$2:$J$37000,"21*",'Accounting data'!$K$2:$K$37000,"68*")</f>
        <v>0</v>
      </c>
    </row>
    <row r="1450" spans="1:5" x14ac:dyDescent="0.25">
      <c r="A1450" s="110" t="s">
        <v>990</v>
      </c>
      <c r="B1450" s="110" t="s">
        <v>992</v>
      </c>
      <c r="C1450" s="110">
        <v>2100</v>
      </c>
      <c r="D1450" s="110">
        <v>6800</v>
      </c>
      <c r="E1450" s="111">
        <f t="array" ref="E1450">SUMIFS('Accounting data'!$G$2:$G$37000,'Accounting data'!$I$2:$I$37000,"7*",'Accounting data'!$J$2:$J$37000,"21*",'Accounting data'!$K$2:$K$37000,"68*")+SUMIFS('Accounting data'!$G$2:$G$37000,'Accounting data'!$I$2:$I$37000,"8*",'Accounting data'!$J$2:$J$37000,"21*",'Accounting data'!$K$2:$K$37000,"68*")+SUMIFS('Accounting data'!$G$2:$G$37000,'Accounting data'!$I$2:$I$37000,"9*",'Accounting data'!$J$2:$J$37000,"21*",'Accounting data'!$K$2:$K$37000,"68*")</f>
        <v>0</v>
      </c>
    </row>
    <row r="1451" spans="1:5" x14ac:dyDescent="0.25">
      <c r="A1451" s="112" t="s">
        <v>991</v>
      </c>
      <c r="B1451" s="110" t="s">
        <v>992</v>
      </c>
      <c r="C1451" s="110">
        <v>2100</v>
      </c>
      <c r="D1451" s="110">
        <v>6800</v>
      </c>
      <c r="E1451" s="111">
        <f t="array" ref="E1451">SUMIFS('Accounting data'!$G$2:$G$37000,'Accounting data'!$H$2:$H$37000,"9999*",'Accounting data'!$I$2:$I$37000,"7*",'Accounting data'!$J$2:$J$37000,"21*",'Accounting data'!$K$2:$K$37000,"68*")+SUMIFS('Accounting data'!$G$2:$G$37000,'Accounting data'!$H$2:$H$37000,"9999*",'Accounting data'!$I$2:$I$37000,"8*",'Accounting data'!$J$2:$J$37000,"21*",'Accounting data'!$K$2:$K$37000,"68*")+SUMIFS('Accounting data'!$G$2:$G$37000,'Accounting data'!$H$2:$H$37000,"9999*",'Accounting data'!$I$2:$I$37000,"9*",'Accounting data'!$J$2:$J$37000,"21*",'Accounting data'!$K$2:$K$37000,"68*")</f>
        <v>0</v>
      </c>
    </row>
    <row r="1452" spans="1:5" ht="14.25" customHeight="1" x14ac:dyDescent="0.3">
      <c r="A1452" s="113" t="s">
        <v>1114</v>
      </c>
      <c r="B1452" s="113"/>
      <c r="C1452" s="113"/>
      <c r="D1452" s="113"/>
      <c r="E1452" s="114">
        <f>(E1448-E1449-E1450)+E1451</f>
        <v>62</v>
      </c>
    </row>
    <row r="1453" spans="1:5" x14ac:dyDescent="0.25">
      <c r="A1453" s="110" t="s">
        <v>990</v>
      </c>
      <c r="B1453" s="110" t="s">
        <v>990</v>
      </c>
      <c r="C1453" s="110">
        <v>2200</v>
      </c>
      <c r="D1453" s="110">
        <v>6800</v>
      </c>
      <c r="E1453" s="111">
        <f t="array" ref="E1453">SUMIFS('Accounting data'!$G$2:$G$37000,'Accounting data'!$J$2:$J$37000,"22*",'Accounting data'!$K$2:$K$37000,"68*")</f>
        <v>0</v>
      </c>
    </row>
    <row r="1454" spans="1:5" x14ac:dyDescent="0.25">
      <c r="A1454" s="110" t="s">
        <v>991</v>
      </c>
      <c r="B1454" s="110" t="s">
        <v>990</v>
      </c>
      <c r="C1454" s="110">
        <v>2200</v>
      </c>
      <c r="D1454" s="110">
        <v>6800</v>
      </c>
      <c r="E1454" s="111">
        <f t="array" ref="E1454">SUMIFS('Accounting data'!$G$2:$G$37000,'Accounting data'!$H$2:$H$37000,"9999*",'Accounting data'!$J$2:$J$37000,"22*",'Accounting data'!$K$2:$K$37000,"68*")</f>
        <v>0</v>
      </c>
    </row>
    <row r="1455" spans="1:5" x14ac:dyDescent="0.25">
      <c r="A1455" s="110" t="s">
        <v>990</v>
      </c>
      <c r="B1455" s="110" t="s">
        <v>992</v>
      </c>
      <c r="C1455" s="110">
        <v>2200</v>
      </c>
      <c r="D1455" s="110">
        <v>6800</v>
      </c>
      <c r="E1455" s="111">
        <f t="array" ref="E1455">SUMIFS('Accounting data'!$G$2:$G$37000,'Accounting data'!$I$2:$I$37000,"7*",'Accounting data'!$J$2:$J$37000,"22*",'Accounting data'!$K$2:$K$37000,"68*")+SUMIFS('Accounting data'!$G$2:$G$37000,'Accounting data'!$I$2:$I$37000,"8*",'Accounting data'!$J$2:$J$37000,"22*",'Accounting data'!$K$2:$K$37000,"68*")+SUMIFS('Accounting data'!$G$2:$G$37000,'Accounting data'!$I$2:$I$37000,"9*",'Accounting data'!$J$2:$J$37000,"22*",'Accounting data'!$K$2:$K$37000,"68*")</f>
        <v>0</v>
      </c>
    </row>
    <row r="1456" spans="1:5" x14ac:dyDescent="0.25">
      <c r="A1456" s="112" t="s">
        <v>991</v>
      </c>
      <c r="B1456" s="110" t="s">
        <v>992</v>
      </c>
      <c r="C1456" s="110">
        <v>2200</v>
      </c>
      <c r="D1456" s="110">
        <v>6800</v>
      </c>
      <c r="E1456" s="111">
        <f t="array" ref="E1456">SUMIFS('Accounting data'!$G$2:$G$37000,'Accounting data'!$H$2:$H$37000,"9999*",'Accounting data'!$I$2:$I$37000,"7*",'Accounting data'!$J$2:$J$37000,"22*",'Accounting data'!$K$2:$K$37000,"68*")+SUMIFS('Accounting data'!$G$2:$G$37000,'Accounting data'!$H$2:$H$37000,"9999*",'Accounting data'!$I$2:$I$37000,"8*",'Accounting data'!$J$2:$J$37000,"22*",'Accounting data'!$K$2:$K$37000,"68*")+SUMIFS('Accounting data'!$G$2:$G$37000,'Accounting data'!$H$2:$H$37000,"9999*",'Accounting data'!$I$2:$I$37000,"9*",'Accounting data'!$J$2:$J$37000,"22*",'Accounting data'!$K$2:$K$37000,"68*")</f>
        <v>0</v>
      </c>
    </row>
    <row r="1457" spans="1:5" ht="14.25" customHeight="1" x14ac:dyDescent="0.3">
      <c r="A1457" s="113" t="s">
        <v>1115</v>
      </c>
      <c r="B1457" s="113"/>
      <c r="C1457" s="113"/>
      <c r="D1457" s="113"/>
      <c r="E1457" s="114">
        <f>(E1453-E1454-E1455)+E1456</f>
        <v>0</v>
      </c>
    </row>
    <row r="1458" spans="1:5" x14ac:dyDescent="0.25">
      <c r="A1458" s="110" t="s">
        <v>990</v>
      </c>
      <c r="B1458" s="110" t="s">
        <v>990</v>
      </c>
      <c r="C1458" s="110">
        <v>2300</v>
      </c>
      <c r="D1458" s="110">
        <v>6800</v>
      </c>
      <c r="E1458" s="111">
        <f t="array" ref="E1458">SUMIFS('Accounting data'!$G$2:$G$37000,'Accounting data'!$J$2:$J$37000,"23*",'Accounting data'!$K$2:$K$37000,"68*")</f>
        <v>1640</v>
      </c>
    </row>
    <row r="1459" spans="1:5" x14ac:dyDescent="0.25">
      <c r="A1459" s="110" t="s">
        <v>991</v>
      </c>
      <c r="B1459" s="110" t="s">
        <v>990</v>
      </c>
      <c r="C1459" s="110">
        <v>2300</v>
      </c>
      <c r="D1459" s="110">
        <v>6800</v>
      </c>
      <c r="E1459" s="111">
        <f t="array" ref="E1459">SUMIFS('Accounting data'!$G$2:$G$37000,'Accounting data'!$H$2:$H$37000,"9999*",'Accounting data'!$J$2:$J$37000,"23*",'Accounting data'!$K$2:$K$37000,"68*")</f>
        <v>0</v>
      </c>
    </row>
    <row r="1460" spans="1:5" x14ac:dyDescent="0.25">
      <c r="A1460" s="110" t="s">
        <v>990</v>
      </c>
      <c r="B1460" s="110" t="s">
        <v>992</v>
      </c>
      <c r="C1460" s="110">
        <v>2300</v>
      </c>
      <c r="D1460" s="110">
        <v>6800</v>
      </c>
      <c r="E1460" s="111">
        <f t="array" ref="E1460">SUMIFS('Accounting data'!$G$2:$G$37000,'Accounting data'!$I$2:$I$37000,"7*",'Accounting data'!$J$2:$J$37000,"23*",'Accounting data'!$K$2:$K$37000,"68*")+SUMIFS('Accounting data'!$G$2:$G$37000,'Accounting data'!$I$2:$I$37000,"8*",'Accounting data'!$J$2:$J$37000,"23*",'Accounting data'!$K$2:$K$37000,"68*")+SUMIFS('Accounting data'!$G$2:$G$37000,'Accounting data'!$I$2:$I$37000,"9*",'Accounting data'!$J$2:$J$37000,"23*",'Accounting data'!$K$2:$K$37000,"68*")</f>
        <v>0</v>
      </c>
    </row>
    <row r="1461" spans="1:5" x14ac:dyDescent="0.25">
      <c r="A1461" s="112" t="s">
        <v>991</v>
      </c>
      <c r="B1461" s="110" t="s">
        <v>992</v>
      </c>
      <c r="C1461" s="110">
        <v>2300</v>
      </c>
      <c r="D1461" s="110">
        <v>6800</v>
      </c>
      <c r="E1461" s="111">
        <f t="array" ref="E1461">SUMIFS('Accounting data'!$G$2:$G$37000,'Accounting data'!$H$2:$H$37000,"9999*",'Accounting data'!$I$2:$I$37000,"7*",'Accounting data'!$J$2:$J$37000,"23*",'Accounting data'!$K$2:$K$37000,"68*")+SUMIFS('Accounting data'!$G$2:$G$37000,'Accounting data'!$H$2:$H$37000,"9999*",'Accounting data'!$I$2:$I$37000,"8*",'Accounting data'!$J$2:$J$37000,"23*",'Accounting data'!$K$2:$K$37000,"68*")+SUMIFS('Accounting data'!$G$2:$G$37000,'Accounting data'!$H$2:$H$37000,"9999*",'Accounting data'!$I$2:$I$37000,"9*",'Accounting data'!$J$2:$J$37000,"23*",'Accounting data'!$K$2:$K$37000,"68*")</f>
        <v>0</v>
      </c>
    </row>
    <row r="1462" spans="1:5" ht="14.25" customHeight="1" x14ac:dyDescent="0.3">
      <c r="A1462" s="113" t="s">
        <v>1116</v>
      </c>
      <c r="B1462" s="113"/>
      <c r="C1462" s="113"/>
      <c r="D1462" s="113"/>
      <c r="E1462" s="114">
        <f>(E1458-E1459-E1460)+E1461</f>
        <v>1640</v>
      </c>
    </row>
    <row r="1463" spans="1:5" x14ac:dyDescent="0.25">
      <c r="A1463" s="110" t="s">
        <v>990</v>
      </c>
      <c r="B1463" s="110" t="s">
        <v>990</v>
      </c>
      <c r="C1463" s="110">
        <v>2400</v>
      </c>
      <c r="D1463" s="110">
        <v>6800</v>
      </c>
      <c r="E1463" s="111">
        <f t="array" ref="E1463">SUMIFS('Accounting data'!$G$2:$G$37000,'Accounting data'!$J$2:$J$37000,"24*",'Accounting data'!$K$2:$K$37000,"68*")</f>
        <v>11182</v>
      </c>
    </row>
    <row r="1464" spans="1:5" x14ac:dyDescent="0.25">
      <c r="A1464" s="110" t="s">
        <v>991</v>
      </c>
      <c r="B1464" s="110" t="s">
        <v>990</v>
      </c>
      <c r="C1464" s="110">
        <v>2400</v>
      </c>
      <c r="D1464" s="110">
        <v>6800</v>
      </c>
      <c r="E1464" s="111">
        <f t="array" ref="E1464">SUMIFS('Accounting data'!$G$2:$G$37000,'Accounting data'!$H$2:$H$37000,"9999*",'Accounting data'!$J$2:$J$37000,"24*",'Accounting data'!$K$2:$K$37000,"68*")</f>
        <v>0</v>
      </c>
    </row>
    <row r="1465" spans="1:5" x14ac:dyDescent="0.25">
      <c r="A1465" s="110" t="s">
        <v>990</v>
      </c>
      <c r="B1465" s="110" t="s">
        <v>992</v>
      </c>
      <c r="C1465" s="110">
        <v>2400</v>
      </c>
      <c r="D1465" s="110">
        <v>6800</v>
      </c>
      <c r="E1465" s="111">
        <f t="array" ref="E1465">SUMIFS('Accounting data'!$G$2:$G$37000,'Accounting data'!$I$2:$I$37000,"7*",'Accounting data'!$J$2:$J$37000,"24*",'Accounting data'!$K$2:$K$37000,"68*")+SUMIFS('Accounting data'!$G$2:$G$37000,'Accounting data'!$I$2:$I$37000,"8*",'Accounting data'!$J$2:$J$37000,"24*",'Accounting data'!$K$2:$K$37000,"68*")+SUMIFS('Accounting data'!$G$2:$G$37000,'Accounting data'!$I$2:$I$37000,"9*",'Accounting data'!$J$2:$J$37000,"24*",'Accounting data'!$K$2:$K$37000,"68*")</f>
        <v>0</v>
      </c>
    </row>
    <row r="1466" spans="1:5" x14ac:dyDescent="0.25">
      <c r="A1466" s="112" t="s">
        <v>991</v>
      </c>
      <c r="B1466" s="110" t="s">
        <v>992</v>
      </c>
      <c r="C1466" s="110">
        <v>2400</v>
      </c>
      <c r="D1466" s="110">
        <v>6800</v>
      </c>
      <c r="E1466" s="111">
        <f t="array" ref="E1466">SUMIFS('Accounting data'!$G$2:$G$37000,'Accounting data'!$H$2:$H$37000,"9999*",'Accounting data'!$I$2:$I$37000,"7*",'Accounting data'!$J$2:$J$37000,"24*",'Accounting data'!$K$2:$K$37000,"68*")+SUMIFS('Accounting data'!$G$2:$G$37000,'Accounting data'!$H$2:$H$37000,"9999*",'Accounting data'!$I$2:$I$37000,"8*",'Accounting data'!$J$2:$J$37000,"24*",'Accounting data'!$K$2:$K$37000,"68*")+SUMIFS('Accounting data'!$G$2:$G$37000,'Accounting data'!$H$2:$H$37000,"9999*",'Accounting data'!$I$2:$I$37000,"9*",'Accounting data'!$J$2:$J$37000,"24*",'Accounting data'!$K$2:$K$37000,"68*")</f>
        <v>0</v>
      </c>
    </row>
    <row r="1467" spans="1:5" ht="14.25" customHeight="1" x14ac:dyDescent="0.3">
      <c r="A1467" s="113" t="s">
        <v>1117</v>
      </c>
      <c r="B1467" s="113"/>
      <c r="C1467" s="113"/>
      <c r="D1467" s="113"/>
      <c r="E1467" s="114">
        <f>(E1463-E1464-E1465)+E1466</f>
        <v>11182</v>
      </c>
    </row>
    <row r="1468" spans="1:5" x14ac:dyDescent="0.25">
      <c r="A1468" s="110" t="s">
        <v>990</v>
      </c>
      <c r="B1468" s="110" t="s">
        <v>990</v>
      </c>
      <c r="C1468" s="110">
        <v>2500</v>
      </c>
      <c r="D1468" s="110">
        <v>6800</v>
      </c>
      <c r="E1468" s="111">
        <f t="array" ref="E1468">SUMIFS('Accounting data'!$G$2:$G$37000,'Accounting data'!$J$2:$J$37000,"25*",'Accounting data'!$K$2:$K$37000,"68*")</f>
        <v>20396</v>
      </c>
    </row>
    <row r="1469" spans="1:5" x14ac:dyDescent="0.25">
      <c r="A1469" s="110" t="s">
        <v>991</v>
      </c>
      <c r="B1469" s="110" t="s">
        <v>990</v>
      </c>
      <c r="C1469" s="110">
        <v>2500</v>
      </c>
      <c r="D1469" s="110">
        <v>6800</v>
      </c>
      <c r="E1469" s="111">
        <f t="array" ref="E1469">SUMIFS('Accounting data'!$G$2:$G$37000,'Accounting data'!$H$2:$H$37000,"9999*",'Accounting data'!$J$2:$J$37000,"25*",'Accounting data'!$K$2:$K$37000,"68*")</f>
        <v>0</v>
      </c>
    </row>
    <row r="1470" spans="1:5" x14ac:dyDescent="0.25">
      <c r="A1470" s="110" t="s">
        <v>990</v>
      </c>
      <c r="B1470" s="110" t="s">
        <v>992</v>
      </c>
      <c r="C1470" s="110">
        <v>2500</v>
      </c>
      <c r="D1470" s="110">
        <v>6800</v>
      </c>
      <c r="E1470" s="111">
        <f t="array" ref="E1470">SUMIFS('Accounting data'!$G$2:$G$37000,'Accounting data'!$I$2:$I$37000,"7*",'Accounting data'!$J$2:$J$37000,"25*",'Accounting data'!$K$2:$K$37000,"68*")+SUMIFS('Accounting data'!$G$2:$G$37000,'Accounting data'!$I$2:$I$37000,"8*",'Accounting data'!$J$2:$J$37000,"25*",'Accounting data'!$K$2:$K$37000,"68*")+SUMIFS('Accounting data'!$G$2:$G$37000,'Accounting data'!$I$2:$I$37000,"9*",'Accounting data'!$J$2:$J$37000,"25*",'Accounting data'!$K$2:$K$37000,"68*")</f>
        <v>0</v>
      </c>
    </row>
    <row r="1471" spans="1:5" x14ac:dyDescent="0.25">
      <c r="A1471" s="112" t="s">
        <v>991</v>
      </c>
      <c r="B1471" s="110" t="s">
        <v>992</v>
      </c>
      <c r="C1471" s="110">
        <v>2500</v>
      </c>
      <c r="D1471" s="110">
        <v>6800</v>
      </c>
      <c r="E1471" s="111">
        <f t="array" ref="E1471">SUMIFS('Accounting data'!$G$2:$G$37000,'Accounting data'!$H$2:$H$37000,"9999*",'Accounting data'!$I$2:$I$37000,"7*",'Accounting data'!$J$2:$J$37000,"25*",'Accounting data'!$K$2:$K$37000,"68*")+SUMIFS('Accounting data'!$G$2:$G$37000,'Accounting data'!$H$2:$H$37000,"9999*",'Accounting data'!$I$2:$I$37000,"8*",'Accounting data'!$J$2:$J$37000,"25*",'Accounting data'!$K$2:$K$37000,"68*")+SUMIFS('Accounting data'!$G$2:$G$37000,'Accounting data'!$H$2:$H$37000,"9999*",'Accounting data'!$I$2:$I$37000,"9*",'Accounting data'!$J$2:$J$37000,"25*",'Accounting data'!$K$2:$K$37000,"68*")</f>
        <v>0</v>
      </c>
    </row>
    <row r="1472" spans="1:5" ht="14.25" customHeight="1" x14ac:dyDescent="0.3">
      <c r="A1472" s="113" t="s">
        <v>1118</v>
      </c>
      <c r="B1472" s="113"/>
      <c r="C1472" s="113"/>
      <c r="D1472" s="113"/>
      <c r="E1472" s="114">
        <f>(E1468-E1469-E1470)+E1471</f>
        <v>20396</v>
      </c>
    </row>
    <row r="1473" spans="1:5" x14ac:dyDescent="0.25">
      <c r="A1473" s="110" t="s">
        <v>990</v>
      </c>
      <c r="B1473" s="110" t="s">
        <v>990</v>
      </c>
      <c r="C1473" s="110">
        <v>2900</v>
      </c>
      <c r="D1473" s="110">
        <v>6800</v>
      </c>
      <c r="E1473" s="111">
        <f t="array" ref="E1473">SUMIFS('Accounting data'!$G$2:$G$37000,'Accounting data'!$J$2:$J$37000,"29*",'Accounting data'!$K$2:$K$37000,"68*")</f>
        <v>0</v>
      </c>
    </row>
    <row r="1474" spans="1:5" x14ac:dyDescent="0.25">
      <c r="A1474" s="110" t="s">
        <v>991</v>
      </c>
      <c r="B1474" s="110" t="s">
        <v>990</v>
      </c>
      <c r="C1474" s="110">
        <v>2900</v>
      </c>
      <c r="D1474" s="110">
        <v>6800</v>
      </c>
      <c r="E1474" s="111">
        <f t="array" ref="E1474">SUMIFS('Accounting data'!$G$2:$G$37000,'Accounting data'!$H$2:$H$37000,"9999*",'Accounting data'!$J$2:$J$37000,"29*",'Accounting data'!$K$2:$K$37000,"68*")</f>
        <v>0</v>
      </c>
    </row>
    <row r="1475" spans="1:5" x14ac:dyDescent="0.25">
      <c r="A1475" s="110" t="s">
        <v>990</v>
      </c>
      <c r="B1475" s="110" t="s">
        <v>992</v>
      </c>
      <c r="C1475" s="110">
        <v>2900</v>
      </c>
      <c r="D1475" s="110">
        <v>6800</v>
      </c>
      <c r="E1475" s="111">
        <f t="array" ref="E1475">SUMIFS('Accounting data'!$G$2:$G$37000,'Accounting data'!$I$2:$I$37000,"7*",'Accounting data'!$J$2:$J$37000,"29*",'Accounting data'!$K$2:$K$37000,"68*")+SUMIFS('Accounting data'!$G$2:$G$37000,'Accounting data'!$I$2:$I$37000,"8*",'Accounting data'!$J$2:$J$37000,"29*",'Accounting data'!$K$2:$K$37000,"68*")+SUMIFS('Accounting data'!$G$2:$G$37000,'Accounting data'!$I$2:$I$37000,"9*",'Accounting data'!$J$2:$J$37000,"29*",'Accounting data'!$K$2:$K$37000,"68*")</f>
        <v>0</v>
      </c>
    </row>
    <row r="1476" spans="1:5" x14ac:dyDescent="0.25">
      <c r="A1476" s="112" t="s">
        <v>991</v>
      </c>
      <c r="B1476" s="110" t="s">
        <v>992</v>
      </c>
      <c r="C1476" s="110">
        <v>2900</v>
      </c>
      <c r="D1476" s="110">
        <v>6800</v>
      </c>
      <c r="E1476" s="111">
        <f t="array" ref="E1476">SUMIFS('Accounting data'!$G$2:$G$37000,'Accounting data'!$H$2:$H$37000,"9999*",'Accounting data'!$I$2:$I$37000,"7*",'Accounting data'!$J$2:$J$37000,"29*",'Accounting data'!$K$2:$K$37000,"68*")+SUMIFS('Accounting data'!$G$2:$G$37000,'Accounting data'!$H$2:$H$37000,"9999*",'Accounting data'!$I$2:$I$37000,"8*",'Accounting data'!$J$2:$J$37000,"29*",'Accounting data'!$K$2:$K$37000,"68*")+SUMIFS('Accounting data'!$G$2:$G$37000,'Accounting data'!$H$2:$H$37000,"9999*",'Accounting data'!$I$2:$I$37000,"9*",'Accounting data'!$J$2:$J$37000,"29*",'Accounting data'!$K$2:$K$37000,"68*")</f>
        <v>0</v>
      </c>
    </row>
    <row r="1477" spans="1:5" ht="14.25" customHeight="1" x14ac:dyDescent="0.3">
      <c r="A1477" s="113" t="s">
        <v>1119</v>
      </c>
      <c r="B1477" s="113"/>
      <c r="C1477" s="113"/>
      <c r="D1477" s="113"/>
      <c r="E1477" s="114">
        <f>(E1473-E1474-E1475)+E1476</f>
        <v>0</v>
      </c>
    </row>
    <row r="1478" spans="1:5" x14ac:dyDescent="0.25">
      <c r="A1478" s="110" t="s">
        <v>990</v>
      </c>
      <c r="B1478" s="110" t="s">
        <v>990</v>
      </c>
      <c r="C1478" s="110">
        <v>2600</v>
      </c>
      <c r="D1478" s="110">
        <v>6800</v>
      </c>
      <c r="E1478" s="111">
        <f t="array" ref="E1478">SUMIFS('Accounting data'!$G$2:$G$37000,'Accounting data'!$J$2:$J$37000,"26*",'Accounting data'!$K$2:$K$37000,"68*")</f>
        <v>620</v>
      </c>
    </row>
    <row r="1479" spans="1:5" x14ac:dyDescent="0.25">
      <c r="A1479" s="110" t="s">
        <v>991</v>
      </c>
      <c r="B1479" s="110" t="s">
        <v>990</v>
      </c>
      <c r="C1479" s="110">
        <v>2600</v>
      </c>
      <c r="D1479" s="110">
        <v>6800</v>
      </c>
      <c r="E1479" s="111">
        <f t="array" ref="E1479">SUMIFS('Accounting data'!$G$2:$G$37000,'Accounting data'!$H$2:$H$37000,"9999*",'Accounting data'!$J$2:$J$37000,"26*",'Accounting data'!$K$2:$K$37000,"68*")</f>
        <v>0</v>
      </c>
    </row>
    <row r="1480" spans="1:5" x14ac:dyDescent="0.25">
      <c r="A1480" s="110" t="s">
        <v>990</v>
      </c>
      <c r="B1480" s="110" t="s">
        <v>992</v>
      </c>
      <c r="C1480" s="110">
        <v>2600</v>
      </c>
      <c r="D1480" s="110">
        <v>6800</v>
      </c>
      <c r="E1480" s="111">
        <f t="array" ref="E1480">SUMIFS('Accounting data'!$G$2:$G$37000,'Accounting data'!$I$2:$I$37000,"7*",'Accounting data'!$J$2:$J$37000,"26*",'Accounting data'!$K$2:$K$37000,"68*")+SUMIFS('Accounting data'!$G$2:$G$37000,'Accounting data'!$I$2:$I$37000,"8*",'Accounting data'!$J$2:$J$37000,"26*",'Accounting data'!$K$2:$K$37000,"68*")+SUMIFS('Accounting data'!$G$2:$G$37000,'Accounting data'!$I$2:$I$37000,"9*",'Accounting data'!$J$2:$J$37000,"26*",'Accounting data'!$K$2:$K$37000,"68*")</f>
        <v>0</v>
      </c>
    </row>
    <row r="1481" spans="1:5" x14ac:dyDescent="0.25">
      <c r="A1481" s="112" t="s">
        <v>991</v>
      </c>
      <c r="B1481" s="110" t="s">
        <v>992</v>
      </c>
      <c r="C1481" s="110">
        <v>2600</v>
      </c>
      <c r="D1481" s="110">
        <v>6800</v>
      </c>
      <c r="E1481" s="111">
        <f t="array" ref="E1481">SUMIFS('Accounting data'!$G$2:$G$37000,'Accounting data'!$H$2:$H$37000,"9999*",'Accounting data'!$I$2:$I$37000,"7*",'Accounting data'!$J$2:$J$37000,"26*",'Accounting data'!$K$2:$K$37000,"68*")+SUMIFS('Accounting data'!$G$2:$G$37000,'Accounting data'!$H$2:$H$37000,"9999*",'Accounting data'!$I$2:$I$37000,"8*",'Accounting data'!$J$2:$J$37000,"26*",'Accounting data'!$K$2:$K$37000,"68*")+SUMIFS('Accounting data'!$G$2:$G$37000,'Accounting data'!$H$2:$H$37000,"9999*",'Accounting data'!$I$2:$I$37000,"9*",'Accounting data'!$J$2:$J$37000,"26*",'Accounting data'!$K$2:$K$37000,"68*")</f>
        <v>0</v>
      </c>
    </row>
    <row r="1482" spans="1:5" ht="14.25" customHeight="1" x14ac:dyDescent="0.3">
      <c r="A1482" s="113" t="s">
        <v>1120</v>
      </c>
      <c r="B1482" s="113"/>
      <c r="C1482" s="113"/>
      <c r="D1482" s="113"/>
      <c r="E1482" s="114">
        <f>(E1478-E1479-E1480)+E1481</f>
        <v>620</v>
      </c>
    </row>
    <row r="1483" spans="1:5" x14ac:dyDescent="0.25">
      <c r="A1483" s="110" t="s">
        <v>990</v>
      </c>
      <c r="B1483" s="110" t="s">
        <v>990</v>
      </c>
      <c r="C1483" s="110">
        <v>2700</v>
      </c>
      <c r="D1483" s="110">
        <v>6800</v>
      </c>
      <c r="E1483" s="111">
        <f t="array" ref="E1483">SUMIFS('Accounting data'!$G$2:$G$37000,'Accounting data'!$J$2:$J$37000,"27*",'Accounting data'!$K$2:$K$37000,"68*")</f>
        <v>0</v>
      </c>
    </row>
    <row r="1484" spans="1:5" x14ac:dyDescent="0.25">
      <c r="A1484" s="110" t="s">
        <v>991</v>
      </c>
      <c r="B1484" s="110" t="s">
        <v>990</v>
      </c>
      <c r="C1484" s="110">
        <v>2700</v>
      </c>
      <c r="D1484" s="110">
        <v>6800</v>
      </c>
      <c r="E1484" s="111">
        <f t="array" ref="E1484">SUMIFS('Accounting data'!$G$2:$G$37000,'Accounting data'!$H$2:$H$37000,"9999*",'Accounting data'!$J$2:$J$37000,"27*",'Accounting data'!$K$2:$K$37000,"68*")</f>
        <v>0</v>
      </c>
    </row>
    <row r="1485" spans="1:5" x14ac:dyDescent="0.25">
      <c r="A1485" s="110" t="s">
        <v>990</v>
      </c>
      <c r="B1485" s="110" t="s">
        <v>992</v>
      </c>
      <c r="C1485" s="110">
        <v>2700</v>
      </c>
      <c r="D1485" s="110">
        <v>6800</v>
      </c>
      <c r="E1485" s="111">
        <f t="array" ref="E1485">SUMIFS('Accounting data'!$G$2:$G$37000,'Accounting data'!$I$2:$I$37000,"7*",'Accounting data'!$J$2:$J$37000,"27*",'Accounting data'!$K$2:$K$37000,"68*")+SUMIFS('Accounting data'!$G$2:$G$37000,'Accounting data'!$I$2:$I$37000,"8*",'Accounting data'!$J$2:$J$37000,"27*",'Accounting data'!$K$2:$K$37000,"68*")+SUMIFS('Accounting data'!$G$2:$G$37000,'Accounting data'!$I$2:$I$37000,"9*",'Accounting data'!$J$2:$J$37000,"27*",'Accounting data'!$K$2:$K$37000,"68*")</f>
        <v>0</v>
      </c>
    </row>
    <row r="1486" spans="1:5" x14ac:dyDescent="0.25">
      <c r="A1486" s="112" t="s">
        <v>991</v>
      </c>
      <c r="B1486" s="110" t="s">
        <v>992</v>
      </c>
      <c r="C1486" s="110">
        <v>2700</v>
      </c>
      <c r="D1486" s="110">
        <v>6800</v>
      </c>
      <c r="E1486" s="111">
        <f t="array" ref="E1486">SUMIFS('Accounting data'!$G$2:$G$37000,'Accounting data'!$H$2:$H$37000,"9999*",'Accounting data'!$I$2:$I$37000,"7*",'Accounting data'!$J$2:$J$37000,"27*",'Accounting data'!$K$2:$K$37000,"68*")+SUMIFS('Accounting data'!$G$2:$G$37000,'Accounting data'!$H$2:$H$37000,"9999*",'Accounting data'!$I$2:$I$37000,"8*",'Accounting data'!$J$2:$J$37000,"27*",'Accounting data'!$K$2:$K$37000,"68*")+SUMIFS('Accounting data'!$G$2:$G$37000,'Accounting data'!$H$2:$H$37000,"9999*",'Accounting data'!$I$2:$I$37000,"9*",'Accounting data'!$J$2:$J$37000,"27*",'Accounting data'!$K$2:$K$37000,"68*")</f>
        <v>0</v>
      </c>
    </row>
    <row r="1487" spans="1:5" ht="14.25" customHeight="1" x14ac:dyDescent="0.3">
      <c r="A1487" s="113" t="s">
        <v>1121</v>
      </c>
      <c r="B1487" s="113"/>
      <c r="C1487" s="113"/>
      <c r="D1487" s="113"/>
      <c r="E1487" s="114">
        <f>(E1483-E1484-E1485)+E1486</f>
        <v>0</v>
      </c>
    </row>
    <row r="1488" spans="1:5" x14ac:dyDescent="0.25">
      <c r="A1488" s="110" t="s">
        <v>990</v>
      </c>
      <c r="B1488" s="110" t="s">
        <v>990</v>
      </c>
      <c r="C1488" s="110">
        <v>3100</v>
      </c>
      <c r="D1488" s="110">
        <v>6800</v>
      </c>
      <c r="E1488" s="111">
        <f t="array" ref="E1488">SUMIFS('Accounting data'!$G$2:$G$37000,'Accounting data'!$J$2:$J$37000,"31*",'Accounting data'!$K$2:$K$37000,"68*")</f>
        <v>0</v>
      </c>
    </row>
    <row r="1489" spans="1:5" x14ac:dyDescent="0.25">
      <c r="A1489" s="110" t="s">
        <v>991</v>
      </c>
      <c r="B1489" s="110" t="s">
        <v>990</v>
      </c>
      <c r="C1489" s="110">
        <v>3100</v>
      </c>
      <c r="D1489" s="110">
        <v>6800</v>
      </c>
      <c r="E1489" s="111">
        <f t="array" ref="E1489">SUMIFS('Accounting data'!$G$2:$G$37000,'Accounting data'!$H$2:$H$37000,"9999*",'Accounting data'!$J$2:$J$37000,"31*",'Accounting data'!$K$2:$K$37000,"68*")</f>
        <v>0</v>
      </c>
    </row>
    <row r="1490" spans="1:5" x14ac:dyDescent="0.25">
      <c r="A1490" s="110" t="s">
        <v>990</v>
      </c>
      <c r="B1490" s="110" t="s">
        <v>992</v>
      </c>
      <c r="C1490" s="110">
        <v>3100</v>
      </c>
      <c r="D1490" s="110">
        <v>6800</v>
      </c>
      <c r="E1490" s="111">
        <f t="array" ref="E1490">SUMIFS('Accounting data'!$G$2:$G$37000,'Accounting data'!$I$2:$I$37000,"7*",'Accounting data'!$J$2:$J$37000,"31*",'Accounting data'!$K$2:$K$37000,"68*")+SUMIFS('Accounting data'!$G$2:$G$37000,'Accounting data'!$I$2:$I$37000,"8*",'Accounting data'!$J$2:$J$37000,"31*",'Accounting data'!$K$2:$K$37000,"68*")+SUMIFS('Accounting data'!$G$2:$G$37000,'Accounting data'!$I$2:$I$37000,"9*",'Accounting data'!$J$2:$J$37000,"31*",'Accounting data'!$K$2:$K$37000,"68*")</f>
        <v>0</v>
      </c>
    </row>
    <row r="1491" spans="1:5" x14ac:dyDescent="0.25">
      <c r="A1491" s="112" t="s">
        <v>991</v>
      </c>
      <c r="B1491" s="110" t="s">
        <v>992</v>
      </c>
      <c r="C1491" s="110">
        <v>3100</v>
      </c>
      <c r="D1491" s="110">
        <v>6800</v>
      </c>
      <c r="E1491" s="111">
        <f t="array" ref="E1491">SUMIFS('Accounting data'!$G$2:$G$37000,'Accounting data'!$H$2:$H$37000,"9999*",'Accounting data'!$I$2:$I$37000,"7*",'Accounting data'!$J$2:$J$37000,"31*",'Accounting data'!$K$2:$K$37000,"68*")+SUMIFS('Accounting data'!$G$2:$G$37000,'Accounting data'!$H$2:$H$37000,"9999*",'Accounting data'!$I$2:$I$37000,"8*",'Accounting data'!$J$2:$J$37000,"31*",'Accounting data'!$K$2:$K$37000,"68*")+SUMIFS('Accounting data'!$G$2:$G$37000,'Accounting data'!$H$2:$H$37000,"9999*",'Accounting data'!$I$2:$I$37000,"9*",'Accounting data'!$J$2:$J$37000,"31*",'Accounting data'!$K$2:$K$37000,"68*")</f>
        <v>0</v>
      </c>
    </row>
    <row r="1492" spans="1:5" ht="14.25" customHeight="1" x14ac:dyDescent="0.3">
      <c r="A1492" s="113" t="s">
        <v>1122</v>
      </c>
      <c r="B1492" s="113"/>
      <c r="C1492" s="113"/>
      <c r="D1492" s="113"/>
      <c r="E1492" s="114">
        <f>(E1488-E1489-E1490)+E1491</f>
        <v>0</v>
      </c>
    </row>
    <row r="1493" spans="1:5" x14ac:dyDescent="0.25">
      <c r="A1493" s="110" t="s">
        <v>990</v>
      </c>
      <c r="B1493" s="110" t="s">
        <v>990</v>
      </c>
      <c r="C1493" s="110">
        <v>3400</v>
      </c>
      <c r="D1493" s="110">
        <v>6800</v>
      </c>
      <c r="E1493" s="111">
        <f t="array" ref="E1493">SUMIFS('Accounting data'!$G$2:$G$37000,'Accounting data'!$J$2:$J$37000,"34*",'Accounting data'!$K$2:$K$37000,"68*")</f>
        <v>0</v>
      </c>
    </row>
    <row r="1494" spans="1:5" x14ac:dyDescent="0.25">
      <c r="A1494" s="110" t="s">
        <v>991</v>
      </c>
      <c r="B1494" s="110" t="s">
        <v>990</v>
      </c>
      <c r="C1494" s="110">
        <v>3400</v>
      </c>
      <c r="D1494" s="110">
        <v>6800</v>
      </c>
      <c r="E1494" s="111">
        <f t="array" ref="E1494">SUMIFS('Accounting data'!$G$2:$G$37000,'Accounting data'!$H$2:$H$37000,"9999*",'Accounting data'!$J$2:$J$37000,"34*",'Accounting data'!$K$2:$K$37000,"68*")</f>
        <v>0</v>
      </c>
    </row>
    <row r="1495" spans="1:5" x14ac:dyDescent="0.25">
      <c r="A1495" s="110" t="s">
        <v>990</v>
      </c>
      <c r="B1495" s="110" t="s">
        <v>992</v>
      </c>
      <c r="C1495" s="110">
        <v>3400</v>
      </c>
      <c r="D1495" s="110">
        <v>6800</v>
      </c>
      <c r="E1495" s="111">
        <f t="array" ref="E1495">SUMIFS('Accounting data'!$G$2:$G$37000,'Accounting data'!$I$2:$I$37000,"7*",'Accounting data'!$J$2:$J$37000,"34*",'Accounting data'!$K$2:$K$37000,"68*")+SUMIFS('Accounting data'!$G$2:$G$37000,'Accounting data'!$I$2:$I$37000,"8*",'Accounting data'!$J$2:$J$37000,"34*",'Accounting data'!$K$2:$K$37000,"68*")+SUMIFS('Accounting data'!$G$2:$G$37000,'Accounting data'!$I$2:$I$37000,"9*",'Accounting data'!$J$2:$J$37000,"34*",'Accounting data'!$K$2:$K$37000,"68*")</f>
        <v>0</v>
      </c>
    </row>
    <row r="1496" spans="1:5" x14ac:dyDescent="0.25">
      <c r="A1496" s="112" t="s">
        <v>991</v>
      </c>
      <c r="B1496" s="110" t="s">
        <v>992</v>
      </c>
      <c r="C1496" s="110">
        <v>3400</v>
      </c>
      <c r="D1496" s="110">
        <v>6800</v>
      </c>
      <c r="E1496" s="111">
        <f t="array" ref="E1496">SUMIFS('Accounting data'!$G$2:$G$37000,'Accounting data'!$H$2:$H$37000,"9999*",'Accounting data'!$I$2:$I$37000,"7*",'Accounting data'!$J$2:$J$37000,"34*",'Accounting data'!$K$2:$K$37000,"68*")+SUMIFS('Accounting data'!$G$2:$G$37000,'Accounting data'!$H$2:$H$37000,"9999*",'Accounting data'!$I$2:$I$37000,"8*",'Accounting data'!$J$2:$J$37000,"34*",'Accounting data'!$K$2:$K$37000,"68*")+SUMIFS('Accounting data'!$G$2:$G$37000,'Accounting data'!$H$2:$H$37000,"9999*",'Accounting data'!$I$2:$I$37000,"9*",'Accounting data'!$J$2:$J$37000,"34*",'Accounting data'!$K$2:$K$37000,"68*")</f>
        <v>0</v>
      </c>
    </row>
    <row r="1497" spans="1:5" ht="14.25" customHeight="1" x14ac:dyDescent="0.3">
      <c r="A1497" s="113" t="s">
        <v>1123</v>
      </c>
      <c r="B1497" s="113"/>
      <c r="C1497" s="113"/>
      <c r="D1497" s="113"/>
      <c r="E1497" s="114">
        <f>(E1493-E1494-E1495)+E1496</f>
        <v>0</v>
      </c>
    </row>
    <row r="1498" spans="1:5" ht="14.25" customHeight="1" x14ac:dyDescent="0.3">
      <c r="A1498" s="116" t="s">
        <v>1124</v>
      </c>
      <c r="B1498" s="116"/>
      <c r="C1498" s="116"/>
      <c r="D1498" s="116"/>
      <c r="E1498" s="117">
        <f>E1447+E1452+E1457+E1462+E1467+E1472+E1477+E1482+E1487+E1492+E1497</f>
        <v>34105</v>
      </c>
    </row>
    <row r="1499" spans="1:5" x14ac:dyDescent="0.25">
      <c r="A1499" s="110" t="s">
        <v>1006</v>
      </c>
      <c r="B1499" s="110" t="s">
        <v>990</v>
      </c>
      <c r="C1499" s="110">
        <v>1000</v>
      </c>
      <c r="D1499" s="110">
        <v>6800</v>
      </c>
      <c r="E1499" s="111">
        <f>SUMIFS('Accounting data'!$G$2:$G$37000,'Accounting data'!$H$2:$H$37000,"11*",'Accounting data'!$J$2:$J$37000,"1*",'Accounting data'!$K$2:$K$37000,"68*")+SUMIFS('Accounting data'!$G$2:$G$37000,'Accounting data'!$H$2:$H$37000,"12*",'Accounting data'!$J$2:$J$37000,"1*",'Accounting data'!$K$2:$K$37000,"68*")+SUMIFS('Accounting data'!$G$2:$G$37000,'Accounting data'!$H$2:$H$37000,"13*",'Accounting data'!$J$2:$J$37000,"1*",'Accounting data'!$K$2:$K$37000,"68*")</f>
        <v>0</v>
      </c>
    </row>
    <row r="1500" spans="1:5" x14ac:dyDescent="0.25">
      <c r="A1500" s="110" t="s">
        <v>1006</v>
      </c>
      <c r="B1500" s="110" t="s">
        <v>990</v>
      </c>
      <c r="C1500" s="110">
        <v>2000</v>
      </c>
      <c r="D1500" s="110">
        <v>6800</v>
      </c>
      <c r="E1500" s="111">
        <f>SUMIFS('Accounting data'!$G$2:$G$37000,'Accounting data'!$H$2:$H$37000,"11*",'Accounting data'!$J$2:$J$37000,"2*",'Accounting data'!$K$2:$K$37000,"68*")+SUMIFS('Accounting data'!$G$2:$G$37000,'Accounting data'!$H$2:$H$37000,"12*",'Accounting data'!$J$2:$J$37000,"2*",'Accounting data'!$K$2:$K$37000,"68*")+SUMIFS('Accounting data'!$G$2:$G$37000,'Accounting data'!$H$2:$H$37000,"13*",'Accounting data'!$J$2:$J$37000,"2*",'Accounting data'!$K$2:$K$37000,"68*")</f>
        <v>0</v>
      </c>
    </row>
    <row r="1501" spans="1:5" x14ac:dyDescent="0.25">
      <c r="A1501" s="110" t="s">
        <v>1006</v>
      </c>
      <c r="B1501" s="110" t="s">
        <v>990</v>
      </c>
      <c r="C1501" s="110">
        <v>3000</v>
      </c>
      <c r="D1501" s="110">
        <v>6800</v>
      </c>
      <c r="E1501" s="111">
        <f>SUMIFS('Accounting data'!$G$2:$G$37000,'Accounting data'!$H$2:$H$37000,"11*",'Accounting data'!$J$2:$J$37000,"3*",'Accounting data'!$K$2:$K$37000,"68*")+SUMIFS('Accounting data'!$G$2:$G$37000,'Accounting data'!$H$2:$H$37000,"12*",'Accounting data'!$J$2:$J$37000,"3*",'Accounting data'!$K$2:$K$37000,"68*")+SUMIFS('Accounting data'!$G$2:$G$37000,'Accounting data'!$H$2:$H$37000,"13*",'Accounting data'!$J$2:$J$37000,"3*",'Accounting data'!$K$2:$K$37000,"68*")</f>
        <v>0</v>
      </c>
    </row>
    <row r="1502" spans="1:5" x14ac:dyDescent="0.25">
      <c r="A1502" s="110" t="s">
        <v>1006</v>
      </c>
      <c r="B1502" s="112">
        <v>700</v>
      </c>
      <c r="C1502" s="110">
        <v>1000</v>
      </c>
      <c r="D1502" s="110">
        <v>6800</v>
      </c>
      <c r="E1502" s="111">
        <f>SUMIFS('Accounting data'!$G$2:$G$37000,'Accounting data'!$H$2:$H$37000,"11*",'Accounting data'!$I$2:$I$37000,"7*",'Accounting data'!$J$2:$J$37000,"1*",'Accounting data'!$K$2:$K$37000,"68*")+SUMIFS('Accounting data'!$G$2:$G$37000,'Accounting data'!$H$2:$H$37000,"12*",'Accounting data'!$I$2:$I$37000,"7*",'Accounting data'!$J$2:$J$37000,"1*",'Accounting data'!$K$2:$K$37000,"68*")+SUMIFS('Accounting data'!$G$2:$G$37000,'Accounting data'!$H$2:$H$37000,"13*",'Accounting data'!$I$2:$I$37000,"7*",'Accounting data'!$J$2:$J$37000,"1*",'Accounting data'!$K$2:$K$37000,"68*")</f>
        <v>0</v>
      </c>
    </row>
    <row r="1503" spans="1:5" x14ac:dyDescent="0.25">
      <c r="A1503" s="110" t="s">
        <v>1006</v>
      </c>
      <c r="B1503" s="112">
        <v>800</v>
      </c>
      <c r="C1503" s="110">
        <v>1000</v>
      </c>
      <c r="D1503" s="110">
        <v>6800</v>
      </c>
      <c r="E1503" s="111">
        <f>SUMIFS('Accounting data'!$G$2:$G$37000,'Accounting data'!$H$2:$H$37000,"11*",'Accounting data'!$I$2:$I$37000,"8*",'Accounting data'!$J$2:$J$37000,"1*",'Accounting data'!$K$2:$K$37000,"68*")+SUMIFS('Accounting data'!$G$2:$G$37000,'Accounting data'!$H$2:$H$37000,"12*",'Accounting data'!$I$2:$I$37000,"8*",'Accounting data'!$J$2:$J$37000,"1*",'Accounting data'!$K$2:$K$37000,"68*")+SUMIFS('Accounting data'!$G$2:$G$37000,'Accounting data'!$H$2:$H$37000,"13*",'Accounting data'!$I$2:$I$37000,"8*",'Accounting data'!$J$2:$J$37000,"1*",'Accounting data'!$K$2:$K$37000,"68*")</f>
        <v>0</v>
      </c>
    </row>
    <row r="1504" spans="1:5" x14ac:dyDescent="0.25">
      <c r="A1504" s="110" t="s">
        <v>1006</v>
      </c>
      <c r="B1504" s="112">
        <v>900</v>
      </c>
      <c r="C1504" s="110">
        <v>1000</v>
      </c>
      <c r="D1504" s="110">
        <v>6800</v>
      </c>
      <c r="E1504" s="111">
        <f>SUMIFS('Accounting data'!$G$2:$G$37000,'Accounting data'!$H$2:$H$37000,"11*",'Accounting data'!$I$2:$I$37000,"9*",'Accounting data'!$J$2:$J$37000,"1*",'Accounting data'!$K$2:$K$37000,"68*")+SUMIFS('Accounting data'!$G$2:$G$37000,'Accounting data'!$H$2:$H$37000,"12*",'Accounting data'!$I$2:$I$37000,"9*",'Accounting data'!$J$2:$J$37000,"1*",'Accounting data'!$K$2:$K$37000,"68*")+SUMIFS('Accounting data'!$G$2:$G$37000,'Accounting data'!$H$2:$H$37000,"13*",'Accounting data'!$I$2:$I$37000,"9*",'Accounting data'!$J$2:$J$37000,"1*",'Accounting data'!$K$2:$K$37000,"68*")</f>
        <v>0</v>
      </c>
    </row>
    <row r="1505" spans="1:5" x14ac:dyDescent="0.25">
      <c r="A1505" s="110" t="s">
        <v>1006</v>
      </c>
      <c r="B1505" s="112">
        <v>700</v>
      </c>
      <c r="C1505" s="110">
        <v>2000</v>
      </c>
      <c r="D1505" s="110">
        <v>6800</v>
      </c>
      <c r="E1505" s="111">
        <f>SUMIFS('Accounting data'!$G$2:$G$37000,'Accounting data'!$H$2:$H$37000,"11*",'Accounting data'!$I$2:$I$37000,"7*",'Accounting data'!$J$2:$J$37000,"2*",'Accounting data'!$K$2:$K$37000,"68*")+SUMIFS('Accounting data'!$G$2:$G$37000,'Accounting data'!$H$2:$H$37000,"12*",'Accounting data'!$I$2:$I$37000,"7*",'Accounting data'!$J$2:$J$37000,"2*",'Accounting data'!$K$2:$K$37000,"68*")+SUMIFS('Accounting data'!$G$2:$G$37000,'Accounting data'!$H$2:$H$37000,"13*",'Accounting data'!$I$2:$I$37000,"7*",'Accounting data'!$J$2:$J$37000,"2*",'Accounting data'!$K$2:$K$37000,"68*")</f>
        <v>0</v>
      </c>
    </row>
    <row r="1506" spans="1:5" x14ac:dyDescent="0.25">
      <c r="A1506" s="110" t="s">
        <v>1006</v>
      </c>
      <c r="B1506" s="112">
        <v>800</v>
      </c>
      <c r="C1506" s="110">
        <v>2000</v>
      </c>
      <c r="D1506" s="110">
        <v>6800</v>
      </c>
      <c r="E1506" s="111">
        <f>SUMIFS('Accounting data'!$G$2:$G$37000,'Accounting data'!$H$2:$H$37000,"11*",'Accounting data'!$I$2:$I$37000,"8*",'Accounting data'!$J$2:$J$37000,"2*",'Accounting data'!$K$2:$K$37000,"68*")+SUMIFS('Accounting data'!$G$2:$G$37000,'Accounting data'!$H$2:$H$37000,"12*",'Accounting data'!$I$2:$I$37000,"8*",'Accounting data'!$J$2:$J$37000,"2*",'Accounting data'!$K$2:$K$37000,"68*")+SUMIFS('Accounting data'!$G$2:$G$37000,'Accounting data'!$H$2:$H$37000,"13*",'Accounting data'!$I$2:$I$37000,"8*",'Accounting data'!$J$2:$J$37000,"2*",'Accounting data'!$K$2:$K$37000,"68*")</f>
        <v>0</v>
      </c>
    </row>
    <row r="1507" spans="1:5" x14ac:dyDescent="0.25">
      <c r="A1507" s="110" t="s">
        <v>1006</v>
      </c>
      <c r="B1507" s="112">
        <v>900</v>
      </c>
      <c r="C1507" s="110">
        <v>2000</v>
      </c>
      <c r="D1507" s="110">
        <v>6800</v>
      </c>
      <c r="E1507" s="111">
        <f>SUMIFS('Accounting data'!$G$2:$G$37000,'Accounting data'!$H$2:$H$37000,"11*",'Accounting data'!$I$2:$I$37000,"9*",'Accounting data'!$J$2:$J$37000,"2*",'Accounting data'!$K$2:$K$37000,"68*")+SUMIFS('Accounting data'!$G$2:$G$37000,'Accounting data'!$H$2:$H$37000,"12*",'Accounting data'!$I$2:$I$37000,"9*",'Accounting data'!$J$2:$J$37000,"2*",'Accounting data'!$K$2:$K$37000,"68*")+SUMIFS('Accounting data'!$G$2:$G$37000,'Accounting data'!$H$2:$H$37000,"13*",'Accounting data'!$I$2:$I$37000,"9*",'Accounting data'!$J$2:$J$37000,"2*",'Accounting data'!$K$2:$K$37000,"68*")</f>
        <v>0</v>
      </c>
    </row>
    <row r="1508" spans="1:5" x14ac:dyDescent="0.25">
      <c r="A1508" s="110" t="s">
        <v>1006</v>
      </c>
      <c r="B1508" s="112">
        <v>700</v>
      </c>
      <c r="C1508" s="110">
        <v>3000</v>
      </c>
      <c r="D1508" s="110">
        <v>6800</v>
      </c>
      <c r="E1508" s="111">
        <f>SUMIFS('Accounting data'!$G$2:$G$37000,'Accounting data'!$H$2:$H$37000,"11*",'Accounting data'!$I$2:$I$37000,"7*",'Accounting data'!$J$2:$J$37000,"3*",'Accounting data'!$K$2:$K$37000,"68*")+SUMIFS('Accounting data'!$G$2:$G$37000,'Accounting data'!$H$2:$H$37000,"12*",'Accounting data'!$I$2:$I$37000,"7*",'Accounting data'!$J$2:$J$37000,"3*",'Accounting data'!$K$2:$K$37000,"68*")+SUMIFS('Accounting data'!$G$2:$G$37000,'Accounting data'!$H$2:$H$37000,"13*",'Accounting data'!$I$2:$I$37000,"7*",'Accounting data'!$J$2:$J$37000,"3*",'Accounting data'!$K$2:$K$37000,"68*")</f>
        <v>0</v>
      </c>
    </row>
    <row r="1509" spans="1:5" x14ac:dyDescent="0.25">
      <c r="A1509" s="110" t="s">
        <v>1006</v>
      </c>
      <c r="B1509" s="112">
        <v>800</v>
      </c>
      <c r="C1509" s="110">
        <v>3000</v>
      </c>
      <c r="D1509" s="110">
        <v>6800</v>
      </c>
      <c r="E1509" s="111">
        <f>SUMIFS('Accounting data'!$G$2:$G$37000,'Accounting data'!$H$2:$H$37000,"11*",'Accounting data'!$I$2:$I$37000,"8*",'Accounting data'!$J$2:$J$37000,"3*",'Accounting data'!$K$2:$K$37000,"68*")+SUMIFS('Accounting data'!$G$2:$G$37000,'Accounting data'!$H$2:$H$37000,"12*",'Accounting data'!$I$2:$I$37000,"8*",'Accounting data'!$J$2:$J$37000,"3*",'Accounting data'!$K$2:$K$37000,"68*")+SUMIFS('Accounting data'!$G$2:$G$37000,'Accounting data'!$H$2:$H$37000,"13*",'Accounting data'!$I$2:$I$37000,"8*",'Accounting data'!$J$2:$J$37000,"3*",'Accounting data'!$K$2:$K$37000,"68*")</f>
        <v>0</v>
      </c>
    </row>
    <row r="1510" spans="1:5" x14ac:dyDescent="0.25">
      <c r="A1510" s="110" t="s">
        <v>1006</v>
      </c>
      <c r="B1510" s="112">
        <v>900</v>
      </c>
      <c r="C1510" s="110">
        <v>3000</v>
      </c>
      <c r="D1510" s="110">
        <v>6800</v>
      </c>
      <c r="E1510" s="111">
        <f>SUMIFS('Accounting data'!$G$2:$G$37000,'Accounting data'!$H$2:$H$37000,"11*",'Accounting data'!$I$2:$I$37000,"9*",'Accounting data'!$J$2:$J$37000,"3*",'Accounting data'!$K$2:$K$37000,"68*")+SUMIFS('Accounting data'!$G$2:$G$37000,'Accounting data'!$H$2:$H$37000,"12*",'Accounting data'!$I$2:$I$37000,"9*",'Accounting data'!$J$2:$J$37000,"3*",'Accounting data'!$K$2:$K$37000,"68*")+SUMIFS('Accounting data'!$G$2:$G$37000,'Accounting data'!$H$2:$H$37000,"13*",'Accounting data'!$I$2:$I$37000,"9*",'Accounting data'!$J$2:$J$37000,"3*",'Accounting data'!$K$2:$K$37000,"68*")</f>
        <v>0</v>
      </c>
    </row>
    <row r="1511" spans="1:5" x14ac:dyDescent="0.25">
      <c r="A1511" s="113" t="s">
        <v>1125</v>
      </c>
      <c r="B1511" s="113"/>
      <c r="C1511" s="113"/>
      <c r="D1511" s="113"/>
      <c r="E1511" s="124">
        <f>(E1499+E1500+E1501)-(E1502+E1503+E1504+E1505+E1506+E1507+E1508+E1509+E1510)</f>
        <v>0</v>
      </c>
    </row>
    <row r="1512" spans="1:5" x14ac:dyDescent="0.25">
      <c r="A1512" s="110" t="s">
        <v>990</v>
      </c>
      <c r="B1512" s="110" t="s">
        <v>990</v>
      </c>
      <c r="C1512" s="110">
        <v>4000</v>
      </c>
      <c r="D1512" s="110">
        <v>6800</v>
      </c>
      <c r="E1512" s="111">
        <f>SUMIFS('Accounting data'!G$2:G$37000,'Accounting data'!J$2:J$37000,"4*",'Accounting data'!K$2:K$37000,"68*")</f>
        <v>0</v>
      </c>
    </row>
    <row r="1513" spans="1:5" x14ac:dyDescent="0.25">
      <c r="A1513" s="110" t="s">
        <v>991</v>
      </c>
      <c r="B1513" s="110" t="s">
        <v>990</v>
      </c>
      <c r="C1513" s="110">
        <v>4000</v>
      </c>
      <c r="D1513" s="110">
        <v>6800</v>
      </c>
      <c r="E1513" s="111">
        <f t="array" ref="E1513">SUMIFS('Accounting data'!$G$2:$G$37000,'Accounting data'!$H$2:$H$37000,"9999*",'Accounting data'!$J$2:$J$37000,"4*",'Accounting data'!$K$2:$K$37000,"68*")</f>
        <v>0</v>
      </c>
    </row>
    <row r="1514" spans="1:5" x14ac:dyDescent="0.25">
      <c r="A1514" s="110" t="s">
        <v>990</v>
      </c>
      <c r="B1514" s="110" t="s">
        <v>992</v>
      </c>
      <c r="C1514" s="110">
        <v>4000</v>
      </c>
      <c r="D1514" s="110">
        <v>6800</v>
      </c>
      <c r="E1514" s="111">
        <f t="array" ref="E1514">SUMIFS('Accounting data'!$G$2:$G$37000,'Accounting data'!$I$2:$I$37000,"7*",'Accounting data'!$J$2:$J$37000,"4*",'Accounting data'!$K$2:$K$37000,"68*")+SUMIFS('Accounting data'!$G$2:$G$37000,'Accounting data'!$I$2:$I$37000,"8*",'Accounting data'!$J$2:$J$37000,"4*",'Accounting data'!$K$2:$K$37000,"68*")+SUMIFS('Accounting data'!$G$2:$G$37000,'Accounting data'!$I$2:$I$37000,"9*",'Accounting data'!$J$2:$J$37000,"4*",'Accounting data'!$K$2:$K$37000,"68*")</f>
        <v>0</v>
      </c>
    </row>
    <row r="1515" spans="1:5" x14ac:dyDescent="0.25">
      <c r="A1515" s="112" t="s">
        <v>991</v>
      </c>
      <c r="B1515" s="110" t="s">
        <v>992</v>
      </c>
      <c r="C1515" s="110">
        <v>4000</v>
      </c>
      <c r="D1515" s="110">
        <v>6800</v>
      </c>
      <c r="E1515" s="111">
        <f t="array" ref="E1515">SUMIFS('Accounting data'!$G$2:$G$37000,'Accounting data'!$H$2:$H$37000,"9999*",'Accounting data'!$I$2:$I$37000,"7*",'Accounting data'!$J$2:$J$37000,"4*",'Accounting data'!$K$2:$K$37000,"68*")+SUMIFS('Accounting data'!$G$2:$G$37000,'Accounting data'!$H$2:$H$37000,"9999*",'Accounting data'!$I$2:$I$37000,"8*",'Accounting data'!$J$2:$J$37000,"4*",'Accounting data'!$K$2:$K$37000,"68*")+SUMIFS('Accounting data'!$G$2:$G$37000,'Accounting data'!$H$2:$H$37000,"9999*",'Accounting data'!$I$2:$I$37000,"9*",'Accounting data'!$J$2:$J$37000,"4*",'Accounting data'!$K$2:$K$37000,"68*")</f>
        <v>0</v>
      </c>
    </row>
    <row r="1516" spans="1:5" ht="14.25" customHeight="1" x14ac:dyDescent="0.3">
      <c r="A1516" s="113" t="s">
        <v>1126</v>
      </c>
      <c r="B1516" s="113"/>
      <c r="C1516" s="113"/>
      <c r="D1516" s="113"/>
      <c r="E1516" s="114">
        <f>(E1512-E1513-E1514)+E1515</f>
        <v>0</v>
      </c>
    </row>
    <row r="1517" spans="1:5" x14ac:dyDescent="0.25">
      <c r="A1517" s="110" t="s">
        <v>990</v>
      </c>
      <c r="B1517" s="110" t="s">
        <v>990</v>
      </c>
      <c r="C1517" s="110">
        <v>1900</v>
      </c>
      <c r="D1517" s="110">
        <v>6100</v>
      </c>
      <c r="E1517" s="111">
        <f>SUMIFS('Accounting data'!$G$2:$G$37000,'Accounting data'!$J$2:$J$37000,"19*",'Accounting data'!$K$2:$K$37000,"61*")</f>
        <v>0</v>
      </c>
    </row>
    <row r="1518" spans="1:5" x14ac:dyDescent="0.25">
      <c r="A1518" s="110" t="s">
        <v>991</v>
      </c>
      <c r="B1518" s="110" t="s">
        <v>990</v>
      </c>
      <c r="C1518" s="110">
        <v>1900</v>
      </c>
      <c r="D1518" s="110">
        <v>6100</v>
      </c>
      <c r="E1518" s="111">
        <f>SUMIFS('Accounting data'!$G$2:$G$37000,'Accounting data'!$H$2:$H$37000,"9999*",'Accounting data'!$J$2:$J$37000,"19*",'Accounting data'!$K$2:$K$37000,"61*")</f>
        <v>0</v>
      </c>
    </row>
    <row r="1519" spans="1:5" x14ac:dyDescent="0.25">
      <c r="A1519" s="110" t="s">
        <v>990</v>
      </c>
      <c r="B1519" s="110" t="s">
        <v>992</v>
      </c>
      <c r="C1519" s="110">
        <v>1900</v>
      </c>
      <c r="D1519" s="110">
        <v>6100</v>
      </c>
      <c r="E1519" s="111">
        <f>SUMIFS('Accounting data'!$G$2:$G$37000,'Accounting data'!$I$2:$I$37000,"7*",'Accounting data'!$J$2:$J$37000,"19*",'Accounting data'!$K$2:$K$37000,"61*")+SUMIFS('Accounting data'!$G$2:$G$37000,'Accounting data'!$I$2:$I$37000,"8*",'Accounting data'!$J$2:$J$37000,"19*",'Accounting data'!$K$2:$K$37000,"61*")+SUMIFS('Accounting data'!$G$2:$G$37000,'Accounting data'!$I$2:$I$37000,"9*",'Accounting data'!$J$2:$J$37000,"19*",'Accounting data'!$K$2:$K$37000,"61*")</f>
        <v>0</v>
      </c>
    </row>
    <row r="1520" spans="1:5" x14ac:dyDescent="0.25">
      <c r="A1520" s="112" t="s">
        <v>991</v>
      </c>
      <c r="B1520" s="110" t="s">
        <v>992</v>
      </c>
      <c r="C1520" s="110">
        <v>1900</v>
      </c>
      <c r="D1520" s="110">
        <v>6100</v>
      </c>
      <c r="E1520" s="111">
        <f>SUMIFS('Accounting data'!$G$2:$G$37000,'Accounting data'!$H$2:$H$37000,"9999*",'Accounting data'!$I$2:$I$37000,"7*",'Accounting data'!$J$2:$J$37000,"19*",'Accounting data'!$K$2:$K$37000,"61*")+SUMIFS('Accounting data'!$G$2:$G$37000,'Accounting data'!$H$2:$H$37000,"9999*",'Accounting data'!$I$2:$I$37000,"8*",'Accounting data'!$J$2:$J$37000,"19*",'Accounting data'!$K$2:$K$37000,"61*")+SUMIFS('Accounting data'!$G$2:$G$37000,'Accounting data'!$H$2:$H$37000,"9999*",'Accounting data'!$I$2:$I$37000,"9*",'Accounting data'!$J$2:$J$37000,"19*",'Accounting data'!$K$2:$K$37000,"61*")</f>
        <v>0</v>
      </c>
    </row>
    <row r="1521" spans="1:5" x14ac:dyDescent="0.25">
      <c r="A1521" s="113" t="s">
        <v>1127</v>
      </c>
      <c r="B1521" s="113"/>
      <c r="C1521" s="113"/>
      <c r="D1521" s="113"/>
      <c r="E1521" s="124">
        <f>(E1517-E1518-E1519)+E1520</f>
        <v>0</v>
      </c>
    </row>
    <row r="1522" spans="1:5" x14ac:dyDescent="0.25">
      <c r="A1522" s="110" t="s">
        <v>1006</v>
      </c>
      <c r="B1522" s="110" t="s">
        <v>990</v>
      </c>
      <c r="C1522" s="110">
        <v>1900</v>
      </c>
      <c r="D1522" s="110">
        <v>6100</v>
      </c>
      <c r="E1522" s="111">
        <f t="array" ref="E1522">SUMIFS('Accounting data'!$G$2:$G$37000,'Accounting data'!$H$2:$H$37000,"11*",'Accounting data'!$J$2:$J$37000,"19*",'Accounting data'!$K$2:$K$37000,"61*")+SUMIFS('Accounting data'!$G$2:$G$37000,'Accounting data'!$H$2:$H$37000,"12*",'Accounting data'!$J$2:$J$37000,"19*",'Accounting data'!$K$2:$K$37000,"61*")+SUMIFS('Accounting data'!$G$2:$G$37000,'Accounting data'!$H$2:$H$37000,"13*",'Accounting data'!$J$2:$J$37000,"19*",'Accounting data'!$K$2:$K$37000,"61*")</f>
        <v>0</v>
      </c>
    </row>
    <row r="1523" spans="1:5" x14ac:dyDescent="0.25">
      <c r="A1523" s="110" t="s">
        <v>1006</v>
      </c>
      <c r="B1523" s="112">
        <v>700</v>
      </c>
      <c r="C1523" s="110">
        <v>1900</v>
      </c>
      <c r="D1523" s="110">
        <v>6100</v>
      </c>
      <c r="E1523" s="111">
        <f t="array" ref="E1523">SUMIFS('Accounting data'!$G$2:$G$37000,'Accounting data'!$H$2:$H$37000,"11*",'Accounting data'!$I$2:$I$37000,"7*",'Accounting data'!$J$2:$J$37000,"19*",'Accounting data'!$K$2:$K$37000,"61*")+SUMIFS('Accounting data'!$G$2:$G$37000,'Accounting data'!$H$2:$H$37000,"12*",'Accounting data'!$I$2:$I$37000,"7*",'Accounting data'!$J$2:$J$37000,"19*",'Accounting data'!$K$2:$K$37000,"61*")+SUMIFS('Accounting data'!$G$2:$G$37000,'Accounting data'!$H$2:$H$37000,"13*",'Accounting data'!$I$2:$I$37000,"7*",'Accounting data'!$J$2:$J$37000,"19*",'Accounting data'!$K$2:$K$37000,"61*")</f>
        <v>0</v>
      </c>
    </row>
    <row r="1524" spans="1:5" x14ac:dyDescent="0.25">
      <c r="A1524" s="110" t="s">
        <v>1006</v>
      </c>
      <c r="B1524" s="112">
        <v>800</v>
      </c>
      <c r="C1524" s="110">
        <v>1900</v>
      </c>
      <c r="D1524" s="110">
        <v>6100</v>
      </c>
      <c r="E1524" s="111">
        <f t="array" ref="E1524">SUMIFS('Accounting data'!$G$2:$G$37000,'Accounting data'!$H$2:$H$37000,"11*",'Accounting data'!$I$2:$I$37000,"8*",'Accounting data'!$J$2:$J$37000,"19*",'Accounting data'!$K$2:$K$37000,"61*")+SUMIFS('Accounting data'!$G$2:$G$37000,'Accounting data'!$H$2:$H$37000,"12*",'Accounting data'!$I$2:$I$37000,"8*",'Accounting data'!$J$2:$J$37000,"19*",'Accounting data'!$K$2:$K$37000,"61*")+SUMIFS('Accounting data'!$G$2:$G$37000,'Accounting data'!$H$2:$H$37000,"13*",'Accounting data'!$I$2:$I$37000,"8*",'Accounting data'!$J$2:$J$37000,"19*",'Accounting data'!$K$2:$K$37000,"61*")</f>
        <v>0</v>
      </c>
    </row>
    <row r="1525" spans="1:5" x14ac:dyDescent="0.25">
      <c r="A1525" s="110" t="s">
        <v>1006</v>
      </c>
      <c r="B1525" s="112">
        <v>900</v>
      </c>
      <c r="C1525" s="110">
        <v>1900</v>
      </c>
      <c r="D1525" s="110">
        <v>6100</v>
      </c>
      <c r="E1525" s="111">
        <f t="array" ref="E1525">SUMIFS('Accounting data'!$G$2:$G$37000,'Accounting data'!$H$2:$H$37000,"11*",'Accounting data'!$I$2:$I$37000,"9*",'Accounting data'!$J$2:$J$37000,"19*",'Accounting data'!$K$2:$K$37000,"61*")+SUMIFS('Accounting data'!$G$2:$G$37000,'Accounting data'!$H$2:$H$37000,"12*",'Accounting data'!$I$2:$I$37000,"9*",'Accounting data'!$J$2:$J$37000,"19*",'Accounting data'!$K$2:$K$37000,"61*")+SUMIFS('Accounting data'!$G$2:$G$37000,'Accounting data'!$H$2:$H$37000,"13*",'Accounting data'!$I$2:$I$37000,"9*",'Accounting data'!$J$2:$J$37000,"19*",'Accounting data'!$K$2:$K$37000,"61*")</f>
        <v>0</v>
      </c>
    </row>
    <row r="1526" spans="1:5" x14ac:dyDescent="0.25">
      <c r="A1526" s="113" t="s">
        <v>1128</v>
      </c>
      <c r="B1526" s="113"/>
      <c r="C1526" s="113"/>
      <c r="D1526" s="113"/>
      <c r="E1526" s="124">
        <f>E1522-(E1523+E1524+E1525)</f>
        <v>0</v>
      </c>
    </row>
    <row r="1527" spans="1:5" x14ac:dyDescent="0.25">
      <c r="A1527" s="116" t="s">
        <v>1129</v>
      </c>
      <c r="B1527" s="116"/>
      <c r="C1527" s="116"/>
      <c r="D1527" s="116"/>
      <c r="E1527" s="120">
        <f>E1521-E1526</f>
        <v>0</v>
      </c>
    </row>
    <row r="1528" spans="1:5" x14ac:dyDescent="0.25">
      <c r="A1528" s="125" t="s">
        <v>990</v>
      </c>
      <c r="B1528" s="125" t="s">
        <v>990</v>
      </c>
      <c r="C1528" s="125">
        <v>5000</v>
      </c>
      <c r="D1528" s="125">
        <v>6800</v>
      </c>
      <c r="E1528" s="126">
        <f>SUMIFS('Accounting data'!G$2:G$37000,'Accounting data'!J$2:J$37000,"5*",'Accounting data'!K$2:K$37000,"68*")</f>
        <v>173872</v>
      </c>
    </row>
    <row r="1529" spans="1:5" x14ac:dyDescent="0.25">
      <c r="A1529" s="125" t="s">
        <v>991</v>
      </c>
      <c r="B1529" s="125" t="s">
        <v>990</v>
      </c>
      <c r="C1529" s="125">
        <v>5000</v>
      </c>
      <c r="D1529" s="125">
        <v>6800</v>
      </c>
      <c r="E1529" s="126">
        <f>SUMIFS('Accounting data'!$G$2:$G$37000,'Accounting data'!$H$2:$H$37000,"9999*",'Accounting data'!$J$2:$J$37000,"5*",'Accounting data'!$K$2:$K$37000,"68*")</f>
        <v>0</v>
      </c>
    </row>
    <row r="1530" spans="1:5" x14ac:dyDescent="0.25">
      <c r="A1530" s="125" t="s">
        <v>990</v>
      </c>
      <c r="B1530" s="125" t="s">
        <v>992</v>
      </c>
      <c r="C1530" s="125">
        <v>5000</v>
      </c>
      <c r="D1530" s="125">
        <v>6800</v>
      </c>
      <c r="E1530" s="126">
        <f>SUMIFS('Accounting data'!$G$2:$G$37000,'Accounting data'!$I$2:$I$37000,"7*",'Accounting data'!$J$2:$J$37000,"5*",'Accounting data'!$K$2:$K$37000,"68*")+SUMIFS('Accounting data'!$G$2:$G$37000,'Accounting data'!$I$2:$I$37000,"8*",'Accounting data'!$J$2:$J$37000,"5*",'Accounting data'!$K$2:$K$37000,"68*")+SUMIFS('Accounting data'!$G$2:$G$37000,'Accounting data'!$I$2:$I$37000,"9*",'Accounting data'!$J$2:$J$37000,"5*",'Accounting data'!$K$2:$K$37000,"68*")</f>
        <v>0</v>
      </c>
    </row>
    <row r="1531" spans="1:5" x14ac:dyDescent="0.25">
      <c r="A1531" s="127" t="s">
        <v>991</v>
      </c>
      <c r="B1531" s="125" t="s">
        <v>992</v>
      </c>
      <c r="C1531" s="125">
        <v>5000</v>
      </c>
      <c r="D1531" s="125">
        <v>6800</v>
      </c>
      <c r="E1531" s="126">
        <f>SUMIFS('Accounting data'!$G$2:$G$37000,'Accounting data'!$H$2:$H$37000,"9999*",'Accounting data'!$I$2:$I$37000,"7*",'Accounting data'!$J$2:$J$37000,"5*",'Accounting data'!$K$2:$K$37000,"68*")+SUMIFS('Accounting data'!$G$2:$G$37000,'Accounting data'!$H$2:$H$37000,"9999*",'Accounting data'!$I$2:$I$37000,"8*",'Accounting data'!$J$2:$J$37000,"5*",'Accounting data'!$K$2:$K$37000,"68*")+SUMIFS('Accounting data'!$G$2:$G$37000,'Accounting data'!$H$2:$H$37000,"9999*",'Accounting data'!$I$2:$I$37000,"9*",'Accounting data'!$J$2:$J$37000,"5*",'Accounting data'!$K$2:$K$37000,"68*")</f>
        <v>0</v>
      </c>
    </row>
    <row r="1532" spans="1:5" ht="14.25" customHeight="1" x14ac:dyDescent="0.3">
      <c r="A1532" s="128" t="s">
        <v>1130</v>
      </c>
      <c r="B1532" s="128"/>
      <c r="C1532" s="128"/>
      <c r="D1532" s="128"/>
      <c r="E1532" s="114">
        <f>(E1528-E1529-E1530)+E1531</f>
        <v>173872</v>
      </c>
    </row>
  </sheetData>
  <sheetProtection algorithmName="SHA-512" hashValue="ZvgZ+IMqGj+Nclw92aTc4DJVz/V6PWmKJNZyrUfzumV2fRpTJDJbdmd7/nbK+cRCxn+fCSuE/FzNgbgeM9N8HQ==" saltValue="MNp2ilNcX+jPerEyYSCbQw==" spinCount="100000" sheet="1" objects="1"/>
  <autoFilter ref="A1:E1527" xr:uid="{00000000-0009-0000-0000-000010000000}"/>
  <printOptions horizontalCentered="1"/>
  <pageMargins left="0.7" right="0.7" top="0.75" bottom="0.75" header="0.3" footer="0.3"/>
  <pageSetup scale="28" orientation="portrait" r:id="rId1"/>
  <headerFooter>
    <oddFooter>&amp;LRev. 8/26 Arizona Department of Education and Auditor General&amp;CFY 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5BC7C54687924AB4C1C4D79454F98F" ma:contentTypeVersion="3" ma:contentTypeDescription="Create a new document." ma:contentTypeScope="" ma:versionID="bea28e272c8daf41679228f9397a9ad1">
  <xsd:schema xmlns:xsd="http://www.w3.org/2001/XMLSchema" xmlns:xs="http://www.w3.org/2001/XMLSchema" xmlns:p="http://schemas.microsoft.com/office/2006/metadata/properties" xmlns:ns2="9b4d02b1-f26f-4536-89df-1da21491ae74" targetNamespace="http://schemas.microsoft.com/office/2006/metadata/properties" ma:root="true" ma:fieldsID="d3e064b66c33478942b41bbdfddf0720" ns2:_="">
    <xsd:import namespace="9b4d02b1-f26f-4536-89df-1da21491ae7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4d02b1-f26f-4536-89df-1da21491ae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47F8EF-8AAF-48C9-9DFE-A66AC49D528B}">
  <ds:schemaRefs>
    <ds:schemaRef ds:uri="http://schemas.microsoft.com/sharepoint/v3/contenttype/forms"/>
  </ds:schemaRefs>
</ds:datastoreItem>
</file>

<file path=customXml/itemProps2.xml><?xml version="1.0" encoding="utf-8"?>
<ds:datastoreItem xmlns:ds="http://schemas.openxmlformats.org/officeDocument/2006/customXml" ds:itemID="{BBB4F38B-0799-4886-B61C-8DBB46B47F73}">
  <ds:schemaRefs>
    <ds:schemaRef ds:uri="http://purl.org/dc/terms/"/>
    <ds:schemaRef ds:uri="http://purl.org/dc/elements/1.1/"/>
    <ds:schemaRef ds:uri="http://schemas.microsoft.com/office/2006/documentManagement/types"/>
    <ds:schemaRef ds:uri="9b4d02b1-f26f-4536-89df-1da21491ae74"/>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 ds:uri="ffcdc2e4-c8f2-4bf7-ab1d-ea300bde3fd8"/>
    <ds:schemaRef ds:uri="8385876d-3ffd-449d-b709-a8df02b96ae7"/>
  </ds:schemaRefs>
</ds:datastoreItem>
</file>

<file path=customXml/itemProps3.xml><?xml version="1.0" encoding="utf-8"?>
<ds:datastoreItem xmlns:ds="http://schemas.openxmlformats.org/officeDocument/2006/customXml" ds:itemID="{6E33115D-D902-4A1B-8192-B83B3B7D05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4d02b1-f26f-4536-89df-1da21491ae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17</vt:i4>
      </vt:variant>
      <vt:variant>
        <vt:lpstr>Named Ranges</vt:lpstr>
      </vt:variant>
      <vt:variant>
        <vt:i4>99</vt:i4>
      </vt:variant>
    </vt:vector>
  </HeadingPairs>
  <TitlesOfParts>
    <vt:vector size="116" baseType="lpstr">
      <vt:lpstr>Cover Page</vt:lpstr>
      <vt:lpstr>Page 1</vt:lpstr>
      <vt:lpstr>Page 2</vt:lpstr>
      <vt:lpstr>Page 3</vt:lpstr>
      <vt:lpstr>Page 4</vt:lpstr>
      <vt:lpstr>Page 5</vt:lpstr>
      <vt:lpstr>Page 6</vt:lpstr>
      <vt:lpstr>Page 7</vt:lpstr>
      <vt:lpstr>Page 8</vt:lpstr>
      <vt:lpstr>Page 9</vt:lpstr>
      <vt:lpstr>Page 10</vt:lpstr>
      <vt:lpstr>Food Service</vt:lpstr>
      <vt:lpstr>Summary</vt:lpstr>
      <vt:lpstr>Reserve balance</vt:lpstr>
      <vt:lpstr>School listing</vt:lpstr>
      <vt:lpstr>Accounting data</vt:lpstr>
      <vt:lpstr>Calculations</vt:lpstr>
      <vt:lpstr>Account</vt:lpstr>
      <vt:lpstr>ActualTotalFederalAndStateProjects</vt:lpstr>
      <vt:lpstr>ActualTotalInstImpExp</vt:lpstr>
      <vt:lpstr>AddlInstrImprProjEndBal</vt:lpstr>
      <vt:lpstr>CashBal</vt:lpstr>
      <vt:lpstr>CIP1072EndBal</vt:lpstr>
      <vt:lpstr>CSPEndBal</vt:lpstr>
      <vt:lpstr>District_Name</vt:lpstr>
      <vt:lpstr>FP11001130EndBal</vt:lpstr>
      <vt:lpstr>FP11401150EndBal</vt:lpstr>
      <vt:lpstr>FP1160EndBal</vt:lpstr>
      <vt:lpstr>FP11701180EndBal</vt:lpstr>
      <vt:lpstr>FP1190EndBal</vt:lpstr>
      <vt:lpstr>FP1200EndBal</vt:lpstr>
      <vt:lpstr>FP1210EndBal</vt:lpstr>
      <vt:lpstr>FP1220EndBal</vt:lpstr>
      <vt:lpstr>FP1230EndBal</vt:lpstr>
      <vt:lpstr>FP1240EndBal</vt:lpstr>
      <vt:lpstr>FP1250EndBal</vt:lpstr>
      <vt:lpstr>FP1260EndBal</vt:lpstr>
      <vt:lpstr>FP1280EndBal</vt:lpstr>
      <vt:lpstr>FP1290EndBal</vt:lpstr>
      <vt:lpstr>FP1300EndBal</vt:lpstr>
      <vt:lpstr>FP13101399EndBal</vt:lpstr>
      <vt:lpstr>FP13XXImpactAidEndBal</vt:lpstr>
      <vt:lpstr>'Accounting data'!Print_Area</vt:lpstr>
      <vt:lpstr>'Cover Page'!Print_Area</vt:lpstr>
      <vt:lpstr>'Food Service'!Print_Area</vt:lpstr>
      <vt:lpstr>'Page 1'!Print_Area</vt:lpstr>
      <vt:lpstr>'Page 10'!Print_Area</vt:lpstr>
      <vt:lpstr>'Page 2'!Print_Area</vt:lpstr>
      <vt:lpstr>'Page 3'!Print_Area</vt:lpstr>
      <vt:lpstr>'Page 4'!Print_Area</vt:lpstr>
      <vt:lpstr>'Page 6'!Print_Area</vt:lpstr>
      <vt:lpstr>'Page 7'!Print_Area</vt:lpstr>
      <vt:lpstr>'Page 8'!Print_Area</vt:lpstr>
      <vt:lpstr>'Page 9'!Print_Area</vt:lpstr>
      <vt:lpstr>'Reserve balance'!Print_Area</vt:lpstr>
      <vt:lpstr>Summary!Print_Area</vt:lpstr>
      <vt:lpstr>PriorYearSalary</vt:lpstr>
      <vt:lpstr>SchoolwideEndBal</vt:lpstr>
      <vt:lpstr>SEIP1071EndBal</vt:lpstr>
      <vt:lpstr>SP1000ClassSiteProj</vt:lpstr>
      <vt:lpstr>SP1000CompInstrProj</vt:lpstr>
      <vt:lpstr>SP1000FedStProj</vt:lpstr>
      <vt:lpstr>SP1000InstrImpProj</vt:lpstr>
      <vt:lpstr>SP1000P100F1000</vt:lpstr>
      <vt:lpstr>SP1000P100F2100</vt:lpstr>
      <vt:lpstr>SP1000P100F2200</vt:lpstr>
      <vt:lpstr>SP1000P100F2300</vt:lpstr>
      <vt:lpstr>SP1000P100F2400</vt:lpstr>
      <vt:lpstr>SP1000P100F2500</vt:lpstr>
      <vt:lpstr>SP1000P100F2600</vt:lpstr>
      <vt:lpstr>SP1000P100F2900</vt:lpstr>
      <vt:lpstr>SP1000P100F3000</vt:lpstr>
      <vt:lpstr>SP1000P100F4000</vt:lpstr>
      <vt:lpstr>SP1000P100F5000</vt:lpstr>
      <vt:lpstr>SP1000P200F1000</vt:lpstr>
      <vt:lpstr>SP1000P200F2100</vt:lpstr>
      <vt:lpstr>SP1000P200F2200</vt:lpstr>
      <vt:lpstr>SP1000P200F2300</vt:lpstr>
      <vt:lpstr>SP1000P200F2400</vt:lpstr>
      <vt:lpstr>SP1000P200F2500</vt:lpstr>
      <vt:lpstr>SP1000P200F2600</vt:lpstr>
      <vt:lpstr>SP1000P200F2900</vt:lpstr>
      <vt:lpstr>SP1000P200F3000</vt:lpstr>
      <vt:lpstr>SP1000P200F4000</vt:lpstr>
      <vt:lpstr>SP1000P200F5000</vt:lpstr>
      <vt:lpstr>SP1000P400</vt:lpstr>
      <vt:lpstr>SP1000P530</vt:lpstr>
      <vt:lpstr>SP1000P540</vt:lpstr>
      <vt:lpstr>SP1000P550</vt:lpstr>
      <vt:lpstr>SP1000P610</vt:lpstr>
      <vt:lpstr>SP1000P620</vt:lpstr>
      <vt:lpstr>SP1000P630700800900</vt:lpstr>
      <vt:lpstr>SP1000StruEngImmProj</vt:lpstr>
      <vt:lpstr>StP1400EndBal</vt:lpstr>
      <vt:lpstr>StP1410EndBal</vt:lpstr>
      <vt:lpstr>StP1420EndBal</vt:lpstr>
      <vt:lpstr>StP1425EndBal</vt:lpstr>
      <vt:lpstr>StP1430EndBal</vt:lpstr>
      <vt:lpstr>StP1435EndBal</vt:lpstr>
      <vt:lpstr>StP1450EndBal</vt:lpstr>
      <vt:lpstr>StP1456EndBal</vt:lpstr>
      <vt:lpstr>StP1460EndBal</vt:lpstr>
      <vt:lpstr>StP1465EndBal</vt:lpstr>
      <vt:lpstr>StP14701499EndBal</vt:lpstr>
      <vt:lpstr>StP14XXEndBal</vt:lpstr>
      <vt:lpstr>TotalCIP6100</vt:lpstr>
      <vt:lpstr>TotalCIP6200</vt:lpstr>
      <vt:lpstr>TotalCIP630064006500</vt:lpstr>
      <vt:lpstr>TotalCIP6600</vt:lpstr>
      <vt:lpstr>TotalCIP6800</vt:lpstr>
      <vt:lpstr>TotalSEIP6100</vt:lpstr>
      <vt:lpstr>TotalSEIP6200</vt:lpstr>
      <vt:lpstr>TotalSEIP630064006500</vt:lpstr>
      <vt:lpstr>TotalSEIP6600</vt:lpstr>
      <vt:lpstr>TotalSEIP6800</vt:lpstr>
      <vt:lpstr>TotExpSchoolwide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Charter School AFR</dc:title>
  <dc:subject/>
  <dc:creator>AZ Auditor General</dc:creator>
  <cp:keywords/>
  <dc:description/>
  <cp:lastModifiedBy>Anne Ortiz</cp:lastModifiedBy>
  <cp:lastPrinted>2026-08-31T18:42:47Z</cp:lastPrinted>
  <dcterms:created xsi:type="dcterms:W3CDTF">1997-10-09T02:56:13Z</dcterms:created>
  <dcterms:modified xsi:type="dcterms:W3CDTF">2026-09-18T21:30:32Z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r8>2025</vt:r8>
  </property>
  <property fmtid="{D5CDD505-2E9C-101B-9397-08002B2CF9AE}" pid="3" name="BudgetTypeID">
    <vt:r8>11</vt:r8>
  </property>
  <property fmtid="{D5CDD505-2E9C-101B-9397-08002B2CF9AE}" pid="4" name="SchoolBySchool">
    <vt:r8>0</vt:r8>
  </property>
  <property fmtid="{D5CDD505-2E9C-101B-9397-08002B2CF9AE}" pid="5" name="Password">
    <vt:lpwstr>DBacks123</vt:lpwstr>
  </property>
  <property fmtid="{D5CDD505-2E9C-101B-9397-08002B2CF9AE}" pid="6" name="ContentTypeId">
    <vt:lpwstr>0x010100945BC7C54687924AB4C1C4D79454F98F</vt:lpwstr>
  </property>
  <property fmtid="{D5CDD505-2E9C-101B-9397-08002B2CF9AE}" pid="7" name="MediaServiceImageTags">
    <vt:lpwstr/>
  </property>
  <property fmtid="{D5CDD505-2E9C-101B-9397-08002B2CF9AE}" pid="8" name="ADEGUID">
    <vt:lpwstr>E22248E1-878A-4119-8BF6-E3329B3A9292</vt:lpwstr>
  </property>
  <property fmtid="{D5CDD505-2E9C-101B-9397-08002B2CF9AE}" pid="9" name="Order">
    <vt:r8>6000</vt:r8>
  </property>
  <property fmtid="{D5CDD505-2E9C-101B-9397-08002B2CF9AE}" pid="10" name="xd_Signature">
    <vt:bool>false</vt:bool>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ies>
</file>